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5.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omments6.xml" ContentType="application/vnd.openxmlformats-officedocument.spreadsheetml.comments+xml"/>
  <Override PartName="/xl/tables/table9.xml" ContentType="application/vnd.openxmlformats-officedocument.spreadsheetml.table+xml"/>
  <Override PartName="/xl/tables/table10.xml" ContentType="application/vnd.openxmlformats-officedocument.spreadsheetml.table+xml"/>
  <Override PartName="/xl/comments7.xml" ContentType="application/vnd.openxmlformats-officedocument.spreadsheetml.comments+xml"/>
  <Override PartName="/xl/tables/table11.xml" ContentType="application/vnd.openxmlformats-officedocument.spreadsheetml.table+xml"/>
  <Override PartName="/xl/tables/table12.xml" ContentType="application/vnd.openxmlformats-officedocument.spreadsheetml.table+xml"/>
  <Override PartName="/xl/comments8.xml" ContentType="application/vnd.openxmlformats-officedocument.spreadsheetml.comments+xml"/>
  <Override PartName="/xl/tables/table13.xml" ContentType="application/vnd.openxmlformats-officedocument.spreadsheetml.table+xml"/>
  <Override PartName="/xl/tables/table14.xml" ContentType="application/vnd.openxmlformats-officedocument.spreadsheetml.table+xml"/>
  <Override PartName="/xl/comments9.xml" ContentType="application/vnd.openxmlformats-officedocument.spreadsheetml.comments+xml"/>
  <Override PartName="/xl/tables/table15.xml" ContentType="application/vnd.openxmlformats-officedocument.spreadsheetml.table+xml"/>
  <Override PartName="/xl/tables/table16.xml" ContentType="application/vnd.openxmlformats-officedocument.spreadsheetml.table+xml"/>
  <Override PartName="/xl/comments10.xml" ContentType="application/vnd.openxmlformats-officedocument.spreadsheetml.comments+xml"/>
  <Override PartName="/xl/tables/table17.xml" ContentType="application/vnd.openxmlformats-officedocument.spreadsheetml.table+xml"/>
  <Override PartName="/xl/tables/table18.xml" ContentType="application/vnd.openxmlformats-officedocument.spreadsheetml.table+xml"/>
  <Override PartName="/xl/comments11.xml" ContentType="application/vnd.openxmlformats-officedocument.spreadsheetml.comments+xml"/>
  <Override PartName="/xl/tables/table19.xml" ContentType="application/vnd.openxmlformats-officedocument.spreadsheetml.table+xml"/>
  <Override PartName="/xl/tables/table20.xml" ContentType="application/vnd.openxmlformats-officedocument.spreadsheetml.table+xml"/>
  <Override PartName="/xl/comments12.xml" ContentType="application/vnd.openxmlformats-officedocument.spreadsheetml.comments+xml"/>
  <Override PartName="/xl/tables/table21.xml" ContentType="application/vnd.openxmlformats-officedocument.spreadsheetml.table+xml"/>
  <Override PartName="/xl/tables/table22.xml" ContentType="application/vnd.openxmlformats-officedocument.spreadsheetml.table+xml"/>
  <Override PartName="/xl/comments13.xml" ContentType="application/vnd.openxmlformats-officedocument.spreadsheetml.comments+xml"/>
  <Override PartName="/xl/tables/table23.xml" ContentType="application/vnd.openxmlformats-officedocument.spreadsheetml.table+xml"/>
  <Override PartName="/xl/tables/table24.xml" ContentType="application/vnd.openxmlformats-officedocument.spreadsheetml.table+xml"/>
  <Override PartName="/xl/comments14.xml" ContentType="application/vnd.openxmlformats-officedocument.spreadsheetml.comments+xml"/>
  <Override PartName="/xl/tables/table25.xml" ContentType="application/vnd.openxmlformats-officedocument.spreadsheetml.table+xml"/>
  <Override PartName="/xl/tables/table26.xml" ContentType="application/vnd.openxmlformats-officedocument.spreadsheetml.table+xml"/>
  <Override PartName="/xl/comments15.xml" ContentType="application/vnd.openxmlformats-officedocument.spreadsheetml.comments+xml"/>
  <Override PartName="/xl/tables/table27.xml" ContentType="application/vnd.openxmlformats-officedocument.spreadsheetml.table+xml"/>
  <Override PartName="/xl/tables/table28.xml" ContentType="application/vnd.openxmlformats-officedocument.spreadsheetml.table+xml"/>
  <Override PartName="/xl/comments16.xml" ContentType="application/vnd.openxmlformats-officedocument.spreadsheetml.comments+xml"/>
  <Override PartName="/xl/comments17.xml" ContentType="application/vnd.openxmlformats-officedocument.spreadsheetml.comments+xml"/>
  <Override PartName="/xl/tables/table29.xml" ContentType="application/vnd.openxmlformats-officedocument.spreadsheetml.table+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irlscoutsofsilversage-my.sharepoint.com/personal/rparsons_girlscouts-ssc_org/Documents/Desktop/"/>
    </mc:Choice>
  </mc:AlternateContent>
  <xr:revisionPtr revIDLastSave="0" documentId="8_{78C39C8A-2DA4-4CB4-83FD-8289843FA4E5}" xr6:coauthVersionLast="47" xr6:coauthVersionMax="47" xr10:uidLastSave="{00000000-0000-0000-0000-000000000000}"/>
  <bookViews>
    <workbookView xWindow="-108" yWindow="-108" windowWidth="23256" windowHeight="12456" tabRatio="669" activeTab="2" xr2:uid="{1B47B87D-E746-413A-BDD2-E0F55E8FC048}"/>
  </bookViews>
  <sheets>
    <sheet name="Instructions" sheetId="3" r:id="rId1"/>
    <sheet name="passcode" sheetId="22" state="hidden" r:id="rId2"/>
    <sheet name="BankTransactions25" sheetId="20" r:id="rId3"/>
    <sheet name="Category Detail" sheetId="25" r:id="rId4"/>
    <sheet name="AR Summary" sheetId="4" r:id="rId5"/>
    <sheet name="Product BreakDown" sheetId="21" r:id="rId6"/>
    <sheet name="Example" sheetId="5" state="hidden" r:id="rId7"/>
    <sheet name="June" sheetId="7" state="hidden" r:id="rId8"/>
    <sheet name="May" sheetId="6" state="hidden" r:id="rId9"/>
    <sheet name="July" sheetId="8" state="hidden" r:id="rId10"/>
    <sheet name="Aug" sheetId="10" state="hidden" r:id="rId11"/>
    <sheet name="Sept" sheetId="9" state="hidden" r:id="rId12"/>
    <sheet name="Oct" sheetId="11" state="hidden" r:id="rId13"/>
    <sheet name="Nov" sheetId="12" state="hidden" r:id="rId14"/>
    <sheet name="Dec" sheetId="13" state="hidden" r:id="rId15"/>
    <sheet name="Jan" sheetId="14" state="hidden" r:id="rId16"/>
    <sheet name="Feb" sheetId="15" state="hidden" r:id="rId17"/>
    <sheet name="Mar" sheetId="16" state="hidden" r:id="rId18"/>
    <sheet name="April" sheetId="17" state="hidden" r:id="rId19"/>
    <sheet name="AR Summary by Month" sheetId="18" state="hidden" r:id="rId20"/>
    <sheet name="Sample Ledger2025" sheetId="23"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20" l="1"/>
  <c r="F28" i="4"/>
  <c r="F3" i="4"/>
  <c r="F38" i="4"/>
  <c r="F37" i="4"/>
  <c r="F34" i="4"/>
  <c r="F33" i="4"/>
  <c r="F10" i="4"/>
  <c r="F9" i="4"/>
  <c r="V484" i="23"/>
  <c r="U484" i="23"/>
  <c r="T484" i="23"/>
  <c r="S484" i="23"/>
  <c r="R484" i="23"/>
  <c r="Q484" i="23"/>
  <c r="P484" i="23"/>
  <c r="O484" i="23"/>
  <c r="N484" i="23"/>
  <c r="M484" i="23"/>
  <c r="L484" i="23"/>
  <c r="K484" i="23"/>
  <c r="J484" i="23"/>
  <c r="I484" i="23"/>
  <c r="V483" i="23"/>
  <c r="U483" i="23"/>
  <c r="T483" i="23"/>
  <c r="S483" i="23"/>
  <c r="R483" i="23"/>
  <c r="Q483" i="23"/>
  <c r="P483" i="23"/>
  <c r="O483" i="23"/>
  <c r="N483" i="23"/>
  <c r="M483" i="23"/>
  <c r="L483" i="23"/>
  <c r="K483" i="23"/>
  <c r="J483" i="23"/>
  <c r="I483" i="23"/>
  <c r="V482" i="23"/>
  <c r="U482" i="23"/>
  <c r="T482" i="23"/>
  <c r="S482" i="23"/>
  <c r="R482" i="23"/>
  <c r="Q482" i="23"/>
  <c r="P482" i="23"/>
  <c r="O482" i="23"/>
  <c r="N482" i="23"/>
  <c r="M482" i="23"/>
  <c r="L482" i="23"/>
  <c r="K482" i="23"/>
  <c r="J482" i="23"/>
  <c r="I482" i="23"/>
  <c r="V481" i="23"/>
  <c r="U481" i="23"/>
  <c r="T481" i="23"/>
  <c r="S481" i="23"/>
  <c r="R481" i="23"/>
  <c r="Q481" i="23"/>
  <c r="P481" i="23"/>
  <c r="O481" i="23"/>
  <c r="N481" i="23"/>
  <c r="M481" i="23"/>
  <c r="L481" i="23"/>
  <c r="K481" i="23"/>
  <c r="J481" i="23"/>
  <c r="I481" i="23"/>
  <c r="V480" i="23"/>
  <c r="U480" i="23"/>
  <c r="T480" i="23"/>
  <c r="S480" i="23"/>
  <c r="R480" i="23"/>
  <c r="Q480" i="23"/>
  <c r="P480" i="23"/>
  <c r="O480" i="23"/>
  <c r="N480" i="23"/>
  <c r="M480" i="23"/>
  <c r="L480" i="23"/>
  <c r="K480" i="23"/>
  <c r="J480" i="23"/>
  <c r="I480" i="23"/>
  <c r="V479" i="23"/>
  <c r="U479" i="23"/>
  <c r="T479" i="23"/>
  <c r="S479" i="23"/>
  <c r="R479" i="23"/>
  <c r="Q479" i="23"/>
  <c r="P479" i="23"/>
  <c r="O479" i="23"/>
  <c r="N479" i="23"/>
  <c r="M479" i="23"/>
  <c r="L479" i="23"/>
  <c r="K479" i="23"/>
  <c r="J479" i="23"/>
  <c r="I479" i="23"/>
  <c r="V478" i="23"/>
  <c r="U478" i="23"/>
  <c r="T478" i="23"/>
  <c r="S478" i="23"/>
  <c r="R478" i="23"/>
  <c r="Q478" i="23"/>
  <c r="P478" i="23"/>
  <c r="O478" i="23"/>
  <c r="N478" i="23"/>
  <c r="M478" i="23"/>
  <c r="L478" i="23"/>
  <c r="K478" i="23"/>
  <c r="J478" i="23"/>
  <c r="I478" i="23"/>
  <c r="V477" i="23"/>
  <c r="U477" i="23"/>
  <c r="T477" i="23"/>
  <c r="S477" i="23"/>
  <c r="R477" i="23"/>
  <c r="Q477" i="23"/>
  <c r="P477" i="23"/>
  <c r="O477" i="23"/>
  <c r="N477" i="23"/>
  <c r="M477" i="23"/>
  <c r="L477" i="23"/>
  <c r="K477" i="23"/>
  <c r="J477" i="23"/>
  <c r="I477" i="23"/>
  <c r="V476" i="23"/>
  <c r="U476" i="23"/>
  <c r="T476" i="23"/>
  <c r="S476" i="23"/>
  <c r="R476" i="23"/>
  <c r="Q476" i="23"/>
  <c r="P476" i="23"/>
  <c r="O476" i="23"/>
  <c r="N476" i="23"/>
  <c r="M476" i="23"/>
  <c r="L476" i="23"/>
  <c r="K476" i="23"/>
  <c r="J476" i="23"/>
  <c r="I476" i="23"/>
  <c r="V475" i="23"/>
  <c r="U475" i="23"/>
  <c r="T475" i="23"/>
  <c r="S475" i="23"/>
  <c r="R475" i="23"/>
  <c r="Q475" i="23"/>
  <c r="P475" i="23"/>
  <c r="O475" i="23"/>
  <c r="N475" i="23"/>
  <c r="M475" i="23"/>
  <c r="L475" i="23"/>
  <c r="K475" i="23"/>
  <c r="J475" i="23"/>
  <c r="I475" i="23"/>
  <c r="V474" i="23"/>
  <c r="U474" i="23"/>
  <c r="T474" i="23"/>
  <c r="S474" i="23"/>
  <c r="R474" i="23"/>
  <c r="Q474" i="23"/>
  <c r="P474" i="23"/>
  <c r="O474" i="23"/>
  <c r="N474" i="23"/>
  <c r="M474" i="23"/>
  <c r="L474" i="23"/>
  <c r="K474" i="23"/>
  <c r="J474" i="23"/>
  <c r="I474" i="23"/>
  <c r="V473" i="23"/>
  <c r="U473" i="23"/>
  <c r="T473" i="23"/>
  <c r="S473" i="23"/>
  <c r="R473" i="23"/>
  <c r="Q473" i="23"/>
  <c r="P473" i="23"/>
  <c r="O473" i="23"/>
  <c r="N473" i="23"/>
  <c r="M473" i="23"/>
  <c r="L473" i="23"/>
  <c r="K473" i="23"/>
  <c r="J473" i="23"/>
  <c r="I473" i="23"/>
  <c r="V472" i="23"/>
  <c r="U472" i="23"/>
  <c r="T472" i="23"/>
  <c r="S472" i="23"/>
  <c r="R472" i="23"/>
  <c r="Q472" i="23"/>
  <c r="P472" i="23"/>
  <c r="O472" i="23"/>
  <c r="N472" i="23"/>
  <c r="M472" i="23"/>
  <c r="L472" i="23"/>
  <c r="K472" i="23"/>
  <c r="J472" i="23"/>
  <c r="I472" i="23"/>
  <c r="V471" i="23"/>
  <c r="U471" i="23"/>
  <c r="T471" i="23"/>
  <c r="S471" i="23"/>
  <c r="R471" i="23"/>
  <c r="Q471" i="23"/>
  <c r="P471" i="23"/>
  <c r="O471" i="23"/>
  <c r="N471" i="23"/>
  <c r="M471" i="23"/>
  <c r="L471" i="23"/>
  <c r="K471" i="23"/>
  <c r="J471" i="23"/>
  <c r="I471" i="23"/>
  <c r="V470" i="23"/>
  <c r="U470" i="23"/>
  <c r="T470" i="23"/>
  <c r="S470" i="23"/>
  <c r="R470" i="23"/>
  <c r="Q470" i="23"/>
  <c r="P470" i="23"/>
  <c r="O470" i="23"/>
  <c r="N470" i="23"/>
  <c r="M470" i="23"/>
  <c r="L470" i="23"/>
  <c r="K470" i="23"/>
  <c r="J470" i="23"/>
  <c r="I470" i="23"/>
  <c r="V469" i="23"/>
  <c r="U469" i="23"/>
  <c r="T469" i="23"/>
  <c r="S469" i="23"/>
  <c r="R469" i="23"/>
  <c r="Q469" i="23"/>
  <c r="P469" i="23"/>
  <c r="O469" i="23"/>
  <c r="N469" i="23"/>
  <c r="M469" i="23"/>
  <c r="L469" i="23"/>
  <c r="K469" i="23"/>
  <c r="J469" i="23"/>
  <c r="I469" i="23"/>
  <c r="V468" i="23"/>
  <c r="U468" i="23"/>
  <c r="T468" i="23"/>
  <c r="S468" i="23"/>
  <c r="R468" i="23"/>
  <c r="Q468" i="23"/>
  <c r="P468" i="23"/>
  <c r="O468" i="23"/>
  <c r="N468" i="23"/>
  <c r="M468" i="23"/>
  <c r="L468" i="23"/>
  <c r="K468" i="23"/>
  <c r="J468" i="23"/>
  <c r="I468" i="23"/>
  <c r="V467" i="23"/>
  <c r="U467" i="23"/>
  <c r="T467" i="23"/>
  <c r="S467" i="23"/>
  <c r="R467" i="23"/>
  <c r="Q467" i="23"/>
  <c r="P467" i="23"/>
  <c r="O467" i="23"/>
  <c r="N467" i="23"/>
  <c r="M467" i="23"/>
  <c r="L467" i="23"/>
  <c r="K467" i="23"/>
  <c r="J467" i="23"/>
  <c r="I467" i="23"/>
  <c r="V466" i="23"/>
  <c r="U466" i="23"/>
  <c r="T466" i="23"/>
  <c r="S466" i="23"/>
  <c r="R466" i="23"/>
  <c r="Q466" i="23"/>
  <c r="P466" i="23"/>
  <c r="O466" i="23"/>
  <c r="N466" i="23"/>
  <c r="M466" i="23"/>
  <c r="L466" i="23"/>
  <c r="K466" i="23"/>
  <c r="J466" i="23"/>
  <c r="I466" i="23"/>
  <c r="V465" i="23"/>
  <c r="U465" i="23"/>
  <c r="T465" i="23"/>
  <c r="S465" i="23"/>
  <c r="R465" i="23"/>
  <c r="Q465" i="23"/>
  <c r="P465" i="23"/>
  <c r="O465" i="23"/>
  <c r="N465" i="23"/>
  <c r="M465" i="23"/>
  <c r="L465" i="23"/>
  <c r="K465" i="23"/>
  <c r="J465" i="23"/>
  <c r="I465" i="23"/>
  <c r="V464" i="23"/>
  <c r="U464" i="23"/>
  <c r="T464" i="23"/>
  <c r="S464" i="23"/>
  <c r="R464" i="23"/>
  <c r="Q464" i="23"/>
  <c r="P464" i="23"/>
  <c r="O464" i="23"/>
  <c r="N464" i="23"/>
  <c r="M464" i="23"/>
  <c r="L464" i="23"/>
  <c r="K464" i="23"/>
  <c r="J464" i="23"/>
  <c r="I464" i="23"/>
  <c r="V463" i="23"/>
  <c r="U463" i="23"/>
  <c r="T463" i="23"/>
  <c r="S463" i="23"/>
  <c r="R463" i="23"/>
  <c r="Q463" i="23"/>
  <c r="P463" i="23"/>
  <c r="O463" i="23"/>
  <c r="N463" i="23"/>
  <c r="M463" i="23"/>
  <c r="L463" i="23"/>
  <c r="K463" i="23"/>
  <c r="J463" i="23"/>
  <c r="I463" i="23"/>
  <c r="V462" i="23"/>
  <c r="U462" i="23"/>
  <c r="T462" i="23"/>
  <c r="S462" i="23"/>
  <c r="R462" i="23"/>
  <c r="Q462" i="23"/>
  <c r="P462" i="23"/>
  <c r="O462" i="23"/>
  <c r="N462" i="23"/>
  <c r="M462" i="23"/>
  <c r="L462" i="23"/>
  <c r="K462" i="23"/>
  <c r="J462" i="23"/>
  <c r="I462" i="23"/>
  <c r="V461" i="23"/>
  <c r="U461" i="23"/>
  <c r="T461" i="23"/>
  <c r="S461" i="23"/>
  <c r="R461" i="23"/>
  <c r="Q461" i="23"/>
  <c r="P461" i="23"/>
  <c r="O461" i="23"/>
  <c r="N461" i="23"/>
  <c r="M461" i="23"/>
  <c r="L461" i="23"/>
  <c r="K461" i="23"/>
  <c r="J461" i="23"/>
  <c r="I461" i="23"/>
  <c r="V460" i="23"/>
  <c r="U460" i="23"/>
  <c r="T460" i="23"/>
  <c r="S460" i="23"/>
  <c r="R460" i="23"/>
  <c r="Q460" i="23"/>
  <c r="P460" i="23"/>
  <c r="O460" i="23"/>
  <c r="N460" i="23"/>
  <c r="M460" i="23"/>
  <c r="L460" i="23"/>
  <c r="K460" i="23"/>
  <c r="J460" i="23"/>
  <c r="I460" i="23"/>
  <c r="V459" i="23"/>
  <c r="U459" i="23"/>
  <c r="T459" i="23"/>
  <c r="S459" i="23"/>
  <c r="R459" i="23"/>
  <c r="Q459" i="23"/>
  <c r="P459" i="23"/>
  <c r="O459" i="23"/>
  <c r="N459" i="23"/>
  <c r="M459" i="23"/>
  <c r="L459" i="23"/>
  <c r="K459" i="23"/>
  <c r="J459" i="23"/>
  <c r="I459" i="23"/>
  <c r="V458" i="23"/>
  <c r="U458" i="23"/>
  <c r="T458" i="23"/>
  <c r="S458" i="23"/>
  <c r="R458" i="23"/>
  <c r="Q458" i="23"/>
  <c r="P458" i="23"/>
  <c r="O458" i="23"/>
  <c r="N458" i="23"/>
  <c r="M458" i="23"/>
  <c r="L458" i="23"/>
  <c r="K458" i="23"/>
  <c r="J458" i="23"/>
  <c r="I458" i="23"/>
  <c r="V457" i="23"/>
  <c r="U457" i="23"/>
  <c r="T457" i="23"/>
  <c r="S457" i="23"/>
  <c r="R457" i="23"/>
  <c r="Q457" i="23"/>
  <c r="P457" i="23"/>
  <c r="O457" i="23"/>
  <c r="N457" i="23"/>
  <c r="M457" i="23"/>
  <c r="L457" i="23"/>
  <c r="K457" i="23"/>
  <c r="J457" i="23"/>
  <c r="I457" i="23"/>
  <c r="V456" i="23"/>
  <c r="U456" i="23"/>
  <c r="T456" i="23"/>
  <c r="S456" i="23"/>
  <c r="R456" i="23"/>
  <c r="Q456" i="23"/>
  <c r="P456" i="23"/>
  <c r="O456" i="23"/>
  <c r="N456" i="23"/>
  <c r="M456" i="23"/>
  <c r="L456" i="23"/>
  <c r="K456" i="23"/>
  <c r="J456" i="23"/>
  <c r="I456" i="23"/>
  <c r="V455" i="23"/>
  <c r="U455" i="23"/>
  <c r="T455" i="23"/>
  <c r="S455" i="23"/>
  <c r="R455" i="23"/>
  <c r="Q455" i="23"/>
  <c r="P455" i="23"/>
  <c r="O455" i="23"/>
  <c r="N455" i="23"/>
  <c r="M455" i="23"/>
  <c r="L455" i="23"/>
  <c r="K455" i="23"/>
  <c r="J455" i="23"/>
  <c r="I455" i="23"/>
  <c r="V454" i="23"/>
  <c r="U454" i="23"/>
  <c r="T454" i="23"/>
  <c r="S454" i="23"/>
  <c r="R454" i="23"/>
  <c r="Q454" i="23"/>
  <c r="P454" i="23"/>
  <c r="O454" i="23"/>
  <c r="N454" i="23"/>
  <c r="M454" i="23"/>
  <c r="L454" i="23"/>
  <c r="K454" i="23"/>
  <c r="J454" i="23"/>
  <c r="I454" i="23"/>
  <c r="V453" i="23"/>
  <c r="U453" i="23"/>
  <c r="T453" i="23"/>
  <c r="S453" i="23"/>
  <c r="R453" i="23"/>
  <c r="Q453" i="23"/>
  <c r="P453" i="23"/>
  <c r="O453" i="23"/>
  <c r="N453" i="23"/>
  <c r="M453" i="23"/>
  <c r="L453" i="23"/>
  <c r="K453" i="23"/>
  <c r="J453" i="23"/>
  <c r="I453" i="23"/>
  <c r="V452" i="23"/>
  <c r="U452" i="23"/>
  <c r="T452" i="23"/>
  <c r="S452" i="23"/>
  <c r="R452" i="23"/>
  <c r="Q452" i="23"/>
  <c r="P452" i="23"/>
  <c r="O452" i="23"/>
  <c r="N452" i="23"/>
  <c r="M452" i="23"/>
  <c r="L452" i="23"/>
  <c r="K452" i="23"/>
  <c r="J452" i="23"/>
  <c r="I452" i="23"/>
  <c r="V451" i="23"/>
  <c r="U451" i="23"/>
  <c r="T451" i="23"/>
  <c r="S451" i="23"/>
  <c r="R451" i="23"/>
  <c r="Q451" i="23"/>
  <c r="P451" i="23"/>
  <c r="O451" i="23"/>
  <c r="N451" i="23"/>
  <c r="M451" i="23"/>
  <c r="L451" i="23"/>
  <c r="K451" i="23"/>
  <c r="J451" i="23"/>
  <c r="I451" i="23"/>
  <c r="V450" i="23"/>
  <c r="U450" i="23"/>
  <c r="T450" i="23"/>
  <c r="S450" i="23"/>
  <c r="R450" i="23"/>
  <c r="Q450" i="23"/>
  <c r="P450" i="23"/>
  <c r="O450" i="23"/>
  <c r="N450" i="23"/>
  <c r="M450" i="23"/>
  <c r="L450" i="23"/>
  <c r="K450" i="23"/>
  <c r="J450" i="23"/>
  <c r="I450" i="23"/>
  <c r="V449" i="23"/>
  <c r="U449" i="23"/>
  <c r="T449" i="23"/>
  <c r="S449" i="23"/>
  <c r="R449" i="23"/>
  <c r="Q449" i="23"/>
  <c r="P449" i="23"/>
  <c r="O449" i="23"/>
  <c r="N449" i="23"/>
  <c r="M449" i="23"/>
  <c r="L449" i="23"/>
  <c r="K449" i="23"/>
  <c r="J449" i="23"/>
  <c r="I449" i="23"/>
  <c r="V448" i="23"/>
  <c r="U448" i="23"/>
  <c r="T448" i="23"/>
  <c r="S448" i="23"/>
  <c r="R448" i="23"/>
  <c r="Q448" i="23"/>
  <c r="P448" i="23"/>
  <c r="O448" i="23"/>
  <c r="N448" i="23"/>
  <c r="M448" i="23"/>
  <c r="L448" i="23"/>
  <c r="K448" i="23"/>
  <c r="J448" i="23"/>
  <c r="I448" i="23"/>
  <c r="V447" i="23"/>
  <c r="U447" i="23"/>
  <c r="T447" i="23"/>
  <c r="S447" i="23"/>
  <c r="R447" i="23"/>
  <c r="Q447" i="23"/>
  <c r="P447" i="23"/>
  <c r="O447" i="23"/>
  <c r="N447" i="23"/>
  <c r="M447" i="23"/>
  <c r="L447" i="23"/>
  <c r="K447" i="23"/>
  <c r="J447" i="23"/>
  <c r="I447" i="23"/>
  <c r="V446" i="23"/>
  <c r="U446" i="23"/>
  <c r="T446" i="23"/>
  <c r="S446" i="23"/>
  <c r="R446" i="23"/>
  <c r="Q446" i="23"/>
  <c r="P446" i="23"/>
  <c r="O446" i="23"/>
  <c r="N446" i="23"/>
  <c r="M446" i="23"/>
  <c r="L446" i="23"/>
  <c r="K446" i="23"/>
  <c r="J446" i="23"/>
  <c r="I446" i="23"/>
  <c r="V445" i="23"/>
  <c r="U445" i="23"/>
  <c r="T445" i="23"/>
  <c r="S445" i="23"/>
  <c r="R445" i="23"/>
  <c r="Q445" i="23"/>
  <c r="P445" i="23"/>
  <c r="O445" i="23"/>
  <c r="N445" i="23"/>
  <c r="M445" i="23"/>
  <c r="L445" i="23"/>
  <c r="K445" i="23"/>
  <c r="J445" i="23"/>
  <c r="I445" i="23"/>
  <c r="V444" i="23"/>
  <c r="U444" i="23"/>
  <c r="T444" i="23"/>
  <c r="S444" i="23"/>
  <c r="R444" i="23"/>
  <c r="Q444" i="23"/>
  <c r="P444" i="23"/>
  <c r="O444" i="23"/>
  <c r="N444" i="23"/>
  <c r="M444" i="23"/>
  <c r="L444" i="23"/>
  <c r="K444" i="23"/>
  <c r="J444" i="23"/>
  <c r="I444" i="23"/>
  <c r="V443" i="23"/>
  <c r="U443" i="23"/>
  <c r="T443" i="23"/>
  <c r="S443" i="23"/>
  <c r="R443" i="23"/>
  <c r="Q443" i="23"/>
  <c r="P443" i="23"/>
  <c r="O443" i="23"/>
  <c r="N443" i="23"/>
  <c r="M443" i="23"/>
  <c r="L443" i="23"/>
  <c r="K443" i="23"/>
  <c r="J443" i="23"/>
  <c r="I443" i="23"/>
  <c r="V442" i="23"/>
  <c r="U442" i="23"/>
  <c r="T442" i="23"/>
  <c r="S442" i="23"/>
  <c r="R442" i="23"/>
  <c r="Q442" i="23"/>
  <c r="P442" i="23"/>
  <c r="O442" i="23"/>
  <c r="N442" i="23"/>
  <c r="M442" i="23"/>
  <c r="L442" i="23"/>
  <c r="K442" i="23"/>
  <c r="J442" i="23"/>
  <c r="I442" i="23"/>
  <c r="V441" i="23"/>
  <c r="U441" i="23"/>
  <c r="T441" i="23"/>
  <c r="S441" i="23"/>
  <c r="R441" i="23"/>
  <c r="Q441" i="23"/>
  <c r="P441" i="23"/>
  <c r="O441" i="23"/>
  <c r="N441" i="23"/>
  <c r="M441" i="23"/>
  <c r="L441" i="23"/>
  <c r="K441" i="23"/>
  <c r="J441" i="23"/>
  <c r="I441" i="23"/>
  <c r="V440" i="23"/>
  <c r="U440" i="23"/>
  <c r="T440" i="23"/>
  <c r="S440" i="23"/>
  <c r="R440" i="23"/>
  <c r="Q440" i="23"/>
  <c r="P440" i="23"/>
  <c r="O440" i="23"/>
  <c r="N440" i="23"/>
  <c r="M440" i="23"/>
  <c r="L440" i="23"/>
  <c r="K440" i="23"/>
  <c r="J440" i="23"/>
  <c r="I440" i="23"/>
  <c r="V439" i="23"/>
  <c r="U439" i="23"/>
  <c r="T439" i="23"/>
  <c r="S439" i="23"/>
  <c r="R439" i="23"/>
  <c r="Q439" i="23"/>
  <c r="P439" i="23"/>
  <c r="O439" i="23"/>
  <c r="N439" i="23"/>
  <c r="M439" i="23"/>
  <c r="L439" i="23"/>
  <c r="K439" i="23"/>
  <c r="J439" i="23"/>
  <c r="I439" i="23"/>
  <c r="V438" i="23"/>
  <c r="U438" i="23"/>
  <c r="T438" i="23"/>
  <c r="S438" i="23"/>
  <c r="R438" i="23"/>
  <c r="Q438" i="23"/>
  <c r="P438" i="23"/>
  <c r="O438" i="23"/>
  <c r="N438" i="23"/>
  <c r="M438" i="23"/>
  <c r="L438" i="23"/>
  <c r="K438" i="23"/>
  <c r="J438" i="23"/>
  <c r="I438" i="23"/>
  <c r="V437" i="23"/>
  <c r="U437" i="23"/>
  <c r="T437" i="23"/>
  <c r="S437" i="23"/>
  <c r="R437" i="23"/>
  <c r="Q437" i="23"/>
  <c r="P437" i="23"/>
  <c r="O437" i="23"/>
  <c r="N437" i="23"/>
  <c r="M437" i="23"/>
  <c r="L437" i="23"/>
  <c r="K437" i="23"/>
  <c r="J437" i="23"/>
  <c r="I437" i="23"/>
  <c r="V436" i="23"/>
  <c r="U436" i="23"/>
  <c r="T436" i="23"/>
  <c r="S436" i="23"/>
  <c r="R436" i="23"/>
  <c r="Q436" i="23"/>
  <c r="P436" i="23"/>
  <c r="O436" i="23"/>
  <c r="N436" i="23"/>
  <c r="M436" i="23"/>
  <c r="L436" i="23"/>
  <c r="K436" i="23"/>
  <c r="J436" i="23"/>
  <c r="I436" i="23"/>
  <c r="V435" i="23"/>
  <c r="U435" i="23"/>
  <c r="T435" i="23"/>
  <c r="S435" i="23"/>
  <c r="R435" i="23"/>
  <c r="Q435" i="23"/>
  <c r="P435" i="23"/>
  <c r="O435" i="23"/>
  <c r="N435" i="23"/>
  <c r="M435" i="23"/>
  <c r="L435" i="23"/>
  <c r="K435" i="23"/>
  <c r="J435" i="23"/>
  <c r="I435" i="23"/>
  <c r="V434" i="23"/>
  <c r="U434" i="23"/>
  <c r="T434" i="23"/>
  <c r="S434" i="23"/>
  <c r="R434" i="23"/>
  <c r="Q434" i="23"/>
  <c r="P434" i="23"/>
  <c r="O434" i="23"/>
  <c r="N434" i="23"/>
  <c r="M434" i="23"/>
  <c r="L434" i="23"/>
  <c r="K434" i="23"/>
  <c r="J434" i="23"/>
  <c r="I434" i="23"/>
  <c r="V433" i="23"/>
  <c r="U433" i="23"/>
  <c r="T433" i="23"/>
  <c r="S433" i="23"/>
  <c r="R433" i="23"/>
  <c r="Q433" i="23"/>
  <c r="P433" i="23"/>
  <c r="O433" i="23"/>
  <c r="N433" i="23"/>
  <c r="M433" i="23"/>
  <c r="L433" i="23"/>
  <c r="K433" i="23"/>
  <c r="J433" i="23"/>
  <c r="I433" i="23"/>
  <c r="V432" i="23"/>
  <c r="U432" i="23"/>
  <c r="T432" i="23"/>
  <c r="S432" i="23"/>
  <c r="R432" i="23"/>
  <c r="Q432" i="23"/>
  <c r="P432" i="23"/>
  <c r="O432" i="23"/>
  <c r="N432" i="23"/>
  <c r="M432" i="23"/>
  <c r="L432" i="23"/>
  <c r="K432" i="23"/>
  <c r="J432" i="23"/>
  <c r="I432" i="23"/>
  <c r="V431" i="23"/>
  <c r="U431" i="23"/>
  <c r="T431" i="23"/>
  <c r="S431" i="23"/>
  <c r="R431" i="23"/>
  <c r="Q431" i="23"/>
  <c r="P431" i="23"/>
  <c r="O431" i="23"/>
  <c r="N431" i="23"/>
  <c r="M431" i="23"/>
  <c r="L431" i="23"/>
  <c r="K431" i="23"/>
  <c r="J431" i="23"/>
  <c r="I431" i="23"/>
  <c r="V430" i="23"/>
  <c r="U430" i="23"/>
  <c r="T430" i="23"/>
  <c r="S430" i="23"/>
  <c r="R430" i="23"/>
  <c r="Q430" i="23"/>
  <c r="P430" i="23"/>
  <c r="O430" i="23"/>
  <c r="N430" i="23"/>
  <c r="M430" i="23"/>
  <c r="L430" i="23"/>
  <c r="K430" i="23"/>
  <c r="J430" i="23"/>
  <c r="I430" i="23"/>
  <c r="V429" i="23"/>
  <c r="U429" i="23"/>
  <c r="T429" i="23"/>
  <c r="S429" i="23"/>
  <c r="R429" i="23"/>
  <c r="Q429" i="23"/>
  <c r="P429" i="23"/>
  <c r="O429" i="23"/>
  <c r="N429" i="23"/>
  <c r="M429" i="23"/>
  <c r="L429" i="23"/>
  <c r="K429" i="23"/>
  <c r="J429" i="23"/>
  <c r="I429" i="23"/>
  <c r="V428" i="23"/>
  <c r="U428" i="23"/>
  <c r="T428" i="23"/>
  <c r="S428" i="23"/>
  <c r="R428" i="23"/>
  <c r="Q428" i="23"/>
  <c r="P428" i="23"/>
  <c r="O428" i="23"/>
  <c r="N428" i="23"/>
  <c r="M428" i="23"/>
  <c r="L428" i="23"/>
  <c r="K428" i="23"/>
  <c r="J428" i="23"/>
  <c r="I428" i="23"/>
  <c r="V427" i="23"/>
  <c r="U427" i="23"/>
  <c r="T427" i="23"/>
  <c r="S427" i="23"/>
  <c r="R427" i="23"/>
  <c r="Q427" i="23"/>
  <c r="P427" i="23"/>
  <c r="O427" i="23"/>
  <c r="N427" i="23"/>
  <c r="M427" i="23"/>
  <c r="L427" i="23"/>
  <c r="K427" i="23"/>
  <c r="J427" i="23"/>
  <c r="I427" i="23"/>
  <c r="V426" i="23"/>
  <c r="U426" i="23"/>
  <c r="T426" i="23"/>
  <c r="S426" i="23"/>
  <c r="R426" i="23"/>
  <c r="Q426" i="23"/>
  <c r="P426" i="23"/>
  <c r="O426" i="23"/>
  <c r="N426" i="23"/>
  <c r="M426" i="23"/>
  <c r="L426" i="23"/>
  <c r="K426" i="23"/>
  <c r="J426" i="23"/>
  <c r="I426" i="23"/>
  <c r="V425" i="23"/>
  <c r="U425" i="23"/>
  <c r="T425" i="23"/>
  <c r="S425" i="23"/>
  <c r="R425" i="23"/>
  <c r="Q425" i="23"/>
  <c r="P425" i="23"/>
  <c r="O425" i="23"/>
  <c r="N425" i="23"/>
  <c r="M425" i="23"/>
  <c r="L425" i="23"/>
  <c r="K425" i="23"/>
  <c r="J425" i="23"/>
  <c r="I425" i="23"/>
  <c r="V424" i="23"/>
  <c r="U424" i="23"/>
  <c r="T424" i="23"/>
  <c r="S424" i="23"/>
  <c r="R424" i="23"/>
  <c r="Q424" i="23"/>
  <c r="P424" i="23"/>
  <c r="O424" i="23"/>
  <c r="N424" i="23"/>
  <c r="M424" i="23"/>
  <c r="L424" i="23"/>
  <c r="K424" i="23"/>
  <c r="J424" i="23"/>
  <c r="I424" i="23"/>
  <c r="V423" i="23"/>
  <c r="U423" i="23"/>
  <c r="T423" i="23"/>
  <c r="S423" i="23"/>
  <c r="R423" i="23"/>
  <c r="Q423" i="23"/>
  <c r="P423" i="23"/>
  <c r="O423" i="23"/>
  <c r="N423" i="23"/>
  <c r="M423" i="23"/>
  <c r="L423" i="23"/>
  <c r="K423" i="23"/>
  <c r="J423" i="23"/>
  <c r="I423" i="23"/>
  <c r="V422" i="23"/>
  <c r="U422" i="23"/>
  <c r="T422" i="23"/>
  <c r="S422" i="23"/>
  <c r="R422" i="23"/>
  <c r="Q422" i="23"/>
  <c r="P422" i="23"/>
  <c r="O422" i="23"/>
  <c r="N422" i="23"/>
  <c r="M422" i="23"/>
  <c r="L422" i="23"/>
  <c r="K422" i="23"/>
  <c r="J422" i="23"/>
  <c r="I422" i="23"/>
  <c r="V421" i="23"/>
  <c r="U421" i="23"/>
  <c r="T421" i="23"/>
  <c r="S421" i="23"/>
  <c r="R421" i="23"/>
  <c r="Q421" i="23"/>
  <c r="P421" i="23"/>
  <c r="O421" i="23"/>
  <c r="N421" i="23"/>
  <c r="M421" i="23"/>
  <c r="L421" i="23"/>
  <c r="K421" i="23"/>
  <c r="J421" i="23"/>
  <c r="I421" i="23"/>
  <c r="V420" i="23"/>
  <c r="U420" i="23"/>
  <c r="T420" i="23"/>
  <c r="S420" i="23"/>
  <c r="R420" i="23"/>
  <c r="Q420" i="23"/>
  <c r="P420" i="23"/>
  <c r="O420" i="23"/>
  <c r="N420" i="23"/>
  <c r="M420" i="23"/>
  <c r="L420" i="23"/>
  <c r="K420" i="23"/>
  <c r="J420" i="23"/>
  <c r="I420" i="23"/>
  <c r="V419" i="23"/>
  <c r="U419" i="23"/>
  <c r="T419" i="23"/>
  <c r="S419" i="23"/>
  <c r="R419" i="23"/>
  <c r="Q419" i="23"/>
  <c r="P419" i="23"/>
  <c r="O419" i="23"/>
  <c r="N419" i="23"/>
  <c r="M419" i="23"/>
  <c r="L419" i="23"/>
  <c r="K419" i="23"/>
  <c r="J419" i="23"/>
  <c r="I419" i="23"/>
  <c r="V418" i="23"/>
  <c r="U418" i="23"/>
  <c r="T418" i="23"/>
  <c r="S418" i="23"/>
  <c r="R418" i="23"/>
  <c r="Q418" i="23"/>
  <c r="P418" i="23"/>
  <c r="O418" i="23"/>
  <c r="N418" i="23"/>
  <c r="M418" i="23"/>
  <c r="L418" i="23"/>
  <c r="K418" i="23"/>
  <c r="J418" i="23"/>
  <c r="I418" i="23"/>
  <c r="V417" i="23"/>
  <c r="U417" i="23"/>
  <c r="T417" i="23"/>
  <c r="S417" i="23"/>
  <c r="R417" i="23"/>
  <c r="Q417" i="23"/>
  <c r="P417" i="23"/>
  <c r="O417" i="23"/>
  <c r="N417" i="23"/>
  <c r="M417" i="23"/>
  <c r="L417" i="23"/>
  <c r="K417" i="23"/>
  <c r="J417" i="23"/>
  <c r="I417" i="23"/>
  <c r="V416" i="23"/>
  <c r="U416" i="23"/>
  <c r="T416" i="23"/>
  <c r="S416" i="23"/>
  <c r="R416" i="23"/>
  <c r="Q416" i="23"/>
  <c r="P416" i="23"/>
  <c r="O416" i="23"/>
  <c r="N416" i="23"/>
  <c r="M416" i="23"/>
  <c r="L416" i="23"/>
  <c r="K416" i="23"/>
  <c r="J416" i="23"/>
  <c r="I416" i="23"/>
  <c r="V415" i="23"/>
  <c r="U415" i="23"/>
  <c r="T415" i="23"/>
  <c r="S415" i="23"/>
  <c r="R415" i="23"/>
  <c r="Q415" i="23"/>
  <c r="P415" i="23"/>
  <c r="O415" i="23"/>
  <c r="N415" i="23"/>
  <c r="M415" i="23"/>
  <c r="L415" i="23"/>
  <c r="K415" i="23"/>
  <c r="J415" i="23"/>
  <c r="I415" i="23"/>
  <c r="V414" i="23"/>
  <c r="U414" i="23"/>
  <c r="T414" i="23"/>
  <c r="S414" i="23"/>
  <c r="R414" i="23"/>
  <c r="Q414" i="23"/>
  <c r="P414" i="23"/>
  <c r="O414" i="23"/>
  <c r="N414" i="23"/>
  <c r="M414" i="23"/>
  <c r="L414" i="23"/>
  <c r="K414" i="23"/>
  <c r="J414" i="23"/>
  <c r="I414" i="23"/>
  <c r="V413" i="23"/>
  <c r="U413" i="23"/>
  <c r="T413" i="23"/>
  <c r="S413" i="23"/>
  <c r="R413" i="23"/>
  <c r="Q413" i="23"/>
  <c r="P413" i="23"/>
  <c r="O413" i="23"/>
  <c r="N413" i="23"/>
  <c r="M413" i="23"/>
  <c r="L413" i="23"/>
  <c r="K413" i="23"/>
  <c r="J413" i="23"/>
  <c r="I413" i="23"/>
  <c r="V412" i="23"/>
  <c r="U412" i="23"/>
  <c r="T412" i="23"/>
  <c r="S412" i="23"/>
  <c r="R412" i="23"/>
  <c r="Q412" i="23"/>
  <c r="P412" i="23"/>
  <c r="O412" i="23"/>
  <c r="N412" i="23"/>
  <c r="M412" i="23"/>
  <c r="L412" i="23"/>
  <c r="K412" i="23"/>
  <c r="J412" i="23"/>
  <c r="I412" i="23"/>
  <c r="V411" i="23"/>
  <c r="U411" i="23"/>
  <c r="T411" i="23"/>
  <c r="S411" i="23"/>
  <c r="R411" i="23"/>
  <c r="Q411" i="23"/>
  <c r="P411" i="23"/>
  <c r="O411" i="23"/>
  <c r="N411" i="23"/>
  <c r="M411" i="23"/>
  <c r="L411" i="23"/>
  <c r="K411" i="23"/>
  <c r="J411" i="23"/>
  <c r="I411" i="23"/>
  <c r="V410" i="23"/>
  <c r="U410" i="23"/>
  <c r="T410" i="23"/>
  <c r="S410" i="23"/>
  <c r="R410" i="23"/>
  <c r="Q410" i="23"/>
  <c r="P410" i="23"/>
  <c r="O410" i="23"/>
  <c r="N410" i="23"/>
  <c r="M410" i="23"/>
  <c r="L410" i="23"/>
  <c r="K410" i="23"/>
  <c r="J410" i="23"/>
  <c r="I410" i="23"/>
  <c r="V409" i="23"/>
  <c r="U409" i="23"/>
  <c r="T409" i="23"/>
  <c r="S409" i="23"/>
  <c r="R409" i="23"/>
  <c r="Q409" i="23"/>
  <c r="P409" i="23"/>
  <c r="O409" i="23"/>
  <c r="N409" i="23"/>
  <c r="M409" i="23"/>
  <c r="L409" i="23"/>
  <c r="K409" i="23"/>
  <c r="J409" i="23"/>
  <c r="I409" i="23"/>
  <c r="V408" i="23"/>
  <c r="U408" i="23"/>
  <c r="T408" i="23"/>
  <c r="S408" i="23"/>
  <c r="R408" i="23"/>
  <c r="Q408" i="23"/>
  <c r="P408" i="23"/>
  <c r="O408" i="23"/>
  <c r="N408" i="23"/>
  <c r="M408" i="23"/>
  <c r="L408" i="23"/>
  <c r="K408" i="23"/>
  <c r="J408" i="23"/>
  <c r="I408" i="23"/>
  <c r="V407" i="23"/>
  <c r="U407" i="23"/>
  <c r="T407" i="23"/>
  <c r="S407" i="23"/>
  <c r="R407" i="23"/>
  <c r="Q407" i="23"/>
  <c r="P407" i="23"/>
  <c r="O407" i="23"/>
  <c r="N407" i="23"/>
  <c r="M407" i="23"/>
  <c r="L407" i="23"/>
  <c r="K407" i="23"/>
  <c r="J407" i="23"/>
  <c r="I407" i="23"/>
  <c r="V406" i="23"/>
  <c r="U406" i="23"/>
  <c r="T406" i="23"/>
  <c r="S406" i="23"/>
  <c r="R406" i="23"/>
  <c r="Q406" i="23"/>
  <c r="P406" i="23"/>
  <c r="O406" i="23"/>
  <c r="N406" i="23"/>
  <c r="M406" i="23"/>
  <c r="L406" i="23"/>
  <c r="K406" i="23"/>
  <c r="J406" i="23"/>
  <c r="I406" i="23"/>
  <c r="V405" i="23"/>
  <c r="U405" i="23"/>
  <c r="T405" i="23"/>
  <c r="S405" i="23"/>
  <c r="R405" i="23"/>
  <c r="Q405" i="23"/>
  <c r="P405" i="23"/>
  <c r="O405" i="23"/>
  <c r="N405" i="23"/>
  <c r="M405" i="23"/>
  <c r="L405" i="23"/>
  <c r="K405" i="23"/>
  <c r="J405" i="23"/>
  <c r="I405" i="23"/>
  <c r="V404" i="23"/>
  <c r="U404" i="23"/>
  <c r="T404" i="23"/>
  <c r="S404" i="23"/>
  <c r="R404" i="23"/>
  <c r="Q404" i="23"/>
  <c r="P404" i="23"/>
  <c r="O404" i="23"/>
  <c r="N404" i="23"/>
  <c r="M404" i="23"/>
  <c r="L404" i="23"/>
  <c r="K404" i="23"/>
  <c r="J404" i="23"/>
  <c r="I404" i="23"/>
  <c r="V403" i="23"/>
  <c r="U403" i="23"/>
  <c r="T403" i="23"/>
  <c r="S403" i="23"/>
  <c r="R403" i="23"/>
  <c r="Q403" i="23"/>
  <c r="P403" i="23"/>
  <c r="O403" i="23"/>
  <c r="N403" i="23"/>
  <c r="M403" i="23"/>
  <c r="L403" i="23"/>
  <c r="K403" i="23"/>
  <c r="J403" i="23"/>
  <c r="I403" i="23"/>
  <c r="V402" i="23"/>
  <c r="U402" i="23"/>
  <c r="T402" i="23"/>
  <c r="S402" i="23"/>
  <c r="R402" i="23"/>
  <c r="Q402" i="23"/>
  <c r="P402" i="23"/>
  <c r="O402" i="23"/>
  <c r="N402" i="23"/>
  <c r="M402" i="23"/>
  <c r="L402" i="23"/>
  <c r="K402" i="23"/>
  <c r="J402" i="23"/>
  <c r="I402" i="23"/>
  <c r="V401" i="23"/>
  <c r="U401" i="23"/>
  <c r="T401" i="23"/>
  <c r="S401" i="23"/>
  <c r="R401" i="23"/>
  <c r="Q401" i="23"/>
  <c r="P401" i="23"/>
  <c r="O401" i="23"/>
  <c r="N401" i="23"/>
  <c r="M401" i="23"/>
  <c r="L401" i="23"/>
  <c r="K401" i="23"/>
  <c r="J401" i="23"/>
  <c r="I401" i="23"/>
  <c r="V400" i="23"/>
  <c r="U400" i="23"/>
  <c r="T400" i="23"/>
  <c r="S400" i="23"/>
  <c r="R400" i="23"/>
  <c r="Q400" i="23"/>
  <c r="P400" i="23"/>
  <c r="O400" i="23"/>
  <c r="N400" i="23"/>
  <c r="M400" i="23"/>
  <c r="L400" i="23"/>
  <c r="K400" i="23"/>
  <c r="J400" i="23"/>
  <c r="I400" i="23"/>
  <c r="V399" i="23"/>
  <c r="U399" i="23"/>
  <c r="T399" i="23"/>
  <c r="S399" i="23"/>
  <c r="R399" i="23"/>
  <c r="Q399" i="23"/>
  <c r="P399" i="23"/>
  <c r="O399" i="23"/>
  <c r="N399" i="23"/>
  <c r="M399" i="23"/>
  <c r="L399" i="23"/>
  <c r="K399" i="23"/>
  <c r="J399" i="23"/>
  <c r="I399" i="23"/>
  <c r="V398" i="23"/>
  <c r="U398" i="23"/>
  <c r="T398" i="23"/>
  <c r="S398" i="23"/>
  <c r="R398" i="23"/>
  <c r="Q398" i="23"/>
  <c r="P398" i="23"/>
  <c r="O398" i="23"/>
  <c r="N398" i="23"/>
  <c r="M398" i="23"/>
  <c r="L398" i="23"/>
  <c r="K398" i="23"/>
  <c r="J398" i="23"/>
  <c r="I398" i="23"/>
  <c r="V397" i="23"/>
  <c r="U397" i="23"/>
  <c r="T397" i="23"/>
  <c r="S397" i="23"/>
  <c r="R397" i="23"/>
  <c r="Q397" i="23"/>
  <c r="P397" i="23"/>
  <c r="O397" i="23"/>
  <c r="N397" i="23"/>
  <c r="M397" i="23"/>
  <c r="L397" i="23"/>
  <c r="K397" i="23"/>
  <c r="J397" i="23"/>
  <c r="I397" i="23"/>
  <c r="V396" i="23"/>
  <c r="U396" i="23"/>
  <c r="T396" i="23"/>
  <c r="S396" i="23"/>
  <c r="R396" i="23"/>
  <c r="Q396" i="23"/>
  <c r="P396" i="23"/>
  <c r="O396" i="23"/>
  <c r="N396" i="23"/>
  <c r="M396" i="23"/>
  <c r="L396" i="23"/>
  <c r="K396" i="23"/>
  <c r="J396" i="23"/>
  <c r="I396" i="23"/>
  <c r="V395" i="23"/>
  <c r="U395" i="23"/>
  <c r="T395" i="23"/>
  <c r="S395" i="23"/>
  <c r="R395" i="23"/>
  <c r="Q395" i="23"/>
  <c r="P395" i="23"/>
  <c r="O395" i="23"/>
  <c r="N395" i="23"/>
  <c r="M395" i="23"/>
  <c r="L395" i="23"/>
  <c r="K395" i="23"/>
  <c r="J395" i="23"/>
  <c r="I395" i="23"/>
  <c r="V394" i="23"/>
  <c r="U394" i="23"/>
  <c r="T394" i="23"/>
  <c r="S394" i="23"/>
  <c r="R394" i="23"/>
  <c r="Q394" i="23"/>
  <c r="P394" i="23"/>
  <c r="O394" i="23"/>
  <c r="N394" i="23"/>
  <c r="M394" i="23"/>
  <c r="L394" i="23"/>
  <c r="K394" i="23"/>
  <c r="J394" i="23"/>
  <c r="I394" i="23"/>
  <c r="V393" i="23"/>
  <c r="U393" i="23"/>
  <c r="T393" i="23"/>
  <c r="S393" i="23"/>
  <c r="R393" i="23"/>
  <c r="Q393" i="23"/>
  <c r="P393" i="23"/>
  <c r="O393" i="23"/>
  <c r="N393" i="23"/>
  <c r="M393" i="23"/>
  <c r="L393" i="23"/>
  <c r="K393" i="23"/>
  <c r="J393" i="23"/>
  <c r="I393" i="23"/>
  <c r="V392" i="23"/>
  <c r="U392" i="23"/>
  <c r="T392" i="23"/>
  <c r="S392" i="23"/>
  <c r="R392" i="23"/>
  <c r="Q392" i="23"/>
  <c r="P392" i="23"/>
  <c r="O392" i="23"/>
  <c r="N392" i="23"/>
  <c r="M392" i="23"/>
  <c r="L392" i="23"/>
  <c r="K392" i="23"/>
  <c r="J392" i="23"/>
  <c r="I392" i="23"/>
  <c r="V391" i="23"/>
  <c r="U391" i="23"/>
  <c r="T391" i="23"/>
  <c r="S391" i="23"/>
  <c r="R391" i="23"/>
  <c r="Q391" i="23"/>
  <c r="P391" i="23"/>
  <c r="O391" i="23"/>
  <c r="N391" i="23"/>
  <c r="M391" i="23"/>
  <c r="L391" i="23"/>
  <c r="K391" i="23"/>
  <c r="J391" i="23"/>
  <c r="I391" i="23"/>
  <c r="V390" i="23"/>
  <c r="U390" i="23"/>
  <c r="T390" i="23"/>
  <c r="S390" i="23"/>
  <c r="R390" i="23"/>
  <c r="Q390" i="23"/>
  <c r="P390" i="23"/>
  <c r="O390" i="23"/>
  <c r="N390" i="23"/>
  <c r="M390" i="23"/>
  <c r="L390" i="23"/>
  <c r="K390" i="23"/>
  <c r="J390" i="23"/>
  <c r="I390" i="23"/>
  <c r="V389" i="23"/>
  <c r="U389" i="23"/>
  <c r="T389" i="23"/>
  <c r="S389" i="23"/>
  <c r="R389" i="23"/>
  <c r="Q389" i="23"/>
  <c r="P389" i="23"/>
  <c r="O389" i="23"/>
  <c r="N389" i="23"/>
  <c r="M389" i="23"/>
  <c r="L389" i="23"/>
  <c r="K389" i="23"/>
  <c r="J389" i="23"/>
  <c r="I389" i="23"/>
  <c r="V388" i="23"/>
  <c r="U388" i="23"/>
  <c r="T388" i="23"/>
  <c r="S388" i="23"/>
  <c r="R388" i="23"/>
  <c r="Q388" i="23"/>
  <c r="P388" i="23"/>
  <c r="O388" i="23"/>
  <c r="N388" i="23"/>
  <c r="M388" i="23"/>
  <c r="L388" i="23"/>
  <c r="K388" i="23"/>
  <c r="J388" i="23"/>
  <c r="I388" i="23"/>
  <c r="V387" i="23"/>
  <c r="U387" i="23"/>
  <c r="T387" i="23"/>
  <c r="S387" i="23"/>
  <c r="R387" i="23"/>
  <c r="Q387" i="23"/>
  <c r="P387" i="23"/>
  <c r="O387" i="23"/>
  <c r="N387" i="23"/>
  <c r="M387" i="23"/>
  <c r="L387" i="23"/>
  <c r="K387" i="23"/>
  <c r="J387" i="23"/>
  <c r="I387" i="23"/>
  <c r="V386" i="23"/>
  <c r="U386" i="23"/>
  <c r="T386" i="23"/>
  <c r="S386" i="23"/>
  <c r="R386" i="23"/>
  <c r="Q386" i="23"/>
  <c r="P386" i="23"/>
  <c r="O386" i="23"/>
  <c r="N386" i="23"/>
  <c r="M386" i="23"/>
  <c r="L386" i="23"/>
  <c r="K386" i="23"/>
  <c r="J386" i="23"/>
  <c r="I386" i="23"/>
  <c r="V385" i="23"/>
  <c r="U385" i="23"/>
  <c r="T385" i="23"/>
  <c r="S385" i="23"/>
  <c r="R385" i="23"/>
  <c r="Q385" i="23"/>
  <c r="P385" i="23"/>
  <c r="O385" i="23"/>
  <c r="N385" i="23"/>
  <c r="M385" i="23"/>
  <c r="L385" i="23"/>
  <c r="K385" i="23"/>
  <c r="J385" i="23"/>
  <c r="I385" i="23"/>
  <c r="V384" i="23"/>
  <c r="U384" i="23"/>
  <c r="T384" i="23"/>
  <c r="S384" i="23"/>
  <c r="R384" i="23"/>
  <c r="Q384" i="23"/>
  <c r="P384" i="23"/>
  <c r="O384" i="23"/>
  <c r="N384" i="23"/>
  <c r="M384" i="23"/>
  <c r="L384" i="23"/>
  <c r="K384" i="23"/>
  <c r="J384" i="23"/>
  <c r="I384" i="23"/>
  <c r="V383" i="23"/>
  <c r="U383" i="23"/>
  <c r="T383" i="23"/>
  <c r="S383" i="23"/>
  <c r="R383" i="23"/>
  <c r="Q383" i="23"/>
  <c r="P383" i="23"/>
  <c r="O383" i="23"/>
  <c r="N383" i="23"/>
  <c r="M383" i="23"/>
  <c r="L383" i="23"/>
  <c r="K383" i="23"/>
  <c r="J383" i="23"/>
  <c r="I383" i="23"/>
  <c r="V382" i="23"/>
  <c r="U382" i="23"/>
  <c r="T382" i="23"/>
  <c r="S382" i="23"/>
  <c r="R382" i="23"/>
  <c r="Q382" i="23"/>
  <c r="P382" i="23"/>
  <c r="O382" i="23"/>
  <c r="N382" i="23"/>
  <c r="M382" i="23"/>
  <c r="L382" i="23"/>
  <c r="K382" i="23"/>
  <c r="J382" i="23"/>
  <c r="I382" i="23"/>
  <c r="V381" i="23"/>
  <c r="U381" i="23"/>
  <c r="T381" i="23"/>
  <c r="S381" i="23"/>
  <c r="R381" i="23"/>
  <c r="Q381" i="23"/>
  <c r="P381" i="23"/>
  <c r="O381" i="23"/>
  <c r="N381" i="23"/>
  <c r="M381" i="23"/>
  <c r="L381" i="23"/>
  <c r="K381" i="23"/>
  <c r="J381" i="23"/>
  <c r="I381" i="23"/>
  <c r="V380" i="23"/>
  <c r="U380" i="23"/>
  <c r="T380" i="23"/>
  <c r="S380" i="23"/>
  <c r="R380" i="23"/>
  <c r="Q380" i="23"/>
  <c r="P380" i="23"/>
  <c r="O380" i="23"/>
  <c r="N380" i="23"/>
  <c r="M380" i="23"/>
  <c r="L380" i="23"/>
  <c r="K380" i="23"/>
  <c r="J380" i="23"/>
  <c r="I380" i="23"/>
  <c r="V379" i="23"/>
  <c r="U379" i="23"/>
  <c r="T379" i="23"/>
  <c r="S379" i="23"/>
  <c r="R379" i="23"/>
  <c r="Q379" i="23"/>
  <c r="P379" i="23"/>
  <c r="O379" i="23"/>
  <c r="N379" i="23"/>
  <c r="M379" i="23"/>
  <c r="L379" i="23"/>
  <c r="K379" i="23"/>
  <c r="J379" i="23"/>
  <c r="I379" i="23"/>
  <c r="V378" i="23"/>
  <c r="U378" i="23"/>
  <c r="T378" i="23"/>
  <c r="S378" i="23"/>
  <c r="R378" i="23"/>
  <c r="Q378" i="23"/>
  <c r="P378" i="23"/>
  <c r="O378" i="23"/>
  <c r="N378" i="23"/>
  <c r="M378" i="23"/>
  <c r="L378" i="23"/>
  <c r="K378" i="23"/>
  <c r="J378" i="23"/>
  <c r="I378" i="23"/>
  <c r="V377" i="23"/>
  <c r="U377" i="23"/>
  <c r="T377" i="23"/>
  <c r="S377" i="23"/>
  <c r="R377" i="23"/>
  <c r="Q377" i="23"/>
  <c r="P377" i="23"/>
  <c r="O377" i="23"/>
  <c r="N377" i="23"/>
  <c r="M377" i="23"/>
  <c r="L377" i="23"/>
  <c r="K377" i="23"/>
  <c r="J377" i="23"/>
  <c r="I377" i="23"/>
  <c r="V376" i="23"/>
  <c r="U376" i="23"/>
  <c r="T376" i="23"/>
  <c r="S376" i="23"/>
  <c r="R376" i="23"/>
  <c r="Q376" i="23"/>
  <c r="P376" i="23"/>
  <c r="O376" i="23"/>
  <c r="N376" i="23"/>
  <c r="M376" i="23"/>
  <c r="L376" i="23"/>
  <c r="K376" i="23"/>
  <c r="J376" i="23"/>
  <c r="I376" i="23"/>
  <c r="V375" i="23"/>
  <c r="U375" i="23"/>
  <c r="T375" i="23"/>
  <c r="S375" i="23"/>
  <c r="R375" i="23"/>
  <c r="Q375" i="23"/>
  <c r="P375" i="23"/>
  <c r="O375" i="23"/>
  <c r="N375" i="23"/>
  <c r="M375" i="23"/>
  <c r="L375" i="23"/>
  <c r="K375" i="23"/>
  <c r="J375" i="23"/>
  <c r="I375" i="23"/>
  <c r="V374" i="23"/>
  <c r="U374" i="23"/>
  <c r="T374" i="23"/>
  <c r="S374" i="23"/>
  <c r="R374" i="23"/>
  <c r="Q374" i="23"/>
  <c r="P374" i="23"/>
  <c r="O374" i="23"/>
  <c r="N374" i="23"/>
  <c r="M374" i="23"/>
  <c r="L374" i="23"/>
  <c r="K374" i="23"/>
  <c r="J374" i="23"/>
  <c r="I374" i="23"/>
  <c r="V373" i="23"/>
  <c r="U373" i="23"/>
  <c r="T373" i="23"/>
  <c r="S373" i="23"/>
  <c r="R373" i="23"/>
  <c r="Q373" i="23"/>
  <c r="P373" i="23"/>
  <c r="O373" i="23"/>
  <c r="N373" i="23"/>
  <c r="M373" i="23"/>
  <c r="L373" i="23"/>
  <c r="K373" i="23"/>
  <c r="J373" i="23"/>
  <c r="I373" i="23"/>
  <c r="V372" i="23"/>
  <c r="U372" i="23"/>
  <c r="T372" i="23"/>
  <c r="S372" i="23"/>
  <c r="R372" i="23"/>
  <c r="Q372" i="23"/>
  <c r="P372" i="23"/>
  <c r="O372" i="23"/>
  <c r="N372" i="23"/>
  <c r="M372" i="23"/>
  <c r="L372" i="23"/>
  <c r="K372" i="23"/>
  <c r="J372" i="23"/>
  <c r="I372" i="23"/>
  <c r="V371" i="23"/>
  <c r="U371" i="23"/>
  <c r="T371" i="23"/>
  <c r="S371" i="23"/>
  <c r="R371" i="23"/>
  <c r="Q371" i="23"/>
  <c r="P371" i="23"/>
  <c r="O371" i="23"/>
  <c r="N371" i="23"/>
  <c r="M371" i="23"/>
  <c r="L371" i="23"/>
  <c r="K371" i="23"/>
  <c r="J371" i="23"/>
  <c r="I371" i="23"/>
  <c r="V370" i="23"/>
  <c r="U370" i="23"/>
  <c r="T370" i="23"/>
  <c r="S370" i="23"/>
  <c r="R370" i="23"/>
  <c r="Q370" i="23"/>
  <c r="P370" i="23"/>
  <c r="O370" i="23"/>
  <c r="N370" i="23"/>
  <c r="M370" i="23"/>
  <c r="L370" i="23"/>
  <c r="K370" i="23"/>
  <c r="J370" i="23"/>
  <c r="I370" i="23"/>
  <c r="V369" i="23"/>
  <c r="U369" i="23"/>
  <c r="T369" i="23"/>
  <c r="S369" i="23"/>
  <c r="R369" i="23"/>
  <c r="Q369" i="23"/>
  <c r="P369" i="23"/>
  <c r="O369" i="23"/>
  <c r="N369" i="23"/>
  <c r="M369" i="23"/>
  <c r="L369" i="23"/>
  <c r="K369" i="23"/>
  <c r="J369" i="23"/>
  <c r="I369" i="23"/>
  <c r="V368" i="23"/>
  <c r="U368" i="23"/>
  <c r="T368" i="23"/>
  <c r="S368" i="23"/>
  <c r="R368" i="23"/>
  <c r="Q368" i="23"/>
  <c r="P368" i="23"/>
  <c r="O368" i="23"/>
  <c r="N368" i="23"/>
  <c r="M368" i="23"/>
  <c r="L368" i="23"/>
  <c r="K368" i="23"/>
  <c r="J368" i="23"/>
  <c r="I368" i="23"/>
  <c r="V367" i="23"/>
  <c r="U367" i="23"/>
  <c r="T367" i="23"/>
  <c r="S367" i="23"/>
  <c r="R367" i="23"/>
  <c r="Q367" i="23"/>
  <c r="P367" i="23"/>
  <c r="O367" i="23"/>
  <c r="N367" i="23"/>
  <c r="M367" i="23"/>
  <c r="L367" i="23"/>
  <c r="K367" i="23"/>
  <c r="J367" i="23"/>
  <c r="I367" i="23"/>
  <c r="V366" i="23"/>
  <c r="U366" i="23"/>
  <c r="T366" i="23"/>
  <c r="S366" i="23"/>
  <c r="R366" i="23"/>
  <c r="Q366" i="23"/>
  <c r="P366" i="23"/>
  <c r="O366" i="23"/>
  <c r="N366" i="23"/>
  <c r="M366" i="23"/>
  <c r="L366" i="23"/>
  <c r="K366" i="23"/>
  <c r="J366" i="23"/>
  <c r="I366" i="23"/>
  <c r="V365" i="23"/>
  <c r="U365" i="23"/>
  <c r="T365" i="23"/>
  <c r="S365" i="23"/>
  <c r="R365" i="23"/>
  <c r="Q365" i="23"/>
  <c r="P365" i="23"/>
  <c r="O365" i="23"/>
  <c r="N365" i="23"/>
  <c r="M365" i="23"/>
  <c r="L365" i="23"/>
  <c r="K365" i="23"/>
  <c r="J365" i="23"/>
  <c r="I365" i="23"/>
  <c r="V364" i="23"/>
  <c r="U364" i="23"/>
  <c r="T364" i="23"/>
  <c r="S364" i="23"/>
  <c r="R364" i="23"/>
  <c r="Q364" i="23"/>
  <c r="P364" i="23"/>
  <c r="O364" i="23"/>
  <c r="N364" i="23"/>
  <c r="M364" i="23"/>
  <c r="L364" i="23"/>
  <c r="K364" i="23"/>
  <c r="J364" i="23"/>
  <c r="I364" i="23"/>
  <c r="V363" i="23"/>
  <c r="U363" i="23"/>
  <c r="T363" i="23"/>
  <c r="S363" i="23"/>
  <c r="R363" i="23"/>
  <c r="Q363" i="23"/>
  <c r="P363" i="23"/>
  <c r="O363" i="23"/>
  <c r="N363" i="23"/>
  <c r="M363" i="23"/>
  <c r="L363" i="23"/>
  <c r="K363" i="23"/>
  <c r="J363" i="23"/>
  <c r="I363" i="23"/>
  <c r="V362" i="23"/>
  <c r="U362" i="23"/>
  <c r="T362" i="23"/>
  <c r="S362" i="23"/>
  <c r="R362" i="23"/>
  <c r="Q362" i="23"/>
  <c r="P362" i="23"/>
  <c r="O362" i="23"/>
  <c r="N362" i="23"/>
  <c r="M362" i="23"/>
  <c r="L362" i="23"/>
  <c r="K362" i="23"/>
  <c r="J362" i="23"/>
  <c r="I362" i="23"/>
  <c r="V361" i="23"/>
  <c r="U361" i="23"/>
  <c r="T361" i="23"/>
  <c r="S361" i="23"/>
  <c r="R361" i="23"/>
  <c r="Q361" i="23"/>
  <c r="P361" i="23"/>
  <c r="O361" i="23"/>
  <c r="N361" i="23"/>
  <c r="M361" i="23"/>
  <c r="L361" i="23"/>
  <c r="K361" i="23"/>
  <c r="J361" i="23"/>
  <c r="I361" i="23"/>
  <c r="V360" i="23"/>
  <c r="U360" i="23"/>
  <c r="T360" i="23"/>
  <c r="S360" i="23"/>
  <c r="R360" i="23"/>
  <c r="Q360" i="23"/>
  <c r="P360" i="23"/>
  <c r="O360" i="23"/>
  <c r="N360" i="23"/>
  <c r="M360" i="23"/>
  <c r="L360" i="23"/>
  <c r="K360" i="23"/>
  <c r="J360" i="23"/>
  <c r="I360" i="23"/>
  <c r="V359" i="23"/>
  <c r="U359" i="23"/>
  <c r="T359" i="23"/>
  <c r="S359" i="23"/>
  <c r="R359" i="23"/>
  <c r="Q359" i="23"/>
  <c r="P359" i="23"/>
  <c r="O359" i="23"/>
  <c r="N359" i="23"/>
  <c r="M359" i="23"/>
  <c r="L359" i="23"/>
  <c r="K359" i="23"/>
  <c r="J359" i="23"/>
  <c r="I359" i="23"/>
  <c r="V358" i="23"/>
  <c r="U358" i="23"/>
  <c r="T358" i="23"/>
  <c r="S358" i="23"/>
  <c r="R358" i="23"/>
  <c r="Q358" i="23"/>
  <c r="P358" i="23"/>
  <c r="O358" i="23"/>
  <c r="N358" i="23"/>
  <c r="M358" i="23"/>
  <c r="L358" i="23"/>
  <c r="K358" i="23"/>
  <c r="J358" i="23"/>
  <c r="I358" i="23"/>
  <c r="V357" i="23"/>
  <c r="U357" i="23"/>
  <c r="T357" i="23"/>
  <c r="S357" i="23"/>
  <c r="R357" i="23"/>
  <c r="Q357" i="23"/>
  <c r="P357" i="23"/>
  <c r="O357" i="23"/>
  <c r="N357" i="23"/>
  <c r="M357" i="23"/>
  <c r="L357" i="23"/>
  <c r="K357" i="23"/>
  <c r="J357" i="23"/>
  <c r="I357" i="23"/>
  <c r="V356" i="23"/>
  <c r="U356" i="23"/>
  <c r="T356" i="23"/>
  <c r="S356" i="23"/>
  <c r="R356" i="23"/>
  <c r="Q356" i="23"/>
  <c r="P356" i="23"/>
  <c r="O356" i="23"/>
  <c r="N356" i="23"/>
  <c r="M356" i="23"/>
  <c r="L356" i="23"/>
  <c r="K356" i="23"/>
  <c r="J356" i="23"/>
  <c r="I356" i="23"/>
  <c r="V355" i="23"/>
  <c r="U355" i="23"/>
  <c r="T355" i="23"/>
  <c r="S355" i="23"/>
  <c r="R355" i="23"/>
  <c r="Q355" i="23"/>
  <c r="P355" i="23"/>
  <c r="O355" i="23"/>
  <c r="N355" i="23"/>
  <c r="M355" i="23"/>
  <c r="L355" i="23"/>
  <c r="K355" i="23"/>
  <c r="J355" i="23"/>
  <c r="I355" i="23"/>
  <c r="V354" i="23"/>
  <c r="U354" i="23"/>
  <c r="T354" i="23"/>
  <c r="S354" i="23"/>
  <c r="R354" i="23"/>
  <c r="Q354" i="23"/>
  <c r="P354" i="23"/>
  <c r="O354" i="23"/>
  <c r="N354" i="23"/>
  <c r="M354" i="23"/>
  <c r="L354" i="23"/>
  <c r="K354" i="23"/>
  <c r="J354" i="23"/>
  <c r="I354" i="23"/>
  <c r="V353" i="23"/>
  <c r="U353" i="23"/>
  <c r="T353" i="23"/>
  <c r="S353" i="23"/>
  <c r="R353" i="23"/>
  <c r="Q353" i="23"/>
  <c r="P353" i="23"/>
  <c r="O353" i="23"/>
  <c r="N353" i="23"/>
  <c r="M353" i="23"/>
  <c r="L353" i="23"/>
  <c r="K353" i="23"/>
  <c r="J353" i="23"/>
  <c r="I353" i="23"/>
  <c r="V352" i="23"/>
  <c r="U352" i="23"/>
  <c r="T352" i="23"/>
  <c r="S352" i="23"/>
  <c r="R352" i="23"/>
  <c r="Q352" i="23"/>
  <c r="P352" i="23"/>
  <c r="O352" i="23"/>
  <c r="N352" i="23"/>
  <c r="M352" i="23"/>
  <c r="L352" i="23"/>
  <c r="K352" i="23"/>
  <c r="J352" i="23"/>
  <c r="I352" i="23"/>
  <c r="V351" i="23"/>
  <c r="U351" i="23"/>
  <c r="T351" i="23"/>
  <c r="S351" i="23"/>
  <c r="R351" i="23"/>
  <c r="Q351" i="23"/>
  <c r="P351" i="23"/>
  <c r="O351" i="23"/>
  <c r="N351" i="23"/>
  <c r="M351" i="23"/>
  <c r="L351" i="23"/>
  <c r="K351" i="23"/>
  <c r="J351" i="23"/>
  <c r="I351" i="23"/>
  <c r="V350" i="23"/>
  <c r="U350" i="23"/>
  <c r="T350" i="23"/>
  <c r="S350" i="23"/>
  <c r="R350" i="23"/>
  <c r="Q350" i="23"/>
  <c r="P350" i="23"/>
  <c r="O350" i="23"/>
  <c r="N350" i="23"/>
  <c r="M350" i="23"/>
  <c r="L350" i="23"/>
  <c r="K350" i="23"/>
  <c r="J350" i="23"/>
  <c r="I350" i="23"/>
  <c r="V349" i="23"/>
  <c r="U349" i="23"/>
  <c r="T349" i="23"/>
  <c r="S349" i="23"/>
  <c r="R349" i="23"/>
  <c r="Q349" i="23"/>
  <c r="P349" i="23"/>
  <c r="O349" i="23"/>
  <c r="N349" i="23"/>
  <c r="M349" i="23"/>
  <c r="L349" i="23"/>
  <c r="K349" i="23"/>
  <c r="J349" i="23"/>
  <c r="I349" i="23"/>
  <c r="V348" i="23"/>
  <c r="U348" i="23"/>
  <c r="T348" i="23"/>
  <c r="S348" i="23"/>
  <c r="R348" i="23"/>
  <c r="Q348" i="23"/>
  <c r="P348" i="23"/>
  <c r="O348" i="23"/>
  <c r="N348" i="23"/>
  <c r="M348" i="23"/>
  <c r="L348" i="23"/>
  <c r="K348" i="23"/>
  <c r="J348" i="23"/>
  <c r="I348" i="23"/>
  <c r="V347" i="23"/>
  <c r="U347" i="23"/>
  <c r="T347" i="23"/>
  <c r="S347" i="23"/>
  <c r="R347" i="23"/>
  <c r="Q347" i="23"/>
  <c r="P347" i="23"/>
  <c r="O347" i="23"/>
  <c r="N347" i="23"/>
  <c r="M347" i="23"/>
  <c r="L347" i="23"/>
  <c r="K347" i="23"/>
  <c r="J347" i="23"/>
  <c r="I347" i="23"/>
  <c r="V346" i="23"/>
  <c r="U346" i="23"/>
  <c r="T346" i="23"/>
  <c r="S346" i="23"/>
  <c r="R346" i="23"/>
  <c r="Q346" i="23"/>
  <c r="P346" i="23"/>
  <c r="O346" i="23"/>
  <c r="N346" i="23"/>
  <c r="M346" i="23"/>
  <c r="L346" i="23"/>
  <c r="K346" i="23"/>
  <c r="J346" i="23"/>
  <c r="I346" i="23"/>
  <c r="V345" i="23"/>
  <c r="U345" i="23"/>
  <c r="T345" i="23"/>
  <c r="S345" i="23"/>
  <c r="R345" i="23"/>
  <c r="Q345" i="23"/>
  <c r="P345" i="23"/>
  <c r="O345" i="23"/>
  <c r="N345" i="23"/>
  <c r="M345" i="23"/>
  <c r="L345" i="23"/>
  <c r="K345" i="23"/>
  <c r="J345" i="23"/>
  <c r="I345" i="23"/>
  <c r="V344" i="23"/>
  <c r="U344" i="23"/>
  <c r="T344" i="23"/>
  <c r="S344" i="23"/>
  <c r="R344" i="23"/>
  <c r="Q344" i="23"/>
  <c r="P344" i="23"/>
  <c r="O344" i="23"/>
  <c r="N344" i="23"/>
  <c r="M344" i="23"/>
  <c r="L344" i="23"/>
  <c r="K344" i="23"/>
  <c r="J344" i="23"/>
  <c r="I344" i="23"/>
  <c r="V343" i="23"/>
  <c r="U343" i="23"/>
  <c r="T343" i="23"/>
  <c r="S343" i="23"/>
  <c r="R343" i="23"/>
  <c r="Q343" i="23"/>
  <c r="P343" i="23"/>
  <c r="O343" i="23"/>
  <c r="N343" i="23"/>
  <c r="M343" i="23"/>
  <c r="L343" i="23"/>
  <c r="K343" i="23"/>
  <c r="J343" i="23"/>
  <c r="I343" i="23"/>
  <c r="V342" i="23"/>
  <c r="U342" i="23"/>
  <c r="T342" i="23"/>
  <c r="S342" i="23"/>
  <c r="R342" i="23"/>
  <c r="Q342" i="23"/>
  <c r="P342" i="23"/>
  <c r="O342" i="23"/>
  <c r="N342" i="23"/>
  <c r="M342" i="23"/>
  <c r="L342" i="23"/>
  <c r="K342" i="23"/>
  <c r="J342" i="23"/>
  <c r="I342" i="23"/>
  <c r="V341" i="23"/>
  <c r="U341" i="23"/>
  <c r="T341" i="23"/>
  <c r="S341" i="23"/>
  <c r="R341" i="23"/>
  <c r="Q341" i="23"/>
  <c r="P341" i="23"/>
  <c r="O341" i="23"/>
  <c r="N341" i="23"/>
  <c r="M341" i="23"/>
  <c r="L341" i="23"/>
  <c r="K341" i="23"/>
  <c r="J341" i="23"/>
  <c r="I341" i="23"/>
  <c r="V340" i="23"/>
  <c r="U340" i="23"/>
  <c r="T340" i="23"/>
  <c r="S340" i="23"/>
  <c r="R340" i="23"/>
  <c r="Q340" i="23"/>
  <c r="P340" i="23"/>
  <c r="O340" i="23"/>
  <c r="N340" i="23"/>
  <c r="M340" i="23"/>
  <c r="L340" i="23"/>
  <c r="K340" i="23"/>
  <c r="J340" i="23"/>
  <c r="I340" i="23"/>
  <c r="V339" i="23"/>
  <c r="U339" i="23"/>
  <c r="T339" i="23"/>
  <c r="S339" i="23"/>
  <c r="R339" i="23"/>
  <c r="Q339" i="23"/>
  <c r="P339" i="23"/>
  <c r="O339" i="23"/>
  <c r="N339" i="23"/>
  <c r="M339" i="23"/>
  <c r="L339" i="23"/>
  <c r="K339" i="23"/>
  <c r="J339" i="23"/>
  <c r="I339" i="23"/>
  <c r="V338" i="23"/>
  <c r="U338" i="23"/>
  <c r="T338" i="23"/>
  <c r="S338" i="23"/>
  <c r="R338" i="23"/>
  <c r="Q338" i="23"/>
  <c r="P338" i="23"/>
  <c r="O338" i="23"/>
  <c r="N338" i="23"/>
  <c r="M338" i="23"/>
  <c r="L338" i="23"/>
  <c r="K338" i="23"/>
  <c r="J338" i="23"/>
  <c r="I338" i="23"/>
  <c r="V337" i="23"/>
  <c r="U337" i="23"/>
  <c r="T337" i="23"/>
  <c r="S337" i="23"/>
  <c r="R337" i="23"/>
  <c r="Q337" i="23"/>
  <c r="P337" i="23"/>
  <c r="O337" i="23"/>
  <c r="N337" i="23"/>
  <c r="M337" i="23"/>
  <c r="L337" i="23"/>
  <c r="K337" i="23"/>
  <c r="J337" i="23"/>
  <c r="I337" i="23"/>
  <c r="V336" i="23"/>
  <c r="U336" i="23"/>
  <c r="T336" i="23"/>
  <c r="S336" i="23"/>
  <c r="R336" i="23"/>
  <c r="Q336" i="23"/>
  <c r="P336" i="23"/>
  <c r="O336" i="23"/>
  <c r="N336" i="23"/>
  <c r="M336" i="23"/>
  <c r="L336" i="23"/>
  <c r="K336" i="23"/>
  <c r="J336" i="23"/>
  <c r="I336" i="23"/>
  <c r="V335" i="23"/>
  <c r="U335" i="23"/>
  <c r="T335" i="23"/>
  <c r="S335" i="23"/>
  <c r="R335" i="23"/>
  <c r="Q335" i="23"/>
  <c r="P335" i="23"/>
  <c r="O335" i="23"/>
  <c r="N335" i="23"/>
  <c r="M335" i="23"/>
  <c r="L335" i="23"/>
  <c r="K335" i="23"/>
  <c r="J335" i="23"/>
  <c r="I335" i="23"/>
  <c r="V334" i="23"/>
  <c r="U334" i="23"/>
  <c r="T334" i="23"/>
  <c r="S334" i="23"/>
  <c r="R334" i="23"/>
  <c r="Q334" i="23"/>
  <c r="P334" i="23"/>
  <c r="O334" i="23"/>
  <c r="N334" i="23"/>
  <c r="M334" i="23"/>
  <c r="L334" i="23"/>
  <c r="K334" i="23"/>
  <c r="J334" i="23"/>
  <c r="I334" i="23"/>
  <c r="V333" i="23"/>
  <c r="U333" i="23"/>
  <c r="T333" i="23"/>
  <c r="S333" i="23"/>
  <c r="R333" i="23"/>
  <c r="Q333" i="23"/>
  <c r="P333" i="23"/>
  <c r="O333" i="23"/>
  <c r="N333" i="23"/>
  <c r="M333" i="23"/>
  <c r="L333" i="23"/>
  <c r="K333" i="23"/>
  <c r="J333" i="23"/>
  <c r="I333" i="23"/>
  <c r="V332" i="23"/>
  <c r="U332" i="23"/>
  <c r="T332" i="23"/>
  <c r="S332" i="23"/>
  <c r="R332" i="23"/>
  <c r="Q332" i="23"/>
  <c r="P332" i="23"/>
  <c r="O332" i="23"/>
  <c r="N332" i="23"/>
  <c r="M332" i="23"/>
  <c r="L332" i="23"/>
  <c r="K332" i="23"/>
  <c r="J332" i="23"/>
  <c r="I332" i="23"/>
  <c r="V331" i="23"/>
  <c r="U331" i="23"/>
  <c r="T331" i="23"/>
  <c r="S331" i="23"/>
  <c r="R331" i="23"/>
  <c r="Q331" i="23"/>
  <c r="P331" i="23"/>
  <c r="O331" i="23"/>
  <c r="N331" i="23"/>
  <c r="M331" i="23"/>
  <c r="L331" i="23"/>
  <c r="K331" i="23"/>
  <c r="J331" i="23"/>
  <c r="I331" i="23"/>
  <c r="V330" i="23"/>
  <c r="U330" i="23"/>
  <c r="T330" i="23"/>
  <c r="S330" i="23"/>
  <c r="R330" i="23"/>
  <c r="Q330" i="23"/>
  <c r="P330" i="23"/>
  <c r="O330" i="23"/>
  <c r="N330" i="23"/>
  <c r="M330" i="23"/>
  <c r="L330" i="23"/>
  <c r="K330" i="23"/>
  <c r="J330" i="23"/>
  <c r="I330" i="23"/>
  <c r="V329" i="23"/>
  <c r="U329" i="23"/>
  <c r="T329" i="23"/>
  <c r="S329" i="23"/>
  <c r="R329" i="23"/>
  <c r="Q329" i="23"/>
  <c r="P329" i="23"/>
  <c r="O329" i="23"/>
  <c r="N329" i="23"/>
  <c r="M329" i="23"/>
  <c r="L329" i="23"/>
  <c r="K329" i="23"/>
  <c r="J329" i="23"/>
  <c r="I329" i="23"/>
  <c r="V328" i="23"/>
  <c r="U328" i="23"/>
  <c r="T328" i="23"/>
  <c r="S328" i="23"/>
  <c r="R328" i="23"/>
  <c r="Q328" i="23"/>
  <c r="P328" i="23"/>
  <c r="O328" i="23"/>
  <c r="N328" i="23"/>
  <c r="M328" i="23"/>
  <c r="L328" i="23"/>
  <c r="K328" i="23"/>
  <c r="J328" i="23"/>
  <c r="I328" i="23"/>
  <c r="V327" i="23"/>
  <c r="U327" i="23"/>
  <c r="T327" i="23"/>
  <c r="S327" i="23"/>
  <c r="R327" i="23"/>
  <c r="Q327" i="23"/>
  <c r="P327" i="23"/>
  <c r="O327" i="23"/>
  <c r="N327" i="23"/>
  <c r="M327" i="23"/>
  <c r="L327" i="23"/>
  <c r="K327" i="23"/>
  <c r="J327" i="23"/>
  <c r="I327" i="23"/>
  <c r="V326" i="23"/>
  <c r="U326" i="23"/>
  <c r="T326" i="23"/>
  <c r="S326" i="23"/>
  <c r="R326" i="23"/>
  <c r="Q326" i="23"/>
  <c r="P326" i="23"/>
  <c r="O326" i="23"/>
  <c r="N326" i="23"/>
  <c r="M326" i="23"/>
  <c r="L326" i="23"/>
  <c r="K326" i="23"/>
  <c r="J326" i="23"/>
  <c r="I326" i="23"/>
  <c r="V325" i="23"/>
  <c r="U325" i="23"/>
  <c r="T325" i="23"/>
  <c r="S325" i="23"/>
  <c r="R325" i="23"/>
  <c r="Q325" i="23"/>
  <c r="P325" i="23"/>
  <c r="O325" i="23"/>
  <c r="N325" i="23"/>
  <c r="M325" i="23"/>
  <c r="L325" i="23"/>
  <c r="K325" i="23"/>
  <c r="J325" i="23"/>
  <c r="I325" i="23"/>
  <c r="V324" i="23"/>
  <c r="U324" i="23"/>
  <c r="T324" i="23"/>
  <c r="S324" i="23"/>
  <c r="R324" i="23"/>
  <c r="Q324" i="23"/>
  <c r="P324" i="23"/>
  <c r="O324" i="23"/>
  <c r="N324" i="23"/>
  <c r="M324" i="23"/>
  <c r="L324" i="23"/>
  <c r="K324" i="23"/>
  <c r="J324" i="23"/>
  <c r="I324" i="23"/>
  <c r="V323" i="23"/>
  <c r="U323" i="23"/>
  <c r="T323" i="23"/>
  <c r="S323" i="23"/>
  <c r="R323" i="23"/>
  <c r="Q323" i="23"/>
  <c r="P323" i="23"/>
  <c r="O323" i="23"/>
  <c r="N323" i="23"/>
  <c r="M323" i="23"/>
  <c r="L323" i="23"/>
  <c r="K323" i="23"/>
  <c r="J323" i="23"/>
  <c r="I323" i="23"/>
  <c r="V322" i="23"/>
  <c r="U322" i="23"/>
  <c r="T322" i="23"/>
  <c r="S322" i="23"/>
  <c r="R322" i="23"/>
  <c r="Q322" i="23"/>
  <c r="P322" i="23"/>
  <c r="O322" i="23"/>
  <c r="N322" i="23"/>
  <c r="M322" i="23"/>
  <c r="L322" i="23"/>
  <c r="K322" i="23"/>
  <c r="J322" i="23"/>
  <c r="I322" i="23"/>
  <c r="V321" i="23"/>
  <c r="U321" i="23"/>
  <c r="T321" i="23"/>
  <c r="S321" i="23"/>
  <c r="R321" i="23"/>
  <c r="Q321" i="23"/>
  <c r="P321" i="23"/>
  <c r="O321" i="23"/>
  <c r="N321" i="23"/>
  <c r="M321" i="23"/>
  <c r="L321" i="23"/>
  <c r="K321" i="23"/>
  <c r="J321" i="23"/>
  <c r="I321" i="23"/>
  <c r="V320" i="23"/>
  <c r="U320" i="23"/>
  <c r="T320" i="23"/>
  <c r="S320" i="23"/>
  <c r="R320" i="23"/>
  <c r="Q320" i="23"/>
  <c r="P320" i="23"/>
  <c r="O320" i="23"/>
  <c r="N320" i="23"/>
  <c r="M320" i="23"/>
  <c r="L320" i="23"/>
  <c r="K320" i="23"/>
  <c r="J320" i="23"/>
  <c r="I320" i="23"/>
  <c r="V319" i="23"/>
  <c r="U319" i="23"/>
  <c r="T319" i="23"/>
  <c r="S319" i="23"/>
  <c r="R319" i="23"/>
  <c r="Q319" i="23"/>
  <c r="P319" i="23"/>
  <c r="O319" i="23"/>
  <c r="N319" i="23"/>
  <c r="M319" i="23"/>
  <c r="L319" i="23"/>
  <c r="K319" i="23"/>
  <c r="J319" i="23"/>
  <c r="I319" i="23"/>
  <c r="V318" i="23"/>
  <c r="U318" i="23"/>
  <c r="T318" i="23"/>
  <c r="S318" i="23"/>
  <c r="R318" i="23"/>
  <c r="Q318" i="23"/>
  <c r="P318" i="23"/>
  <c r="O318" i="23"/>
  <c r="N318" i="23"/>
  <c r="M318" i="23"/>
  <c r="L318" i="23"/>
  <c r="K318" i="23"/>
  <c r="J318" i="23"/>
  <c r="I318" i="23"/>
  <c r="V317" i="23"/>
  <c r="U317" i="23"/>
  <c r="T317" i="23"/>
  <c r="S317" i="23"/>
  <c r="R317" i="23"/>
  <c r="Q317" i="23"/>
  <c r="P317" i="23"/>
  <c r="O317" i="23"/>
  <c r="N317" i="23"/>
  <c r="M317" i="23"/>
  <c r="L317" i="23"/>
  <c r="K317" i="23"/>
  <c r="J317" i="23"/>
  <c r="I317" i="23"/>
  <c r="V316" i="23"/>
  <c r="U316" i="23"/>
  <c r="T316" i="23"/>
  <c r="S316" i="23"/>
  <c r="R316" i="23"/>
  <c r="Q316" i="23"/>
  <c r="P316" i="23"/>
  <c r="O316" i="23"/>
  <c r="N316" i="23"/>
  <c r="M316" i="23"/>
  <c r="L316" i="23"/>
  <c r="K316" i="23"/>
  <c r="J316" i="23"/>
  <c r="I316" i="23"/>
  <c r="V315" i="23"/>
  <c r="U315" i="23"/>
  <c r="T315" i="23"/>
  <c r="S315" i="23"/>
  <c r="R315" i="23"/>
  <c r="Q315" i="23"/>
  <c r="P315" i="23"/>
  <c r="O315" i="23"/>
  <c r="N315" i="23"/>
  <c r="M315" i="23"/>
  <c r="L315" i="23"/>
  <c r="K315" i="23"/>
  <c r="J315" i="23"/>
  <c r="I315" i="23"/>
  <c r="V314" i="23"/>
  <c r="U314" i="23"/>
  <c r="T314" i="23"/>
  <c r="S314" i="23"/>
  <c r="R314" i="23"/>
  <c r="Q314" i="23"/>
  <c r="P314" i="23"/>
  <c r="O314" i="23"/>
  <c r="N314" i="23"/>
  <c r="M314" i="23"/>
  <c r="L314" i="23"/>
  <c r="K314" i="23"/>
  <c r="J314" i="23"/>
  <c r="I314" i="23"/>
  <c r="V313" i="23"/>
  <c r="U313" i="23"/>
  <c r="T313" i="23"/>
  <c r="S313" i="23"/>
  <c r="R313" i="23"/>
  <c r="Q313" i="23"/>
  <c r="P313" i="23"/>
  <c r="O313" i="23"/>
  <c r="N313" i="23"/>
  <c r="M313" i="23"/>
  <c r="L313" i="23"/>
  <c r="K313" i="23"/>
  <c r="J313" i="23"/>
  <c r="I313" i="23"/>
  <c r="V312" i="23"/>
  <c r="U312" i="23"/>
  <c r="T312" i="23"/>
  <c r="S312" i="23"/>
  <c r="R312" i="23"/>
  <c r="Q312" i="23"/>
  <c r="P312" i="23"/>
  <c r="O312" i="23"/>
  <c r="N312" i="23"/>
  <c r="M312" i="23"/>
  <c r="L312" i="23"/>
  <c r="K312" i="23"/>
  <c r="J312" i="23"/>
  <c r="I312" i="23"/>
  <c r="V311" i="23"/>
  <c r="U311" i="23"/>
  <c r="T311" i="23"/>
  <c r="S311" i="23"/>
  <c r="R311" i="23"/>
  <c r="Q311" i="23"/>
  <c r="P311" i="23"/>
  <c r="O311" i="23"/>
  <c r="N311" i="23"/>
  <c r="M311" i="23"/>
  <c r="L311" i="23"/>
  <c r="K311" i="23"/>
  <c r="J311" i="23"/>
  <c r="I311" i="23"/>
  <c r="V310" i="23"/>
  <c r="U310" i="23"/>
  <c r="T310" i="23"/>
  <c r="S310" i="23"/>
  <c r="R310" i="23"/>
  <c r="Q310" i="23"/>
  <c r="P310" i="23"/>
  <c r="O310" i="23"/>
  <c r="N310" i="23"/>
  <c r="M310" i="23"/>
  <c r="L310" i="23"/>
  <c r="K310" i="23"/>
  <c r="J310" i="23"/>
  <c r="I310" i="23"/>
  <c r="V309" i="23"/>
  <c r="U309" i="23"/>
  <c r="T309" i="23"/>
  <c r="S309" i="23"/>
  <c r="R309" i="23"/>
  <c r="Q309" i="23"/>
  <c r="P309" i="23"/>
  <c r="O309" i="23"/>
  <c r="N309" i="23"/>
  <c r="M309" i="23"/>
  <c r="L309" i="23"/>
  <c r="K309" i="23"/>
  <c r="J309" i="23"/>
  <c r="I309" i="23"/>
  <c r="V308" i="23"/>
  <c r="U308" i="23"/>
  <c r="T308" i="23"/>
  <c r="S308" i="23"/>
  <c r="R308" i="23"/>
  <c r="Q308" i="23"/>
  <c r="P308" i="23"/>
  <c r="O308" i="23"/>
  <c r="N308" i="23"/>
  <c r="M308" i="23"/>
  <c r="L308" i="23"/>
  <c r="K308" i="23"/>
  <c r="J308" i="23"/>
  <c r="I308" i="23"/>
  <c r="V307" i="23"/>
  <c r="U307" i="23"/>
  <c r="T307" i="23"/>
  <c r="S307" i="23"/>
  <c r="R307" i="23"/>
  <c r="Q307" i="23"/>
  <c r="P307" i="23"/>
  <c r="O307" i="23"/>
  <c r="N307" i="23"/>
  <c r="M307" i="23"/>
  <c r="L307" i="23"/>
  <c r="K307" i="23"/>
  <c r="J307" i="23"/>
  <c r="I307" i="23"/>
  <c r="V306" i="23"/>
  <c r="U306" i="23"/>
  <c r="T306" i="23"/>
  <c r="S306" i="23"/>
  <c r="R306" i="23"/>
  <c r="Q306" i="23"/>
  <c r="P306" i="23"/>
  <c r="O306" i="23"/>
  <c r="N306" i="23"/>
  <c r="M306" i="23"/>
  <c r="L306" i="23"/>
  <c r="K306" i="23"/>
  <c r="J306" i="23"/>
  <c r="I306" i="23"/>
  <c r="V305" i="23"/>
  <c r="U305" i="23"/>
  <c r="T305" i="23"/>
  <c r="S305" i="23"/>
  <c r="R305" i="23"/>
  <c r="Q305" i="23"/>
  <c r="P305" i="23"/>
  <c r="O305" i="23"/>
  <c r="N305" i="23"/>
  <c r="M305" i="23"/>
  <c r="L305" i="23"/>
  <c r="K305" i="23"/>
  <c r="J305" i="23"/>
  <c r="I305" i="23"/>
  <c r="V304" i="23"/>
  <c r="U304" i="23"/>
  <c r="T304" i="23"/>
  <c r="S304" i="23"/>
  <c r="R304" i="23"/>
  <c r="Q304" i="23"/>
  <c r="P304" i="23"/>
  <c r="O304" i="23"/>
  <c r="N304" i="23"/>
  <c r="M304" i="23"/>
  <c r="L304" i="23"/>
  <c r="K304" i="23"/>
  <c r="J304" i="23"/>
  <c r="I304" i="23"/>
  <c r="V303" i="23"/>
  <c r="U303" i="23"/>
  <c r="T303" i="23"/>
  <c r="S303" i="23"/>
  <c r="R303" i="23"/>
  <c r="Q303" i="23"/>
  <c r="P303" i="23"/>
  <c r="O303" i="23"/>
  <c r="N303" i="23"/>
  <c r="M303" i="23"/>
  <c r="L303" i="23"/>
  <c r="K303" i="23"/>
  <c r="J303" i="23"/>
  <c r="I303" i="23"/>
  <c r="V302" i="23"/>
  <c r="U302" i="23"/>
  <c r="T302" i="23"/>
  <c r="S302" i="23"/>
  <c r="R302" i="23"/>
  <c r="Q302" i="23"/>
  <c r="P302" i="23"/>
  <c r="O302" i="23"/>
  <c r="N302" i="23"/>
  <c r="M302" i="23"/>
  <c r="L302" i="23"/>
  <c r="K302" i="23"/>
  <c r="J302" i="23"/>
  <c r="I302" i="23"/>
  <c r="V301" i="23"/>
  <c r="U301" i="23"/>
  <c r="T301" i="23"/>
  <c r="S301" i="23"/>
  <c r="R301" i="23"/>
  <c r="Q301" i="23"/>
  <c r="P301" i="23"/>
  <c r="O301" i="23"/>
  <c r="N301" i="23"/>
  <c r="M301" i="23"/>
  <c r="L301" i="23"/>
  <c r="K301" i="23"/>
  <c r="J301" i="23"/>
  <c r="I301" i="23"/>
  <c r="V300" i="23"/>
  <c r="U300" i="23"/>
  <c r="T300" i="23"/>
  <c r="S300" i="23"/>
  <c r="R300" i="23"/>
  <c r="Q300" i="23"/>
  <c r="P300" i="23"/>
  <c r="O300" i="23"/>
  <c r="N300" i="23"/>
  <c r="M300" i="23"/>
  <c r="L300" i="23"/>
  <c r="K300" i="23"/>
  <c r="J300" i="23"/>
  <c r="I300" i="23"/>
  <c r="V299" i="23"/>
  <c r="U299" i="23"/>
  <c r="T299" i="23"/>
  <c r="S299" i="23"/>
  <c r="R299" i="23"/>
  <c r="Q299" i="23"/>
  <c r="P299" i="23"/>
  <c r="O299" i="23"/>
  <c r="N299" i="23"/>
  <c r="M299" i="23"/>
  <c r="L299" i="23"/>
  <c r="K299" i="23"/>
  <c r="J299" i="23"/>
  <c r="I299" i="23"/>
  <c r="V298" i="23"/>
  <c r="U298" i="23"/>
  <c r="T298" i="23"/>
  <c r="S298" i="23"/>
  <c r="R298" i="23"/>
  <c r="Q298" i="23"/>
  <c r="P298" i="23"/>
  <c r="O298" i="23"/>
  <c r="N298" i="23"/>
  <c r="M298" i="23"/>
  <c r="L298" i="23"/>
  <c r="K298" i="23"/>
  <c r="J298" i="23"/>
  <c r="I298" i="23"/>
  <c r="V297" i="23"/>
  <c r="U297" i="23"/>
  <c r="T297" i="23"/>
  <c r="S297" i="23"/>
  <c r="R297" i="23"/>
  <c r="Q297" i="23"/>
  <c r="P297" i="23"/>
  <c r="O297" i="23"/>
  <c r="N297" i="23"/>
  <c r="M297" i="23"/>
  <c r="L297" i="23"/>
  <c r="K297" i="23"/>
  <c r="J297" i="23"/>
  <c r="I297" i="23"/>
  <c r="V296" i="23"/>
  <c r="U296" i="23"/>
  <c r="T296" i="23"/>
  <c r="S296" i="23"/>
  <c r="R296" i="23"/>
  <c r="Q296" i="23"/>
  <c r="P296" i="23"/>
  <c r="O296" i="23"/>
  <c r="N296" i="23"/>
  <c r="M296" i="23"/>
  <c r="L296" i="23"/>
  <c r="K296" i="23"/>
  <c r="J296" i="23"/>
  <c r="I296" i="23"/>
  <c r="V295" i="23"/>
  <c r="U295" i="23"/>
  <c r="T295" i="23"/>
  <c r="S295" i="23"/>
  <c r="R295" i="23"/>
  <c r="Q295" i="23"/>
  <c r="P295" i="23"/>
  <c r="O295" i="23"/>
  <c r="N295" i="23"/>
  <c r="M295" i="23"/>
  <c r="L295" i="23"/>
  <c r="K295" i="23"/>
  <c r="J295" i="23"/>
  <c r="I295" i="23"/>
  <c r="V294" i="23"/>
  <c r="U294" i="23"/>
  <c r="T294" i="23"/>
  <c r="S294" i="23"/>
  <c r="R294" i="23"/>
  <c r="Q294" i="23"/>
  <c r="P294" i="23"/>
  <c r="O294" i="23"/>
  <c r="N294" i="23"/>
  <c r="M294" i="23"/>
  <c r="L294" i="23"/>
  <c r="K294" i="23"/>
  <c r="J294" i="23"/>
  <c r="I294" i="23"/>
  <c r="V293" i="23"/>
  <c r="U293" i="23"/>
  <c r="T293" i="23"/>
  <c r="S293" i="23"/>
  <c r="R293" i="23"/>
  <c r="Q293" i="23"/>
  <c r="P293" i="23"/>
  <c r="O293" i="23"/>
  <c r="N293" i="23"/>
  <c r="M293" i="23"/>
  <c r="L293" i="23"/>
  <c r="K293" i="23"/>
  <c r="J293" i="23"/>
  <c r="I293" i="23"/>
  <c r="V292" i="23"/>
  <c r="U292" i="23"/>
  <c r="T292" i="23"/>
  <c r="S292" i="23"/>
  <c r="R292" i="23"/>
  <c r="Q292" i="23"/>
  <c r="P292" i="23"/>
  <c r="O292" i="23"/>
  <c r="N292" i="23"/>
  <c r="M292" i="23"/>
  <c r="L292" i="23"/>
  <c r="K292" i="23"/>
  <c r="J292" i="23"/>
  <c r="I292" i="23"/>
  <c r="V291" i="23"/>
  <c r="U291" i="23"/>
  <c r="T291" i="23"/>
  <c r="S291" i="23"/>
  <c r="R291" i="23"/>
  <c r="Q291" i="23"/>
  <c r="P291" i="23"/>
  <c r="O291" i="23"/>
  <c r="N291" i="23"/>
  <c r="M291" i="23"/>
  <c r="L291" i="23"/>
  <c r="K291" i="23"/>
  <c r="J291" i="23"/>
  <c r="I291" i="23"/>
  <c r="V290" i="23"/>
  <c r="U290" i="23"/>
  <c r="T290" i="23"/>
  <c r="S290" i="23"/>
  <c r="R290" i="23"/>
  <c r="Q290" i="23"/>
  <c r="P290" i="23"/>
  <c r="O290" i="23"/>
  <c r="N290" i="23"/>
  <c r="M290" i="23"/>
  <c r="L290" i="23"/>
  <c r="K290" i="23"/>
  <c r="J290" i="23"/>
  <c r="I290" i="23"/>
  <c r="V289" i="23"/>
  <c r="U289" i="23"/>
  <c r="T289" i="23"/>
  <c r="S289" i="23"/>
  <c r="R289" i="23"/>
  <c r="Q289" i="23"/>
  <c r="P289" i="23"/>
  <c r="O289" i="23"/>
  <c r="N289" i="23"/>
  <c r="M289" i="23"/>
  <c r="L289" i="23"/>
  <c r="K289" i="23"/>
  <c r="J289" i="23"/>
  <c r="I289" i="23"/>
  <c r="V288" i="23"/>
  <c r="U288" i="23"/>
  <c r="T288" i="23"/>
  <c r="S288" i="23"/>
  <c r="R288" i="23"/>
  <c r="Q288" i="23"/>
  <c r="P288" i="23"/>
  <c r="O288" i="23"/>
  <c r="N288" i="23"/>
  <c r="M288" i="23"/>
  <c r="L288" i="23"/>
  <c r="K288" i="23"/>
  <c r="J288" i="23"/>
  <c r="I288" i="23"/>
  <c r="V287" i="23"/>
  <c r="U287" i="23"/>
  <c r="T287" i="23"/>
  <c r="S287" i="23"/>
  <c r="R287" i="23"/>
  <c r="Q287" i="23"/>
  <c r="P287" i="23"/>
  <c r="O287" i="23"/>
  <c r="N287" i="23"/>
  <c r="M287" i="23"/>
  <c r="L287" i="23"/>
  <c r="K287" i="23"/>
  <c r="J287" i="23"/>
  <c r="I287" i="23"/>
  <c r="V286" i="23"/>
  <c r="U286" i="23"/>
  <c r="T286" i="23"/>
  <c r="S286" i="23"/>
  <c r="R286" i="23"/>
  <c r="Q286" i="23"/>
  <c r="P286" i="23"/>
  <c r="O286" i="23"/>
  <c r="N286" i="23"/>
  <c r="M286" i="23"/>
  <c r="L286" i="23"/>
  <c r="K286" i="23"/>
  <c r="J286" i="23"/>
  <c r="I286" i="23"/>
  <c r="V285" i="23"/>
  <c r="U285" i="23"/>
  <c r="T285" i="23"/>
  <c r="S285" i="23"/>
  <c r="R285" i="23"/>
  <c r="Q285" i="23"/>
  <c r="P285" i="23"/>
  <c r="O285" i="23"/>
  <c r="N285" i="23"/>
  <c r="M285" i="23"/>
  <c r="L285" i="23"/>
  <c r="K285" i="23"/>
  <c r="J285" i="23"/>
  <c r="I285" i="23"/>
  <c r="V284" i="23"/>
  <c r="U284" i="23"/>
  <c r="T284" i="23"/>
  <c r="S284" i="23"/>
  <c r="R284" i="23"/>
  <c r="Q284" i="23"/>
  <c r="P284" i="23"/>
  <c r="O284" i="23"/>
  <c r="N284" i="23"/>
  <c r="M284" i="23"/>
  <c r="L284" i="23"/>
  <c r="K284" i="23"/>
  <c r="J284" i="23"/>
  <c r="I284" i="23"/>
  <c r="V283" i="23"/>
  <c r="U283" i="23"/>
  <c r="T283" i="23"/>
  <c r="S283" i="23"/>
  <c r="R283" i="23"/>
  <c r="Q283" i="23"/>
  <c r="P283" i="23"/>
  <c r="O283" i="23"/>
  <c r="N283" i="23"/>
  <c r="M283" i="23"/>
  <c r="L283" i="23"/>
  <c r="K283" i="23"/>
  <c r="J283" i="23"/>
  <c r="I283" i="23"/>
  <c r="V282" i="23"/>
  <c r="U282" i="23"/>
  <c r="T282" i="23"/>
  <c r="S282" i="23"/>
  <c r="R282" i="23"/>
  <c r="Q282" i="23"/>
  <c r="P282" i="23"/>
  <c r="O282" i="23"/>
  <c r="N282" i="23"/>
  <c r="M282" i="23"/>
  <c r="L282" i="23"/>
  <c r="K282" i="23"/>
  <c r="J282" i="23"/>
  <c r="I282" i="23"/>
  <c r="V281" i="23"/>
  <c r="U281" i="23"/>
  <c r="T281" i="23"/>
  <c r="S281" i="23"/>
  <c r="R281" i="23"/>
  <c r="Q281" i="23"/>
  <c r="P281" i="23"/>
  <c r="O281" i="23"/>
  <c r="N281" i="23"/>
  <c r="M281" i="23"/>
  <c r="L281" i="23"/>
  <c r="K281" i="23"/>
  <c r="J281" i="23"/>
  <c r="I281" i="23"/>
  <c r="V280" i="23"/>
  <c r="U280" i="23"/>
  <c r="T280" i="23"/>
  <c r="S280" i="23"/>
  <c r="R280" i="23"/>
  <c r="Q280" i="23"/>
  <c r="P280" i="23"/>
  <c r="O280" i="23"/>
  <c r="N280" i="23"/>
  <c r="M280" i="23"/>
  <c r="L280" i="23"/>
  <c r="K280" i="23"/>
  <c r="J280" i="23"/>
  <c r="I280" i="23"/>
  <c r="V279" i="23"/>
  <c r="U279" i="23"/>
  <c r="T279" i="23"/>
  <c r="S279" i="23"/>
  <c r="R279" i="23"/>
  <c r="Q279" i="23"/>
  <c r="P279" i="23"/>
  <c r="O279" i="23"/>
  <c r="N279" i="23"/>
  <c r="M279" i="23"/>
  <c r="L279" i="23"/>
  <c r="K279" i="23"/>
  <c r="J279" i="23"/>
  <c r="I279" i="23"/>
  <c r="V278" i="23"/>
  <c r="U278" i="23"/>
  <c r="T278" i="23"/>
  <c r="S278" i="23"/>
  <c r="R278" i="23"/>
  <c r="Q278" i="23"/>
  <c r="P278" i="23"/>
  <c r="O278" i="23"/>
  <c r="N278" i="23"/>
  <c r="M278" i="23"/>
  <c r="L278" i="23"/>
  <c r="K278" i="23"/>
  <c r="J278" i="23"/>
  <c r="I278" i="23"/>
  <c r="V277" i="23"/>
  <c r="U277" i="23"/>
  <c r="T277" i="23"/>
  <c r="S277" i="23"/>
  <c r="R277" i="23"/>
  <c r="Q277" i="23"/>
  <c r="P277" i="23"/>
  <c r="O277" i="23"/>
  <c r="N277" i="23"/>
  <c r="M277" i="23"/>
  <c r="L277" i="23"/>
  <c r="K277" i="23"/>
  <c r="J277" i="23"/>
  <c r="I277" i="23"/>
  <c r="V276" i="23"/>
  <c r="U276" i="23"/>
  <c r="T276" i="23"/>
  <c r="S276" i="23"/>
  <c r="R276" i="23"/>
  <c r="Q276" i="23"/>
  <c r="P276" i="23"/>
  <c r="O276" i="23"/>
  <c r="N276" i="23"/>
  <c r="M276" i="23"/>
  <c r="L276" i="23"/>
  <c r="K276" i="23"/>
  <c r="J276" i="23"/>
  <c r="I276" i="23"/>
  <c r="V275" i="23"/>
  <c r="U275" i="23"/>
  <c r="T275" i="23"/>
  <c r="S275" i="23"/>
  <c r="R275" i="23"/>
  <c r="Q275" i="23"/>
  <c r="P275" i="23"/>
  <c r="O275" i="23"/>
  <c r="N275" i="23"/>
  <c r="M275" i="23"/>
  <c r="L275" i="23"/>
  <c r="K275" i="23"/>
  <c r="J275" i="23"/>
  <c r="I275" i="23"/>
  <c r="V274" i="23"/>
  <c r="U274" i="23"/>
  <c r="T274" i="23"/>
  <c r="S274" i="23"/>
  <c r="R274" i="23"/>
  <c r="Q274" i="23"/>
  <c r="P274" i="23"/>
  <c r="O274" i="23"/>
  <c r="N274" i="23"/>
  <c r="M274" i="23"/>
  <c r="L274" i="23"/>
  <c r="K274" i="23"/>
  <c r="J274" i="23"/>
  <c r="I274" i="23"/>
  <c r="V273" i="23"/>
  <c r="U273" i="23"/>
  <c r="T273" i="23"/>
  <c r="S273" i="23"/>
  <c r="R273" i="23"/>
  <c r="Q273" i="23"/>
  <c r="P273" i="23"/>
  <c r="O273" i="23"/>
  <c r="N273" i="23"/>
  <c r="M273" i="23"/>
  <c r="L273" i="23"/>
  <c r="K273" i="23"/>
  <c r="J273" i="23"/>
  <c r="I273" i="23"/>
  <c r="V272" i="23"/>
  <c r="U272" i="23"/>
  <c r="T272" i="23"/>
  <c r="S272" i="23"/>
  <c r="R272" i="23"/>
  <c r="Q272" i="23"/>
  <c r="P272" i="23"/>
  <c r="O272" i="23"/>
  <c r="N272" i="23"/>
  <c r="M272" i="23"/>
  <c r="L272" i="23"/>
  <c r="K272" i="23"/>
  <c r="J272" i="23"/>
  <c r="I272" i="23"/>
  <c r="V271" i="23"/>
  <c r="U271" i="23"/>
  <c r="T271" i="23"/>
  <c r="S271" i="23"/>
  <c r="R271" i="23"/>
  <c r="Q271" i="23"/>
  <c r="P271" i="23"/>
  <c r="O271" i="23"/>
  <c r="N271" i="23"/>
  <c r="M271" i="23"/>
  <c r="L271" i="23"/>
  <c r="K271" i="23"/>
  <c r="J271" i="23"/>
  <c r="I271" i="23"/>
  <c r="V270" i="23"/>
  <c r="U270" i="23"/>
  <c r="T270" i="23"/>
  <c r="S270" i="23"/>
  <c r="R270" i="23"/>
  <c r="Q270" i="23"/>
  <c r="P270" i="23"/>
  <c r="O270" i="23"/>
  <c r="N270" i="23"/>
  <c r="M270" i="23"/>
  <c r="L270" i="23"/>
  <c r="K270" i="23"/>
  <c r="J270" i="23"/>
  <c r="I270" i="23"/>
  <c r="V269" i="23"/>
  <c r="U269" i="23"/>
  <c r="T269" i="23"/>
  <c r="S269" i="23"/>
  <c r="R269" i="23"/>
  <c r="Q269" i="23"/>
  <c r="P269" i="23"/>
  <c r="O269" i="23"/>
  <c r="N269" i="23"/>
  <c r="M269" i="23"/>
  <c r="L269" i="23"/>
  <c r="K269" i="23"/>
  <c r="J269" i="23"/>
  <c r="I269" i="23"/>
  <c r="V268" i="23"/>
  <c r="U268" i="23"/>
  <c r="T268" i="23"/>
  <c r="S268" i="23"/>
  <c r="R268" i="23"/>
  <c r="Q268" i="23"/>
  <c r="P268" i="23"/>
  <c r="O268" i="23"/>
  <c r="N268" i="23"/>
  <c r="M268" i="23"/>
  <c r="L268" i="23"/>
  <c r="K268" i="23"/>
  <c r="J268" i="23"/>
  <c r="I268" i="23"/>
  <c r="V267" i="23"/>
  <c r="U267" i="23"/>
  <c r="T267" i="23"/>
  <c r="S267" i="23"/>
  <c r="R267" i="23"/>
  <c r="Q267" i="23"/>
  <c r="P267" i="23"/>
  <c r="O267" i="23"/>
  <c r="N267" i="23"/>
  <c r="M267" i="23"/>
  <c r="L267" i="23"/>
  <c r="K267" i="23"/>
  <c r="J267" i="23"/>
  <c r="I267" i="23"/>
  <c r="V266" i="23"/>
  <c r="U266" i="23"/>
  <c r="T266" i="23"/>
  <c r="S266" i="23"/>
  <c r="R266" i="23"/>
  <c r="Q266" i="23"/>
  <c r="P266" i="23"/>
  <c r="O266" i="23"/>
  <c r="N266" i="23"/>
  <c r="M266" i="23"/>
  <c r="L266" i="23"/>
  <c r="K266" i="23"/>
  <c r="J266" i="23"/>
  <c r="I266" i="23"/>
  <c r="V265" i="23"/>
  <c r="U265" i="23"/>
  <c r="T265" i="23"/>
  <c r="S265" i="23"/>
  <c r="R265" i="23"/>
  <c r="Q265" i="23"/>
  <c r="P265" i="23"/>
  <c r="O265" i="23"/>
  <c r="N265" i="23"/>
  <c r="M265" i="23"/>
  <c r="L265" i="23"/>
  <c r="K265" i="23"/>
  <c r="J265" i="23"/>
  <c r="I265" i="23"/>
  <c r="V264" i="23"/>
  <c r="U264" i="23"/>
  <c r="T264" i="23"/>
  <c r="S264" i="23"/>
  <c r="R264" i="23"/>
  <c r="Q264" i="23"/>
  <c r="P264" i="23"/>
  <c r="O264" i="23"/>
  <c r="N264" i="23"/>
  <c r="M264" i="23"/>
  <c r="L264" i="23"/>
  <c r="K264" i="23"/>
  <c r="J264" i="23"/>
  <c r="I264" i="23"/>
  <c r="V263" i="23"/>
  <c r="U263" i="23"/>
  <c r="T263" i="23"/>
  <c r="S263" i="23"/>
  <c r="R263" i="23"/>
  <c r="Q263" i="23"/>
  <c r="P263" i="23"/>
  <c r="O263" i="23"/>
  <c r="N263" i="23"/>
  <c r="M263" i="23"/>
  <c r="L263" i="23"/>
  <c r="K263" i="23"/>
  <c r="J263" i="23"/>
  <c r="I263" i="23"/>
  <c r="V262" i="23"/>
  <c r="U262" i="23"/>
  <c r="T262" i="23"/>
  <c r="S262" i="23"/>
  <c r="R262" i="23"/>
  <c r="Q262" i="23"/>
  <c r="P262" i="23"/>
  <c r="O262" i="23"/>
  <c r="N262" i="23"/>
  <c r="M262" i="23"/>
  <c r="L262" i="23"/>
  <c r="K262" i="23"/>
  <c r="J262" i="23"/>
  <c r="I262" i="23"/>
  <c r="V261" i="23"/>
  <c r="U261" i="23"/>
  <c r="T261" i="23"/>
  <c r="S261" i="23"/>
  <c r="R261" i="23"/>
  <c r="Q261" i="23"/>
  <c r="P261" i="23"/>
  <c r="O261" i="23"/>
  <c r="N261" i="23"/>
  <c r="M261" i="23"/>
  <c r="L261" i="23"/>
  <c r="K261" i="23"/>
  <c r="J261" i="23"/>
  <c r="I261" i="23"/>
  <c r="V260" i="23"/>
  <c r="U260" i="23"/>
  <c r="T260" i="23"/>
  <c r="S260" i="23"/>
  <c r="R260" i="23"/>
  <c r="Q260" i="23"/>
  <c r="P260" i="23"/>
  <c r="O260" i="23"/>
  <c r="N260" i="23"/>
  <c r="M260" i="23"/>
  <c r="L260" i="23"/>
  <c r="K260" i="23"/>
  <c r="J260" i="23"/>
  <c r="I260" i="23"/>
  <c r="V259" i="23"/>
  <c r="U259" i="23"/>
  <c r="T259" i="23"/>
  <c r="S259" i="23"/>
  <c r="R259" i="23"/>
  <c r="Q259" i="23"/>
  <c r="P259" i="23"/>
  <c r="O259" i="23"/>
  <c r="N259" i="23"/>
  <c r="M259" i="23"/>
  <c r="L259" i="23"/>
  <c r="K259" i="23"/>
  <c r="J259" i="23"/>
  <c r="I259" i="23"/>
  <c r="V258" i="23"/>
  <c r="U258" i="23"/>
  <c r="T258" i="23"/>
  <c r="S258" i="23"/>
  <c r="R258" i="23"/>
  <c r="Q258" i="23"/>
  <c r="P258" i="23"/>
  <c r="O258" i="23"/>
  <c r="N258" i="23"/>
  <c r="M258" i="23"/>
  <c r="L258" i="23"/>
  <c r="K258" i="23"/>
  <c r="J258" i="23"/>
  <c r="I258" i="23"/>
  <c r="V257" i="23"/>
  <c r="U257" i="23"/>
  <c r="T257" i="23"/>
  <c r="S257" i="23"/>
  <c r="R257" i="23"/>
  <c r="Q257" i="23"/>
  <c r="P257" i="23"/>
  <c r="O257" i="23"/>
  <c r="N257" i="23"/>
  <c r="M257" i="23"/>
  <c r="L257" i="23"/>
  <c r="K257" i="23"/>
  <c r="J257" i="23"/>
  <c r="I257" i="23"/>
  <c r="V256" i="23"/>
  <c r="U256" i="23"/>
  <c r="T256" i="23"/>
  <c r="S256" i="23"/>
  <c r="R256" i="23"/>
  <c r="Q256" i="23"/>
  <c r="P256" i="23"/>
  <c r="O256" i="23"/>
  <c r="N256" i="23"/>
  <c r="M256" i="23"/>
  <c r="L256" i="23"/>
  <c r="K256" i="23"/>
  <c r="J256" i="23"/>
  <c r="I256" i="23"/>
  <c r="V255" i="23"/>
  <c r="U255" i="23"/>
  <c r="T255" i="23"/>
  <c r="S255" i="23"/>
  <c r="R255" i="23"/>
  <c r="Q255" i="23"/>
  <c r="P255" i="23"/>
  <c r="O255" i="23"/>
  <c r="N255" i="23"/>
  <c r="M255" i="23"/>
  <c r="L255" i="23"/>
  <c r="K255" i="23"/>
  <c r="J255" i="23"/>
  <c r="I255" i="23"/>
  <c r="V254" i="23"/>
  <c r="U254" i="23"/>
  <c r="T254" i="23"/>
  <c r="S254" i="23"/>
  <c r="R254" i="23"/>
  <c r="Q254" i="23"/>
  <c r="P254" i="23"/>
  <c r="O254" i="23"/>
  <c r="N254" i="23"/>
  <c r="M254" i="23"/>
  <c r="L254" i="23"/>
  <c r="K254" i="23"/>
  <c r="J254" i="23"/>
  <c r="I254" i="23"/>
  <c r="V253" i="23"/>
  <c r="U253" i="23"/>
  <c r="T253" i="23"/>
  <c r="S253" i="23"/>
  <c r="R253" i="23"/>
  <c r="Q253" i="23"/>
  <c r="P253" i="23"/>
  <c r="O253" i="23"/>
  <c r="N253" i="23"/>
  <c r="M253" i="23"/>
  <c r="L253" i="23"/>
  <c r="K253" i="23"/>
  <c r="J253" i="23"/>
  <c r="I253" i="23"/>
  <c r="V252" i="23"/>
  <c r="U252" i="23"/>
  <c r="T252" i="23"/>
  <c r="S252" i="23"/>
  <c r="R252" i="23"/>
  <c r="Q252" i="23"/>
  <c r="P252" i="23"/>
  <c r="O252" i="23"/>
  <c r="N252" i="23"/>
  <c r="M252" i="23"/>
  <c r="L252" i="23"/>
  <c r="K252" i="23"/>
  <c r="J252" i="23"/>
  <c r="I252" i="23"/>
  <c r="V251" i="23"/>
  <c r="U251" i="23"/>
  <c r="T251" i="23"/>
  <c r="S251" i="23"/>
  <c r="R251" i="23"/>
  <c r="Q251" i="23"/>
  <c r="P251" i="23"/>
  <c r="O251" i="23"/>
  <c r="N251" i="23"/>
  <c r="M251" i="23"/>
  <c r="L251" i="23"/>
  <c r="K251" i="23"/>
  <c r="J251" i="23"/>
  <c r="I251" i="23"/>
  <c r="V250" i="23"/>
  <c r="U250" i="23"/>
  <c r="T250" i="23"/>
  <c r="S250" i="23"/>
  <c r="R250" i="23"/>
  <c r="Q250" i="23"/>
  <c r="P250" i="23"/>
  <c r="O250" i="23"/>
  <c r="N250" i="23"/>
  <c r="M250" i="23"/>
  <c r="L250" i="23"/>
  <c r="K250" i="23"/>
  <c r="J250" i="23"/>
  <c r="I250" i="23"/>
  <c r="V249" i="23"/>
  <c r="U249" i="23"/>
  <c r="T249" i="23"/>
  <c r="S249" i="23"/>
  <c r="R249" i="23"/>
  <c r="Q249" i="23"/>
  <c r="P249" i="23"/>
  <c r="O249" i="23"/>
  <c r="N249" i="23"/>
  <c r="M249" i="23"/>
  <c r="L249" i="23"/>
  <c r="K249" i="23"/>
  <c r="J249" i="23"/>
  <c r="I249" i="23"/>
  <c r="V248" i="23"/>
  <c r="U248" i="23"/>
  <c r="T248" i="23"/>
  <c r="S248" i="23"/>
  <c r="R248" i="23"/>
  <c r="Q248" i="23"/>
  <c r="P248" i="23"/>
  <c r="O248" i="23"/>
  <c r="N248" i="23"/>
  <c r="M248" i="23"/>
  <c r="L248" i="23"/>
  <c r="K248" i="23"/>
  <c r="J248" i="23"/>
  <c r="I248" i="23"/>
  <c r="V247" i="23"/>
  <c r="U247" i="23"/>
  <c r="T247" i="23"/>
  <c r="S247" i="23"/>
  <c r="R247" i="23"/>
  <c r="Q247" i="23"/>
  <c r="P247" i="23"/>
  <c r="O247" i="23"/>
  <c r="N247" i="23"/>
  <c r="M247" i="23"/>
  <c r="L247" i="23"/>
  <c r="K247" i="23"/>
  <c r="J247" i="23"/>
  <c r="I247" i="23"/>
  <c r="V246" i="23"/>
  <c r="U246" i="23"/>
  <c r="T246" i="23"/>
  <c r="S246" i="23"/>
  <c r="R246" i="23"/>
  <c r="Q246" i="23"/>
  <c r="P246" i="23"/>
  <c r="O246" i="23"/>
  <c r="N246" i="23"/>
  <c r="M246" i="23"/>
  <c r="L246" i="23"/>
  <c r="K246" i="23"/>
  <c r="J246" i="23"/>
  <c r="I246" i="23"/>
  <c r="V245" i="23"/>
  <c r="U245" i="23"/>
  <c r="T245" i="23"/>
  <c r="S245" i="23"/>
  <c r="R245" i="23"/>
  <c r="Q245" i="23"/>
  <c r="P245" i="23"/>
  <c r="O245" i="23"/>
  <c r="N245" i="23"/>
  <c r="M245" i="23"/>
  <c r="L245" i="23"/>
  <c r="K245" i="23"/>
  <c r="J245" i="23"/>
  <c r="I245" i="23"/>
  <c r="V244" i="23"/>
  <c r="U244" i="23"/>
  <c r="T244" i="23"/>
  <c r="S244" i="23"/>
  <c r="R244" i="23"/>
  <c r="Q244" i="23"/>
  <c r="P244" i="23"/>
  <c r="O244" i="23"/>
  <c r="N244" i="23"/>
  <c r="M244" i="23"/>
  <c r="L244" i="23"/>
  <c r="K244" i="23"/>
  <c r="J244" i="23"/>
  <c r="I244" i="23"/>
  <c r="V243" i="23"/>
  <c r="U243" i="23"/>
  <c r="T243" i="23"/>
  <c r="S243" i="23"/>
  <c r="R243" i="23"/>
  <c r="Q243" i="23"/>
  <c r="P243" i="23"/>
  <c r="O243" i="23"/>
  <c r="N243" i="23"/>
  <c r="M243" i="23"/>
  <c r="L243" i="23"/>
  <c r="K243" i="23"/>
  <c r="J243" i="23"/>
  <c r="I243" i="23"/>
  <c r="V242" i="23"/>
  <c r="U242" i="23"/>
  <c r="T242" i="23"/>
  <c r="S242" i="23"/>
  <c r="R242" i="23"/>
  <c r="Q242" i="23"/>
  <c r="P242" i="23"/>
  <c r="O242" i="23"/>
  <c r="N242" i="23"/>
  <c r="M242" i="23"/>
  <c r="L242" i="23"/>
  <c r="K242" i="23"/>
  <c r="J242" i="23"/>
  <c r="I242" i="23"/>
  <c r="V241" i="23"/>
  <c r="U241" i="23"/>
  <c r="T241" i="23"/>
  <c r="S241" i="23"/>
  <c r="R241" i="23"/>
  <c r="Q241" i="23"/>
  <c r="P241" i="23"/>
  <c r="O241" i="23"/>
  <c r="N241" i="23"/>
  <c r="M241" i="23"/>
  <c r="L241" i="23"/>
  <c r="K241" i="23"/>
  <c r="J241" i="23"/>
  <c r="I241" i="23"/>
  <c r="V240" i="23"/>
  <c r="U240" i="23"/>
  <c r="T240" i="23"/>
  <c r="S240" i="23"/>
  <c r="R240" i="23"/>
  <c r="Q240" i="23"/>
  <c r="P240" i="23"/>
  <c r="O240" i="23"/>
  <c r="N240" i="23"/>
  <c r="M240" i="23"/>
  <c r="L240" i="23"/>
  <c r="K240" i="23"/>
  <c r="J240" i="23"/>
  <c r="I240" i="23"/>
  <c r="V239" i="23"/>
  <c r="U239" i="23"/>
  <c r="T239" i="23"/>
  <c r="S239" i="23"/>
  <c r="R239" i="23"/>
  <c r="Q239" i="23"/>
  <c r="P239" i="23"/>
  <c r="O239" i="23"/>
  <c r="N239" i="23"/>
  <c r="M239" i="23"/>
  <c r="L239" i="23"/>
  <c r="K239" i="23"/>
  <c r="J239" i="23"/>
  <c r="I239" i="23"/>
  <c r="V238" i="23"/>
  <c r="U238" i="23"/>
  <c r="T238" i="23"/>
  <c r="S238" i="23"/>
  <c r="R238" i="23"/>
  <c r="Q238" i="23"/>
  <c r="P238" i="23"/>
  <c r="O238" i="23"/>
  <c r="N238" i="23"/>
  <c r="M238" i="23"/>
  <c r="L238" i="23"/>
  <c r="K238" i="23"/>
  <c r="J238" i="23"/>
  <c r="I238" i="23"/>
  <c r="V237" i="23"/>
  <c r="U237" i="23"/>
  <c r="T237" i="23"/>
  <c r="S237" i="23"/>
  <c r="R237" i="23"/>
  <c r="Q237" i="23"/>
  <c r="P237" i="23"/>
  <c r="O237" i="23"/>
  <c r="N237" i="23"/>
  <c r="M237" i="23"/>
  <c r="L237" i="23"/>
  <c r="K237" i="23"/>
  <c r="J237" i="23"/>
  <c r="I237" i="23"/>
  <c r="V236" i="23"/>
  <c r="U236" i="23"/>
  <c r="T236" i="23"/>
  <c r="S236" i="23"/>
  <c r="R236" i="23"/>
  <c r="Q236" i="23"/>
  <c r="P236" i="23"/>
  <c r="O236" i="23"/>
  <c r="N236" i="23"/>
  <c r="M236" i="23"/>
  <c r="L236" i="23"/>
  <c r="K236" i="23"/>
  <c r="J236" i="23"/>
  <c r="I236" i="23"/>
  <c r="V235" i="23"/>
  <c r="U235" i="23"/>
  <c r="T235" i="23"/>
  <c r="S235" i="23"/>
  <c r="R235" i="23"/>
  <c r="Q235" i="23"/>
  <c r="P235" i="23"/>
  <c r="O235" i="23"/>
  <c r="N235" i="23"/>
  <c r="M235" i="23"/>
  <c r="L235" i="23"/>
  <c r="K235" i="23"/>
  <c r="J235" i="23"/>
  <c r="I235" i="23"/>
  <c r="V234" i="23"/>
  <c r="U234" i="23"/>
  <c r="T234" i="23"/>
  <c r="S234" i="23"/>
  <c r="R234" i="23"/>
  <c r="Q234" i="23"/>
  <c r="P234" i="23"/>
  <c r="O234" i="23"/>
  <c r="N234" i="23"/>
  <c r="M234" i="23"/>
  <c r="L234" i="23"/>
  <c r="K234" i="23"/>
  <c r="J234" i="23"/>
  <c r="I234" i="23"/>
  <c r="V233" i="23"/>
  <c r="U233" i="23"/>
  <c r="T233" i="23"/>
  <c r="S233" i="23"/>
  <c r="R233" i="23"/>
  <c r="Q233" i="23"/>
  <c r="P233" i="23"/>
  <c r="O233" i="23"/>
  <c r="N233" i="23"/>
  <c r="M233" i="23"/>
  <c r="L233" i="23"/>
  <c r="K233" i="23"/>
  <c r="J233" i="23"/>
  <c r="I233" i="23"/>
  <c r="V232" i="23"/>
  <c r="U232" i="23"/>
  <c r="T232" i="23"/>
  <c r="S232" i="23"/>
  <c r="R232" i="23"/>
  <c r="Q232" i="23"/>
  <c r="P232" i="23"/>
  <c r="O232" i="23"/>
  <c r="N232" i="23"/>
  <c r="M232" i="23"/>
  <c r="L232" i="23"/>
  <c r="K232" i="23"/>
  <c r="J232" i="23"/>
  <c r="I232" i="23"/>
  <c r="V231" i="23"/>
  <c r="U231" i="23"/>
  <c r="T231" i="23"/>
  <c r="S231" i="23"/>
  <c r="R231" i="23"/>
  <c r="Q231" i="23"/>
  <c r="P231" i="23"/>
  <c r="O231" i="23"/>
  <c r="N231" i="23"/>
  <c r="M231" i="23"/>
  <c r="L231" i="23"/>
  <c r="K231" i="23"/>
  <c r="J231" i="23"/>
  <c r="I231" i="23"/>
  <c r="V230" i="23"/>
  <c r="U230" i="23"/>
  <c r="T230" i="23"/>
  <c r="S230" i="23"/>
  <c r="R230" i="23"/>
  <c r="Q230" i="23"/>
  <c r="P230" i="23"/>
  <c r="O230" i="23"/>
  <c r="N230" i="23"/>
  <c r="M230" i="23"/>
  <c r="L230" i="23"/>
  <c r="K230" i="23"/>
  <c r="J230" i="23"/>
  <c r="I230" i="23"/>
  <c r="V229" i="23"/>
  <c r="U229" i="23"/>
  <c r="T229" i="23"/>
  <c r="S229" i="23"/>
  <c r="R229" i="23"/>
  <c r="Q229" i="23"/>
  <c r="P229" i="23"/>
  <c r="O229" i="23"/>
  <c r="N229" i="23"/>
  <c r="M229" i="23"/>
  <c r="L229" i="23"/>
  <c r="K229" i="23"/>
  <c r="J229" i="23"/>
  <c r="I229" i="23"/>
  <c r="V228" i="23"/>
  <c r="U228" i="23"/>
  <c r="T228" i="23"/>
  <c r="S228" i="23"/>
  <c r="R228" i="23"/>
  <c r="Q228" i="23"/>
  <c r="P228" i="23"/>
  <c r="O228" i="23"/>
  <c r="N228" i="23"/>
  <c r="M228" i="23"/>
  <c r="L228" i="23"/>
  <c r="K228" i="23"/>
  <c r="J228" i="23"/>
  <c r="I228" i="23"/>
  <c r="V227" i="23"/>
  <c r="U227" i="23"/>
  <c r="T227" i="23"/>
  <c r="S227" i="23"/>
  <c r="R227" i="23"/>
  <c r="Q227" i="23"/>
  <c r="P227" i="23"/>
  <c r="O227" i="23"/>
  <c r="N227" i="23"/>
  <c r="M227" i="23"/>
  <c r="L227" i="23"/>
  <c r="K227" i="23"/>
  <c r="J227" i="23"/>
  <c r="I227" i="23"/>
  <c r="V226" i="23"/>
  <c r="U226" i="23"/>
  <c r="T226" i="23"/>
  <c r="S226" i="23"/>
  <c r="R226" i="23"/>
  <c r="Q226" i="23"/>
  <c r="P226" i="23"/>
  <c r="O226" i="23"/>
  <c r="N226" i="23"/>
  <c r="M226" i="23"/>
  <c r="L226" i="23"/>
  <c r="K226" i="23"/>
  <c r="J226" i="23"/>
  <c r="I226" i="23"/>
  <c r="V225" i="23"/>
  <c r="U225" i="23"/>
  <c r="T225" i="23"/>
  <c r="S225" i="23"/>
  <c r="R225" i="23"/>
  <c r="Q225" i="23"/>
  <c r="P225" i="23"/>
  <c r="O225" i="23"/>
  <c r="N225" i="23"/>
  <c r="M225" i="23"/>
  <c r="L225" i="23"/>
  <c r="K225" i="23"/>
  <c r="J225" i="23"/>
  <c r="I225" i="23"/>
  <c r="V224" i="23"/>
  <c r="U224" i="23"/>
  <c r="T224" i="23"/>
  <c r="S224" i="23"/>
  <c r="R224" i="23"/>
  <c r="Q224" i="23"/>
  <c r="P224" i="23"/>
  <c r="O224" i="23"/>
  <c r="N224" i="23"/>
  <c r="M224" i="23"/>
  <c r="L224" i="23"/>
  <c r="K224" i="23"/>
  <c r="J224" i="23"/>
  <c r="I224" i="23"/>
  <c r="V223" i="23"/>
  <c r="U223" i="23"/>
  <c r="T223" i="23"/>
  <c r="S223" i="23"/>
  <c r="R223" i="23"/>
  <c r="Q223" i="23"/>
  <c r="P223" i="23"/>
  <c r="O223" i="23"/>
  <c r="N223" i="23"/>
  <c r="M223" i="23"/>
  <c r="L223" i="23"/>
  <c r="K223" i="23"/>
  <c r="J223" i="23"/>
  <c r="I223" i="23"/>
  <c r="V222" i="23"/>
  <c r="U222" i="23"/>
  <c r="T222" i="23"/>
  <c r="S222" i="23"/>
  <c r="R222" i="23"/>
  <c r="Q222" i="23"/>
  <c r="P222" i="23"/>
  <c r="O222" i="23"/>
  <c r="N222" i="23"/>
  <c r="M222" i="23"/>
  <c r="L222" i="23"/>
  <c r="K222" i="23"/>
  <c r="J222" i="23"/>
  <c r="I222" i="23"/>
  <c r="V221" i="23"/>
  <c r="U221" i="23"/>
  <c r="T221" i="23"/>
  <c r="S221" i="23"/>
  <c r="R221" i="23"/>
  <c r="Q221" i="23"/>
  <c r="P221" i="23"/>
  <c r="O221" i="23"/>
  <c r="N221" i="23"/>
  <c r="M221" i="23"/>
  <c r="L221" i="23"/>
  <c r="K221" i="23"/>
  <c r="J221" i="23"/>
  <c r="I221" i="23"/>
  <c r="V220" i="23"/>
  <c r="U220" i="23"/>
  <c r="T220" i="23"/>
  <c r="S220" i="23"/>
  <c r="R220" i="23"/>
  <c r="Q220" i="23"/>
  <c r="P220" i="23"/>
  <c r="O220" i="23"/>
  <c r="N220" i="23"/>
  <c r="M220" i="23"/>
  <c r="L220" i="23"/>
  <c r="K220" i="23"/>
  <c r="J220" i="23"/>
  <c r="I220" i="23"/>
  <c r="V219" i="23"/>
  <c r="U219" i="23"/>
  <c r="T219" i="23"/>
  <c r="S219" i="23"/>
  <c r="R219" i="23"/>
  <c r="Q219" i="23"/>
  <c r="P219" i="23"/>
  <c r="O219" i="23"/>
  <c r="N219" i="23"/>
  <c r="M219" i="23"/>
  <c r="L219" i="23"/>
  <c r="K219" i="23"/>
  <c r="J219" i="23"/>
  <c r="I219" i="23"/>
  <c r="V218" i="23"/>
  <c r="U218" i="23"/>
  <c r="T218" i="23"/>
  <c r="S218" i="23"/>
  <c r="R218" i="23"/>
  <c r="Q218" i="23"/>
  <c r="P218" i="23"/>
  <c r="O218" i="23"/>
  <c r="N218" i="23"/>
  <c r="M218" i="23"/>
  <c r="L218" i="23"/>
  <c r="K218" i="23"/>
  <c r="J218" i="23"/>
  <c r="I218" i="23"/>
  <c r="V217" i="23"/>
  <c r="U217" i="23"/>
  <c r="T217" i="23"/>
  <c r="S217" i="23"/>
  <c r="R217" i="23"/>
  <c r="Q217" i="23"/>
  <c r="P217" i="23"/>
  <c r="O217" i="23"/>
  <c r="N217" i="23"/>
  <c r="M217" i="23"/>
  <c r="L217" i="23"/>
  <c r="K217" i="23"/>
  <c r="J217" i="23"/>
  <c r="I217" i="23"/>
  <c r="V216" i="23"/>
  <c r="U216" i="23"/>
  <c r="T216" i="23"/>
  <c r="S216" i="23"/>
  <c r="R216" i="23"/>
  <c r="Q216" i="23"/>
  <c r="P216" i="23"/>
  <c r="O216" i="23"/>
  <c r="N216" i="23"/>
  <c r="M216" i="23"/>
  <c r="L216" i="23"/>
  <c r="K216" i="23"/>
  <c r="J216" i="23"/>
  <c r="I216" i="23"/>
  <c r="V215" i="23"/>
  <c r="U215" i="23"/>
  <c r="T215" i="23"/>
  <c r="S215" i="23"/>
  <c r="R215" i="23"/>
  <c r="Q215" i="23"/>
  <c r="P215" i="23"/>
  <c r="O215" i="23"/>
  <c r="N215" i="23"/>
  <c r="M215" i="23"/>
  <c r="L215" i="23"/>
  <c r="K215" i="23"/>
  <c r="J215" i="23"/>
  <c r="I215" i="23"/>
  <c r="V214" i="23"/>
  <c r="U214" i="23"/>
  <c r="T214" i="23"/>
  <c r="S214" i="23"/>
  <c r="R214" i="23"/>
  <c r="Q214" i="23"/>
  <c r="P214" i="23"/>
  <c r="O214" i="23"/>
  <c r="N214" i="23"/>
  <c r="M214" i="23"/>
  <c r="L214" i="23"/>
  <c r="K214" i="23"/>
  <c r="J214" i="23"/>
  <c r="I214" i="23"/>
  <c r="V213" i="23"/>
  <c r="U213" i="23"/>
  <c r="T213" i="23"/>
  <c r="S213" i="23"/>
  <c r="R213" i="23"/>
  <c r="Q213" i="23"/>
  <c r="P213" i="23"/>
  <c r="O213" i="23"/>
  <c r="N213" i="23"/>
  <c r="M213" i="23"/>
  <c r="L213" i="23"/>
  <c r="K213" i="23"/>
  <c r="J213" i="23"/>
  <c r="I213" i="23"/>
  <c r="V212" i="23"/>
  <c r="U212" i="23"/>
  <c r="T212" i="23"/>
  <c r="S212" i="23"/>
  <c r="R212" i="23"/>
  <c r="Q212" i="23"/>
  <c r="P212" i="23"/>
  <c r="O212" i="23"/>
  <c r="N212" i="23"/>
  <c r="M212" i="23"/>
  <c r="L212" i="23"/>
  <c r="K212" i="23"/>
  <c r="J212" i="23"/>
  <c r="I212" i="23"/>
  <c r="V211" i="23"/>
  <c r="U211" i="23"/>
  <c r="T211" i="23"/>
  <c r="S211" i="23"/>
  <c r="R211" i="23"/>
  <c r="Q211" i="23"/>
  <c r="P211" i="23"/>
  <c r="O211" i="23"/>
  <c r="N211" i="23"/>
  <c r="M211" i="23"/>
  <c r="L211" i="23"/>
  <c r="K211" i="23"/>
  <c r="J211" i="23"/>
  <c r="I211" i="23"/>
  <c r="V210" i="23"/>
  <c r="U210" i="23"/>
  <c r="T210" i="23"/>
  <c r="S210" i="23"/>
  <c r="R210" i="23"/>
  <c r="Q210" i="23"/>
  <c r="P210" i="23"/>
  <c r="O210" i="23"/>
  <c r="N210" i="23"/>
  <c r="M210" i="23"/>
  <c r="L210" i="23"/>
  <c r="K210" i="23"/>
  <c r="J210" i="23"/>
  <c r="I210" i="23"/>
  <c r="V209" i="23"/>
  <c r="U209" i="23"/>
  <c r="T209" i="23"/>
  <c r="S209" i="23"/>
  <c r="R209" i="23"/>
  <c r="Q209" i="23"/>
  <c r="P209" i="23"/>
  <c r="O209" i="23"/>
  <c r="N209" i="23"/>
  <c r="M209" i="23"/>
  <c r="L209" i="23"/>
  <c r="K209" i="23"/>
  <c r="J209" i="23"/>
  <c r="I209" i="23"/>
  <c r="V208" i="23"/>
  <c r="U208" i="23"/>
  <c r="T208" i="23"/>
  <c r="S208" i="23"/>
  <c r="R208" i="23"/>
  <c r="Q208" i="23"/>
  <c r="P208" i="23"/>
  <c r="O208" i="23"/>
  <c r="N208" i="23"/>
  <c r="M208" i="23"/>
  <c r="L208" i="23"/>
  <c r="K208" i="23"/>
  <c r="J208" i="23"/>
  <c r="I208" i="23"/>
  <c r="V207" i="23"/>
  <c r="U207" i="23"/>
  <c r="T207" i="23"/>
  <c r="S207" i="23"/>
  <c r="R207" i="23"/>
  <c r="Q207" i="23"/>
  <c r="P207" i="23"/>
  <c r="O207" i="23"/>
  <c r="N207" i="23"/>
  <c r="M207" i="23"/>
  <c r="L207" i="23"/>
  <c r="K207" i="23"/>
  <c r="J207" i="23"/>
  <c r="I207" i="23"/>
  <c r="V206" i="23"/>
  <c r="U206" i="23"/>
  <c r="T206" i="23"/>
  <c r="S206" i="23"/>
  <c r="R206" i="23"/>
  <c r="Q206" i="23"/>
  <c r="P206" i="23"/>
  <c r="O206" i="23"/>
  <c r="N206" i="23"/>
  <c r="M206" i="23"/>
  <c r="L206" i="23"/>
  <c r="K206" i="23"/>
  <c r="J206" i="23"/>
  <c r="I206" i="23"/>
  <c r="V205" i="23"/>
  <c r="U205" i="23"/>
  <c r="T205" i="23"/>
  <c r="S205" i="23"/>
  <c r="R205" i="23"/>
  <c r="Q205" i="23"/>
  <c r="P205" i="23"/>
  <c r="O205" i="23"/>
  <c r="N205" i="23"/>
  <c r="M205" i="23"/>
  <c r="L205" i="23"/>
  <c r="K205" i="23"/>
  <c r="J205" i="23"/>
  <c r="I205" i="23"/>
  <c r="V204" i="23"/>
  <c r="U204" i="23"/>
  <c r="T204" i="23"/>
  <c r="S204" i="23"/>
  <c r="R204" i="23"/>
  <c r="Q204" i="23"/>
  <c r="P204" i="23"/>
  <c r="O204" i="23"/>
  <c r="N204" i="23"/>
  <c r="M204" i="23"/>
  <c r="L204" i="23"/>
  <c r="K204" i="23"/>
  <c r="J204" i="23"/>
  <c r="I204" i="23"/>
  <c r="V203" i="23"/>
  <c r="U203" i="23"/>
  <c r="T203" i="23"/>
  <c r="S203" i="23"/>
  <c r="R203" i="23"/>
  <c r="Q203" i="23"/>
  <c r="P203" i="23"/>
  <c r="O203" i="23"/>
  <c r="N203" i="23"/>
  <c r="M203" i="23"/>
  <c r="L203" i="23"/>
  <c r="K203" i="23"/>
  <c r="J203" i="23"/>
  <c r="I203" i="23"/>
  <c r="V202" i="23"/>
  <c r="U202" i="23"/>
  <c r="T202" i="23"/>
  <c r="S202" i="23"/>
  <c r="R202" i="23"/>
  <c r="Q202" i="23"/>
  <c r="P202" i="23"/>
  <c r="O202" i="23"/>
  <c r="N202" i="23"/>
  <c r="M202" i="23"/>
  <c r="L202" i="23"/>
  <c r="K202" i="23"/>
  <c r="J202" i="23"/>
  <c r="I202" i="23"/>
  <c r="V201" i="23"/>
  <c r="U201" i="23"/>
  <c r="T201" i="23"/>
  <c r="S201" i="23"/>
  <c r="R201" i="23"/>
  <c r="Q201" i="23"/>
  <c r="P201" i="23"/>
  <c r="O201" i="23"/>
  <c r="N201" i="23"/>
  <c r="M201" i="23"/>
  <c r="L201" i="23"/>
  <c r="K201" i="23"/>
  <c r="J201" i="23"/>
  <c r="I201" i="23"/>
  <c r="V200" i="23"/>
  <c r="U200" i="23"/>
  <c r="T200" i="23"/>
  <c r="S200" i="23"/>
  <c r="R200" i="23"/>
  <c r="Q200" i="23"/>
  <c r="P200" i="23"/>
  <c r="O200" i="23"/>
  <c r="N200" i="23"/>
  <c r="M200" i="23"/>
  <c r="L200" i="23"/>
  <c r="K200" i="23"/>
  <c r="J200" i="23"/>
  <c r="I200" i="23"/>
  <c r="V199" i="23"/>
  <c r="U199" i="23"/>
  <c r="T199" i="23"/>
  <c r="S199" i="23"/>
  <c r="R199" i="23"/>
  <c r="Q199" i="23"/>
  <c r="P199" i="23"/>
  <c r="O199" i="23"/>
  <c r="N199" i="23"/>
  <c r="M199" i="23"/>
  <c r="L199" i="23"/>
  <c r="K199" i="23"/>
  <c r="J199" i="23"/>
  <c r="I199" i="23"/>
  <c r="V198" i="23"/>
  <c r="U198" i="23"/>
  <c r="T198" i="23"/>
  <c r="S198" i="23"/>
  <c r="R198" i="23"/>
  <c r="Q198" i="23"/>
  <c r="P198" i="23"/>
  <c r="O198" i="23"/>
  <c r="N198" i="23"/>
  <c r="M198" i="23"/>
  <c r="L198" i="23"/>
  <c r="K198" i="23"/>
  <c r="J198" i="23"/>
  <c r="I198" i="23"/>
  <c r="V197" i="23"/>
  <c r="U197" i="23"/>
  <c r="T197" i="23"/>
  <c r="S197" i="23"/>
  <c r="R197" i="23"/>
  <c r="Q197" i="23"/>
  <c r="P197" i="23"/>
  <c r="O197" i="23"/>
  <c r="N197" i="23"/>
  <c r="M197" i="23"/>
  <c r="L197" i="23"/>
  <c r="K197" i="23"/>
  <c r="J197" i="23"/>
  <c r="I197" i="23"/>
  <c r="V196" i="23"/>
  <c r="U196" i="23"/>
  <c r="T196" i="23"/>
  <c r="S196" i="23"/>
  <c r="R196" i="23"/>
  <c r="Q196" i="23"/>
  <c r="P196" i="23"/>
  <c r="O196" i="23"/>
  <c r="N196" i="23"/>
  <c r="M196" i="23"/>
  <c r="L196" i="23"/>
  <c r="K196" i="23"/>
  <c r="J196" i="23"/>
  <c r="I196" i="23"/>
  <c r="V195" i="23"/>
  <c r="U195" i="23"/>
  <c r="T195" i="23"/>
  <c r="S195" i="23"/>
  <c r="R195" i="23"/>
  <c r="Q195" i="23"/>
  <c r="P195" i="23"/>
  <c r="O195" i="23"/>
  <c r="N195" i="23"/>
  <c r="M195" i="23"/>
  <c r="L195" i="23"/>
  <c r="K195" i="23"/>
  <c r="J195" i="23"/>
  <c r="I195" i="23"/>
  <c r="V194" i="23"/>
  <c r="U194" i="23"/>
  <c r="T194" i="23"/>
  <c r="S194" i="23"/>
  <c r="R194" i="23"/>
  <c r="Q194" i="23"/>
  <c r="P194" i="23"/>
  <c r="O194" i="23"/>
  <c r="N194" i="23"/>
  <c r="M194" i="23"/>
  <c r="L194" i="23"/>
  <c r="K194" i="23"/>
  <c r="J194" i="23"/>
  <c r="I194" i="23"/>
  <c r="V193" i="23"/>
  <c r="U193" i="23"/>
  <c r="T193" i="23"/>
  <c r="S193" i="23"/>
  <c r="R193" i="23"/>
  <c r="Q193" i="23"/>
  <c r="P193" i="23"/>
  <c r="O193" i="23"/>
  <c r="N193" i="23"/>
  <c r="M193" i="23"/>
  <c r="L193" i="23"/>
  <c r="K193" i="23"/>
  <c r="J193" i="23"/>
  <c r="I193" i="23"/>
  <c r="V192" i="23"/>
  <c r="U192" i="23"/>
  <c r="T192" i="23"/>
  <c r="S192" i="23"/>
  <c r="R192" i="23"/>
  <c r="Q192" i="23"/>
  <c r="P192" i="23"/>
  <c r="O192" i="23"/>
  <c r="N192" i="23"/>
  <c r="M192" i="23"/>
  <c r="L192" i="23"/>
  <c r="K192" i="23"/>
  <c r="J192" i="23"/>
  <c r="I192" i="23"/>
  <c r="V191" i="23"/>
  <c r="U191" i="23"/>
  <c r="T191" i="23"/>
  <c r="S191" i="23"/>
  <c r="R191" i="23"/>
  <c r="Q191" i="23"/>
  <c r="P191" i="23"/>
  <c r="O191" i="23"/>
  <c r="N191" i="23"/>
  <c r="M191" i="23"/>
  <c r="L191" i="23"/>
  <c r="K191" i="23"/>
  <c r="J191" i="23"/>
  <c r="I191" i="23"/>
  <c r="V190" i="23"/>
  <c r="U190" i="23"/>
  <c r="T190" i="23"/>
  <c r="S190" i="23"/>
  <c r="R190" i="23"/>
  <c r="Q190" i="23"/>
  <c r="P190" i="23"/>
  <c r="O190" i="23"/>
  <c r="N190" i="23"/>
  <c r="M190" i="23"/>
  <c r="L190" i="23"/>
  <c r="K190" i="23"/>
  <c r="J190" i="23"/>
  <c r="I190" i="23"/>
  <c r="V189" i="23"/>
  <c r="U189" i="23"/>
  <c r="T189" i="23"/>
  <c r="S189" i="23"/>
  <c r="R189" i="23"/>
  <c r="Q189" i="23"/>
  <c r="P189" i="23"/>
  <c r="O189" i="23"/>
  <c r="N189" i="23"/>
  <c r="M189" i="23"/>
  <c r="L189" i="23"/>
  <c r="K189" i="23"/>
  <c r="J189" i="23"/>
  <c r="I189" i="23"/>
  <c r="V188" i="23"/>
  <c r="U188" i="23"/>
  <c r="T188" i="23"/>
  <c r="S188" i="23"/>
  <c r="R188" i="23"/>
  <c r="Q188" i="23"/>
  <c r="P188" i="23"/>
  <c r="O188" i="23"/>
  <c r="N188" i="23"/>
  <c r="M188" i="23"/>
  <c r="L188" i="23"/>
  <c r="K188" i="23"/>
  <c r="J188" i="23"/>
  <c r="I188" i="23"/>
  <c r="V187" i="23"/>
  <c r="U187" i="23"/>
  <c r="T187" i="23"/>
  <c r="S187" i="23"/>
  <c r="R187" i="23"/>
  <c r="Q187" i="23"/>
  <c r="P187" i="23"/>
  <c r="O187" i="23"/>
  <c r="N187" i="23"/>
  <c r="M187" i="23"/>
  <c r="L187" i="23"/>
  <c r="K187" i="23"/>
  <c r="J187" i="23"/>
  <c r="I187" i="23"/>
  <c r="V186" i="23"/>
  <c r="U186" i="23"/>
  <c r="T186" i="23"/>
  <c r="S186" i="23"/>
  <c r="R186" i="23"/>
  <c r="Q186" i="23"/>
  <c r="P186" i="23"/>
  <c r="O186" i="23"/>
  <c r="N186" i="23"/>
  <c r="M186" i="23"/>
  <c r="L186" i="23"/>
  <c r="K186" i="23"/>
  <c r="J186" i="23"/>
  <c r="I186" i="23"/>
  <c r="V185" i="23"/>
  <c r="U185" i="23"/>
  <c r="T185" i="23"/>
  <c r="S185" i="23"/>
  <c r="R185" i="23"/>
  <c r="Q185" i="23"/>
  <c r="P185" i="23"/>
  <c r="O185" i="23"/>
  <c r="N185" i="23"/>
  <c r="M185" i="23"/>
  <c r="L185" i="23"/>
  <c r="K185" i="23"/>
  <c r="J185" i="23"/>
  <c r="I185" i="23"/>
  <c r="V184" i="23"/>
  <c r="U184" i="23"/>
  <c r="T184" i="23"/>
  <c r="S184" i="23"/>
  <c r="R184" i="23"/>
  <c r="Q184" i="23"/>
  <c r="P184" i="23"/>
  <c r="O184" i="23"/>
  <c r="N184" i="23"/>
  <c r="M184" i="23"/>
  <c r="L184" i="23"/>
  <c r="K184" i="23"/>
  <c r="J184" i="23"/>
  <c r="I184" i="23"/>
  <c r="V183" i="23"/>
  <c r="U183" i="23"/>
  <c r="T183" i="23"/>
  <c r="S183" i="23"/>
  <c r="R183" i="23"/>
  <c r="Q183" i="23"/>
  <c r="P183" i="23"/>
  <c r="O183" i="23"/>
  <c r="N183" i="23"/>
  <c r="M183" i="23"/>
  <c r="L183" i="23"/>
  <c r="K183" i="23"/>
  <c r="J183" i="23"/>
  <c r="I183" i="23"/>
  <c r="V182" i="23"/>
  <c r="U182" i="23"/>
  <c r="T182" i="23"/>
  <c r="S182" i="23"/>
  <c r="R182" i="23"/>
  <c r="Q182" i="23"/>
  <c r="P182" i="23"/>
  <c r="O182" i="23"/>
  <c r="N182" i="23"/>
  <c r="M182" i="23"/>
  <c r="L182" i="23"/>
  <c r="K182" i="23"/>
  <c r="J182" i="23"/>
  <c r="I182" i="23"/>
  <c r="V181" i="23"/>
  <c r="U181" i="23"/>
  <c r="T181" i="23"/>
  <c r="S181" i="23"/>
  <c r="R181" i="23"/>
  <c r="Q181" i="23"/>
  <c r="P181" i="23"/>
  <c r="O181" i="23"/>
  <c r="N181" i="23"/>
  <c r="M181" i="23"/>
  <c r="L181" i="23"/>
  <c r="K181" i="23"/>
  <c r="J181" i="23"/>
  <c r="I181" i="23"/>
  <c r="V180" i="23"/>
  <c r="U180" i="23"/>
  <c r="T180" i="23"/>
  <c r="S180" i="23"/>
  <c r="R180" i="23"/>
  <c r="Q180" i="23"/>
  <c r="P180" i="23"/>
  <c r="O180" i="23"/>
  <c r="N180" i="23"/>
  <c r="M180" i="23"/>
  <c r="L180" i="23"/>
  <c r="K180" i="23"/>
  <c r="J180" i="23"/>
  <c r="I180" i="23"/>
  <c r="V179" i="23"/>
  <c r="U179" i="23"/>
  <c r="T179" i="23"/>
  <c r="S179" i="23"/>
  <c r="R179" i="23"/>
  <c r="Q179" i="23"/>
  <c r="P179" i="23"/>
  <c r="O179" i="23"/>
  <c r="N179" i="23"/>
  <c r="M179" i="23"/>
  <c r="L179" i="23"/>
  <c r="K179" i="23"/>
  <c r="J179" i="23"/>
  <c r="I179" i="23"/>
  <c r="V178" i="23"/>
  <c r="U178" i="23"/>
  <c r="T178" i="23"/>
  <c r="S178" i="23"/>
  <c r="R178" i="23"/>
  <c r="Q178" i="23"/>
  <c r="P178" i="23"/>
  <c r="O178" i="23"/>
  <c r="N178" i="23"/>
  <c r="M178" i="23"/>
  <c r="L178" i="23"/>
  <c r="K178" i="23"/>
  <c r="J178" i="23"/>
  <c r="I178" i="23"/>
  <c r="V177" i="23"/>
  <c r="U177" i="23"/>
  <c r="T177" i="23"/>
  <c r="S177" i="23"/>
  <c r="R177" i="23"/>
  <c r="Q177" i="23"/>
  <c r="P177" i="23"/>
  <c r="O177" i="23"/>
  <c r="N177" i="23"/>
  <c r="M177" i="23"/>
  <c r="L177" i="23"/>
  <c r="K177" i="23"/>
  <c r="J177" i="23"/>
  <c r="I177" i="23"/>
  <c r="V176" i="23"/>
  <c r="U176" i="23"/>
  <c r="T176" i="23"/>
  <c r="S176" i="23"/>
  <c r="R176" i="23"/>
  <c r="Q176" i="23"/>
  <c r="P176" i="23"/>
  <c r="O176" i="23"/>
  <c r="N176" i="23"/>
  <c r="M176" i="23"/>
  <c r="L176" i="23"/>
  <c r="K176" i="23"/>
  <c r="J176" i="23"/>
  <c r="I176" i="23"/>
  <c r="V175" i="23"/>
  <c r="U175" i="23"/>
  <c r="T175" i="23"/>
  <c r="S175" i="23"/>
  <c r="R175" i="23"/>
  <c r="Q175" i="23"/>
  <c r="P175" i="23"/>
  <c r="O175" i="23"/>
  <c r="N175" i="23"/>
  <c r="M175" i="23"/>
  <c r="L175" i="23"/>
  <c r="K175" i="23"/>
  <c r="J175" i="23"/>
  <c r="I175" i="23"/>
  <c r="V174" i="23"/>
  <c r="U174" i="23"/>
  <c r="T174" i="23"/>
  <c r="S174" i="23"/>
  <c r="R174" i="23"/>
  <c r="Q174" i="23"/>
  <c r="P174" i="23"/>
  <c r="O174" i="23"/>
  <c r="N174" i="23"/>
  <c r="M174" i="23"/>
  <c r="L174" i="23"/>
  <c r="K174" i="23"/>
  <c r="J174" i="23"/>
  <c r="I174" i="23"/>
  <c r="V173" i="23"/>
  <c r="U173" i="23"/>
  <c r="T173" i="23"/>
  <c r="S173" i="23"/>
  <c r="R173" i="23"/>
  <c r="Q173" i="23"/>
  <c r="P173" i="23"/>
  <c r="O173" i="23"/>
  <c r="N173" i="23"/>
  <c r="M173" i="23"/>
  <c r="L173" i="23"/>
  <c r="K173" i="23"/>
  <c r="J173" i="23"/>
  <c r="I173" i="23"/>
  <c r="V172" i="23"/>
  <c r="U172" i="23"/>
  <c r="T172" i="23"/>
  <c r="S172" i="23"/>
  <c r="R172" i="23"/>
  <c r="Q172" i="23"/>
  <c r="P172" i="23"/>
  <c r="O172" i="23"/>
  <c r="N172" i="23"/>
  <c r="M172" i="23"/>
  <c r="L172" i="23"/>
  <c r="K172" i="23"/>
  <c r="J172" i="23"/>
  <c r="I172" i="23"/>
  <c r="V171" i="23"/>
  <c r="U171" i="23"/>
  <c r="T171" i="23"/>
  <c r="S171" i="23"/>
  <c r="R171" i="23"/>
  <c r="Q171" i="23"/>
  <c r="P171" i="23"/>
  <c r="O171" i="23"/>
  <c r="N171" i="23"/>
  <c r="M171" i="23"/>
  <c r="L171" i="23"/>
  <c r="K171" i="23"/>
  <c r="J171" i="23"/>
  <c r="I171" i="23"/>
  <c r="V170" i="23"/>
  <c r="U170" i="23"/>
  <c r="T170" i="23"/>
  <c r="S170" i="23"/>
  <c r="R170" i="23"/>
  <c r="Q170" i="23"/>
  <c r="P170" i="23"/>
  <c r="O170" i="23"/>
  <c r="N170" i="23"/>
  <c r="M170" i="23"/>
  <c r="L170" i="23"/>
  <c r="K170" i="23"/>
  <c r="J170" i="23"/>
  <c r="I170" i="23"/>
  <c r="V169" i="23"/>
  <c r="U169" i="23"/>
  <c r="T169" i="23"/>
  <c r="S169" i="23"/>
  <c r="R169" i="23"/>
  <c r="Q169" i="23"/>
  <c r="P169" i="23"/>
  <c r="O169" i="23"/>
  <c r="N169" i="23"/>
  <c r="M169" i="23"/>
  <c r="L169" i="23"/>
  <c r="K169" i="23"/>
  <c r="J169" i="23"/>
  <c r="I169" i="23"/>
  <c r="V168" i="23"/>
  <c r="U168" i="23"/>
  <c r="T168" i="23"/>
  <c r="S168" i="23"/>
  <c r="R168" i="23"/>
  <c r="Q168" i="23"/>
  <c r="P168" i="23"/>
  <c r="O168" i="23"/>
  <c r="N168" i="23"/>
  <c r="M168" i="23"/>
  <c r="L168" i="23"/>
  <c r="K168" i="23"/>
  <c r="J168" i="23"/>
  <c r="I168" i="23"/>
  <c r="V167" i="23"/>
  <c r="U167" i="23"/>
  <c r="T167" i="23"/>
  <c r="S167" i="23"/>
  <c r="R167" i="23"/>
  <c r="Q167" i="23"/>
  <c r="P167" i="23"/>
  <c r="O167" i="23"/>
  <c r="N167" i="23"/>
  <c r="M167" i="23"/>
  <c r="L167" i="23"/>
  <c r="K167" i="23"/>
  <c r="J167" i="23"/>
  <c r="I167" i="23"/>
  <c r="V166" i="23"/>
  <c r="U166" i="23"/>
  <c r="T166" i="23"/>
  <c r="S166" i="23"/>
  <c r="R166" i="23"/>
  <c r="Q166" i="23"/>
  <c r="P166" i="23"/>
  <c r="O166" i="23"/>
  <c r="N166" i="23"/>
  <c r="M166" i="23"/>
  <c r="L166" i="23"/>
  <c r="K166" i="23"/>
  <c r="J166" i="23"/>
  <c r="I166" i="23"/>
  <c r="V165" i="23"/>
  <c r="U165" i="23"/>
  <c r="T165" i="23"/>
  <c r="S165" i="23"/>
  <c r="R165" i="23"/>
  <c r="Q165" i="23"/>
  <c r="P165" i="23"/>
  <c r="O165" i="23"/>
  <c r="N165" i="23"/>
  <c r="M165" i="23"/>
  <c r="L165" i="23"/>
  <c r="K165" i="23"/>
  <c r="J165" i="23"/>
  <c r="I165" i="23"/>
  <c r="V164" i="23"/>
  <c r="U164" i="23"/>
  <c r="T164" i="23"/>
  <c r="S164" i="23"/>
  <c r="R164" i="23"/>
  <c r="Q164" i="23"/>
  <c r="P164" i="23"/>
  <c r="O164" i="23"/>
  <c r="N164" i="23"/>
  <c r="M164" i="23"/>
  <c r="L164" i="23"/>
  <c r="K164" i="23"/>
  <c r="J164" i="23"/>
  <c r="I164" i="23"/>
  <c r="V163" i="23"/>
  <c r="U163" i="23"/>
  <c r="T163" i="23"/>
  <c r="S163" i="23"/>
  <c r="R163" i="23"/>
  <c r="Q163" i="23"/>
  <c r="P163" i="23"/>
  <c r="O163" i="23"/>
  <c r="N163" i="23"/>
  <c r="M163" i="23"/>
  <c r="L163" i="23"/>
  <c r="K163" i="23"/>
  <c r="J163" i="23"/>
  <c r="I163" i="23"/>
  <c r="V162" i="23"/>
  <c r="U162" i="23"/>
  <c r="T162" i="23"/>
  <c r="S162" i="23"/>
  <c r="R162" i="23"/>
  <c r="Q162" i="23"/>
  <c r="P162" i="23"/>
  <c r="O162" i="23"/>
  <c r="N162" i="23"/>
  <c r="M162" i="23"/>
  <c r="L162" i="23"/>
  <c r="K162" i="23"/>
  <c r="J162" i="23"/>
  <c r="I162" i="23"/>
  <c r="V161" i="23"/>
  <c r="U161" i="23"/>
  <c r="T161" i="23"/>
  <c r="S161" i="23"/>
  <c r="R161" i="23"/>
  <c r="Q161" i="23"/>
  <c r="P161" i="23"/>
  <c r="O161" i="23"/>
  <c r="N161" i="23"/>
  <c r="M161" i="23"/>
  <c r="L161" i="23"/>
  <c r="K161" i="23"/>
  <c r="J161" i="23"/>
  <c r="I161" i="23"/>
  <c r="V160" i="23"/>
  <c r="U160" i="23"/>
  <c r="T160" i="23"/>
  <c r="S160" i="23"/>
  <c r="R160" i="23"/>
  <c r="Q160" i="23"/>
  <c r="P160" i="23"/>
  <c r="O160" i="23"/>
  <c r="N160" i="23"/>
  <c r="M160" i="23"/>
  <c r="L160" i="23"/>
  <c r="K160" i="23"/>
  <c r="J160" i="23"/>
  <c r="I160" i="23"/>
  <c r="V159" i="23"/>
  <c r="U159" i="23"/>
  <c r="T159" i="23"/>
  <c r="S159" i="23"/>
  <c r="R159" i="23"/>
  <c r="Q159" i="23"/>
  <c r="P159" i="23"/>
  <c r="O159" i="23"/>
  <c r="N159" i="23"/>
  <c r="M159" i="23"/>
  <c r="L159" i="23"/>
  <c r="K159" i="23"/>
  <c r="J159" i="23"/>
  <c r="I159" i="23"/>
  <c r="V158" i="23"/>
  <c r="U158" i="23"/>
  <c r="T158" i="23"/>
  <c r="S158" i="23"/>
  <c r="R158" i="23"/>
  <c r="Q158" i="23"/>
  <c r="P158" i="23"/>
  <c r="O158" i="23"/>
  <c r="N158" i="23"/>
  <c r="M158" i="23"/>
  <c r="L158" i="23"/>
  <c r="K158" i="23"/>
  <c r="J158" i="23"/>
  <c r="I158" i="23"/>
  <c r="V157" i="23"/>
  <c r="U157" i="23"/>
  <c r="T157" i="23"/>
  <c r="S157" i="23"/>
  <c r="R157" i="23"/>
  <c r="Q157" i="23"/>
  <c r="P157" i="23"/>
  <c r="O157" i="23"/>
  <c r="N157" i="23"/>
  <c r="M157" i="23"/>
  <c r="L157" i="23"/>
  <c r="K157" i="23"/>
  <c r="J157" i="23"/>
  <c r="I157" i="23"/>
  <c r="V156" i="23"/>
  <c r="U156" i="23"/>
  <c r="T156" i="23"/>
  <c r="S156" i="23"/>
  <c r="R156" i="23"/>
  <c r="Q156" i="23"/>
  <c r="P156" i="23"/>
  <c r="O156" i="23"/>
  <c r="N156" i="23"/>
  <c r="M156" i="23"/>
  <c r="L156" i="23"/>
  <c r="K156" i="23"/>
  <c r="J156" i="23"/>
  <c r="I156" i="23"/>
  <c r="V155" i="23"/>
  <c r="U155" i="23"/>
  <c r="T155" i="23"/>
  <c r="S155" i="23"/>
  <c r="R155" i="23"/>
  <c r="Q155" i="23"/>
  <c r="P155" i="23"/>
  <c r="O155" i="23"/>
  <c r="N155" i="23"/>
  <c r="M155" i="23"/>
  <c r="L155" i="23"/>
  <c r="K155" i="23"/>
  <c r="J155" i="23"/>
  <c r="I155" i="23"/>
  <c r="V154" i="23"/>
  <c r="U154" i="23"/>
  <c r="T154" i="23"/>
  <c r="S154" i="23"/>
  <c r="R154" i="23"/>
  <c r="Q154" i="23"/>
  <c r="P154" i="23"/>
  <c r="O154" i="23"/>
  <c r="N154" i="23"/>
  <c r="M154" i="23"/>
  <c r="L154" i="23"/>
  <c r="K154" i="23"/>
  <c r="J154" i="23"/>
  <c r="I154" i="23"/>
  <c r="V153" i="23"/>
  <c r="U153" i="23"/>
  <c r="T153" i="23"/>
  <c r="S153" i="23"/>
  <c r="R153" i="23"/>
  <c r="Q153" i="23"/>
  <c r="P153" i="23"/>
  <c r="O153" i="23"/>
  <c r="N153" i="23"/>
  <c r="M153" i="23"/>
  <c r="L153" i="23"/>
  <c r="K153" i="23"/>
  <c r="J153" i="23"/>
  <c r="I153" i="23"/>
  <c r="V152" i="23"/>
  <c r="U152" i="23"/>
  <c r="T152" i="23"/>
  <c r="S152" i="23"/>
  <c r="R152" i="23"/>
  <c r="Q152" i="23"/>
  <c r="P152" i="23"/>
  <c r="O152" i="23"/>
  <c r="N152" i="23"/>
  <c r="M152" i="23"/>
  <c r="L152" i="23"/>
  <c r="K152" i="23"/>
  <c r="J152" i="23"/>
  <c r="I152" i="23"/>
  <c r="V151" i="23"/>
  <c r="U151" i="23"/>
  <c r="T151" i="23"/>
  <c r="S151" i="23"/>
  <c r="R151" i="23"/>
  <c r="Q151" i="23"/>
  <c r="P151" i="23"/>
  <c r="O151" i="23"/>
  <c r="N151" i="23"/>
  <c r="M151" i="23"/>
  <c r="L151" i="23"/>
  <c r="K151" i="23"/>
  <c r="J151" i="23"/>
  <c r="I151" i="23"/>
  <c r="V150" i="23"/>
  <c r="U150" i="23"/>
  <c r="T150" i="23"/>
  <c r="S150" i="23"/>
  <c r="R150" i="23"/>
  <c r="Q150" i="23"/>
  <c r="P150" i="23"/>
  <c r="O150" i="23"/>
  <c r="N150" i="23"/>
  <c r="M150" i="23"/>
  <c r="L150" i="23"/>
  <c r="K150" i="23"/>
  <c r="J150" i="23"/>
  <c r="I150" i="23"/>
  <c r="V149" i="23"/>
  <c r="U149" i="23"/>
  <c r="T149" i="23"/>
  <c r="S149" i="23"/>
  <c r="R149" i="23"/>
  <c r="Q149" i="23"/>
  <c r="P149" i="23"/>
  <c r="O149" i="23"/>
  <c r="N149" i="23"/>
  <c r="M149" i="23"/>
  <c r="L149" i="23"/>
  <c r="K149" i="23"/>
  <c r="J149" i="23"/>
  <c r="I149" i="23"/>
  <c r="V148" i="23"/>
  <c r="U148" i="23"/>
  <c r="T148" i="23"/>
  <c r="S148" i="23"/>
  <c r="R148" i="23"/>
  <c r="Q148" i="23"/>
  <c r="P148" i="23"/>
  <c r="O148" i="23"/>
  <c r="N148" i="23"/>
  <c r="M148" i="23"/>
  <c r="L148" i="23"/>
  <c r="K148" i="23"/>
  <c r="J148" i="23"/>
  <c r="I148" i="23"/>
  <c r="V147" i="23"/>
  <c r="U147" i="23"/>
  <c r="T147" i="23"/>
  <c r="S147" i="23"/>
  <c r="R147" i="23"/>
  <c r="Q147" i="23"/>
  <c r="P147" i="23"/>
  <c r="O147" i="23"/>
  <c r="N147" i="23"/>
  <c r="M147" i="23"/>
  <c r="L147" i="23"/>
  <c r="K147" i="23"/>
  <c r="J147" i="23"/>
  <c r="I147" i="23"/>
  <c r="V146" i="23"/>
  <c r="U146" i="23"/>
  <c r="T146" i="23"/>
  <c r="S146" i="23"/>
  <c r="R146" i="23"/>
  <c r="Q146" i="23"/>
  <c r="P146" i="23"/>
  <c r="O146" i="23"/>
  <c r="N146" i="23"/>
  <c r="M146" i="23"/>
  <c r="L146" i="23"/>
  <c r="K146" i="23"/>
  <c r="J146" i="23"/>
  <c r="I146" i="23"/>
  <c r="V145" i="23"/>
  <c r="U145" i="23"/>
  <c r="T145" i="23"/>
  <c r="S145" i="23"/>
  <c r="R145" i="23"/>
  <c r="Q145" i="23"/>
  <c r="P145" i="23"/>
  <c r="O145" i="23"/>
  <c r="N145" i="23"/>
  <c r="M145" i="23"/>
  <c r="L145" i="23"/>
  <c r="K145" i="23"/>
  <c r="J145" i="23"/>
  <c r="I145" i="23"/>
  <c r="V144" i="23"/>
  <c r="U144" i="23"/>
  <c r="T144" i="23"/>
  <c r="S144" i="23"/>
  <c r="R144" i="23"/>
  <c r="Q144" i="23"/>
  <c r="P144" i="23"/>
  <c r="O144" i="23"/>
  <c r="N144" i="23"/>
  <c r="M144" i="23"/>
  <c r="L144" i="23"/>
  <c r="K144" i="23"/>
  <c r="J144" i="23"/>
  <c r="I144" i="23"/>
  <c r="V143" i="23"/>
  <c r="U143" i="23"/>
  <c r="T143" i="23"/>
  <c r="S143" i="23"/>
  <c r="R143" i="23"/>
  <c r="Q143" i="23"/>
  <c r="P143" i="23"/>
  <c r="O143" i="23"/>
  <c r="N143" i="23"/>
  <c r="M143" i="23"/>
  <c r="L143" i="23"/>
  <c r="K143" i="23"/>
  <c r="J143" i="23"/>
  <c r="I143" i="23"/>
  <c r="V142" i="23"/>
  <c r="U142" i="23"/>
  <c r="T142" i="23"/>
  <c r="S142" i="23"/>
  <c r="R142" i="23"/>
  <c r="Q142" i="23"/>
  <c r="P142" i="23"/>
  <c r="O142" i="23"/>
  <c r="N142" i="23"/>
  <c r="M142" i="23"/>
  <c r="L142" i="23"/>
  <c r="K142" i="23"/>
  <c r="J142" i="23"/>
  <c r="I142" i="23"/>
  <c r="V141" i="23"/>
  <c r="U141" i="23"/>
  <c r="T141" i="23"/>
  <c r="S141" i="23"/>
  <c r="R141" i="23"/>
  <c r="Q141" i="23"/>
  <c r="P141" i="23"/>
  <c r="O141" i="23"/>
  <c r="N141" i="23"/>
  <c r="M141" i="23"/>
  <c r="L141" i="23"/>
  <c r="K141" i="23"/>
  <c r="J141" i="23"/>
  <c r="I141" i="23"/>
  <c r="V140" i="23"/>
  <c r="U140" i="23"/>
  <c r="T140" i="23"/>
  <c r="S140" i="23"/>
  <c r="R140" i="23"/>
  <c r="Q140" i="23"/>
  <c r="P140" i="23"/>
  <c r="O140" i="23"/>
  <c r="N140" i="23"/>
  <c r="M140" i="23"/>
  <c r="L140" i="23"/>
  <c r="K140" i="23"/>
  <c r="J140" i="23"/>
  <c r="I140" i="23"/>
  <c r="V139" i="23"/>
  <c r="U139" i="23"/>
  <c r="T139" i="23"/>
  <c r="S139" i="23"/>
  <c r="R139" i="23"/>
  <c r="Q139" i="23"/>
  <c r="P139" i="23"/>
  <c r="O139" i="23"/>
  <c r="N139" i="23"/>
  <c r="M139" i="23"/>
  <c r="L139" i="23"/>
  <c r="K139" i="23"/>
  <c r="J139" i="23"/>
  <c r="I139" i="23"/>
  <c r="V138" i="23"/>
  <c r="U138" i="23"/>
  <c r="T138" i="23"/>
  <c r="S138" i="23"/>
  <c r="R138" i="23"/>
  <c r="Q138" i="23"/>
  <c r="P138" i="23"/>
  <c r="O138" i="23"/>
  <c r="N138" i="23"/>
  <c r="M138" i="23"/>
  <c r="L138" i="23"/>
  <c r="K138" i="23"/>
  <c r="J138" i="23"/>
  <c r="I138" i="23"/>
  <c r="V137" i="23"/>
  <c r="U137" i="23"/>
  <c r="T137" i="23"/>
  <c r="S137" i="23"/>
  <c r="R137" i="23"/>
  <c r="Q137" i="23"/>
  <c r="P137" i="23"/>
  <c r="O137" i="23"/>
  <c r="N137" i="23"/>
  <c r="M137" i="23"/>
  <c r="L137" i="23"/>
  <c r="K137" i="23"/>
  <c r="J137" i="23"/>
  <c r="I137" i="23"/>
  <c r="V136" i="23"/>
  <c r="U136" i="23"/>
  <c r="T136" i="23"/>
  <c r="S136" i="23"/>
  <c r="R136" i="23"/>
  <c r="Q136" i="23"/>
  <c r="P136" i="23"/>
  <c r="O136" i="23"/>
  <c r="N136" i="23"/>
  <c r="M136" i="23"/>
  <c r="L136" i="23"/>
  <c r="K136" i="23"/>
  <c r="J136" i="23"/>
  <c r="I136" i="23"/>
  <c r="V135" i="23"/>
  <c r="U135" i="23"/>
  <c r="T135" i="23"/>
  <c r="S135" i="23"/>
  <c r="R135" i="23"/>
  <c r="Q135" i="23"/>
  <c r="P135" i="23"/>
  <c r="O135" i="23"/>
  <c r="N135" i="23"/>
  <c r="M135" i="23"/>
  <c r="L135" i="23"/>
  <c r="K135" i="23"/>
  <c r="J135" i="23"/>
  <c r="I135" i="23"/>
  <c r="V134" i="23"/>
  <c r="U134" i="23"/>
  <c r="T134" i="23"/>
  <c r="S134" i="23"/>
  <c r="R134" i="23"/>
  <c r="Q134" i="23"/>
  <c r="P134" i="23"/>
  <c r="O134" i="23"/>
  <c r="N134" i="23"/>
  <c r="M134" i="23"/>
  <c r="L134" i="23"/>
  <c r="K134" i="23"/>
  <c r="J134" i="23"/>
  <c r="I134" i="23"/>
  <c r="V133" i="23"/>
  <c r="U133" i="23"/>
  <c r="T133" i="23"/>
  <c r="S133" i="23"/>
  <c r="R133" i="23"/>
  <c r="Q133" i="23"/>
  <c r="P133" i="23"/>
  <c r="O133" i="23"/>
  <c r="N133" i="23"/>
  <c r="M133" i="23"/>
  <c r="L133" i="23"/>
  <c r="K133" i="23"/>
  <c r="J133" i="23"/>
  <c r="I133" i="23"/>
  <c r="V132" i="23"/>
  <c r="U132" i="23"/>
  <c r="T132" i="23"/>
  <c r="S132" i="23"/>
  <c r="R132" i="23"/>
  <c r="Q132" i="23"/>
  <c r="P132" i="23"/>
  <c r="O132" i="23"/>
  <c r="N132" i="23"/>
  <c r="M132" i="23"/>
  <c r="L132" i="23"/>
  <c r="K132" i="23"/>
  <c r="J132" i="23"/>
  <c r="I132" i="23"/>
  <c r="V131" i="23"/>
  <c r="U131" i="23"/>
  <c r="T131" i="23"/>
  <c r="S131" i="23"/>
  <c r="R131" i="23"/>
  <c r="Q131" i="23"/>
  <c r="P131" i="23"/>
  <c r="O131" i="23"/>
  <c r="N131" i="23"/>
  <c r="M131" i="23"/>
  <c r="L131" i="23"/>
  <c r="K131" i="23"/>
  <c r="J131" i="23"/>
  <c r="I131" i="23"/>
  <c r="V130" i="23"/>
  <c r="U130" i="23"/>
  <c r="T130" i="23"/>
  <c r="S130" i="23"/>
  <c r="R130" i="23"/>
  <c r="Q130" i="23"/>
  <c r="P130" i="23"/>
  <c r="O130" i="23"/>
  <c r="N130" i="23"/>
  <c r="M130" i="23"/>
  <c r="L130" i="23"/>
  <c r="K130" i="23"/>
  <c r="J130" i="23"/>
  <c r="I130" i="23"/>
  <c r="V129" i="23"/>
  <c r="U129" i="23"/>
  <c r="T129" i="23"/>
  <c r="S129" i="23"/>
  <c r="R129" i="23"/>
  <c r="Q129" i="23"/>
  <c r="P129" i="23"/>
  <c r="O129" i="23"/>
  <c r="N129" i="23"/>
  <c r="M129" i="23"/>
  <c r="L129" i="23"/>
  <c r="K129" i="23"/>
  <c r="J129" i="23"/>
  <c r="I129" i="23"/>
  <c r="V128" i="23"/>
  <c r="U128" i="23"/>
  <c r="T128" i="23"/>
  <c r="S128" i="23"/>
  <c r="R128" i="23"/>
  <c r="Q128" i="23"/>
  <c r="P128" i="23"/>
  <c r="O128" i="23"/>
  <c r="N128" i="23"/>
  <c r="M128" i="23"/>
  <c r="L128" i="23"/>
  <c r="K128" i="23"/>
  <c r="J128" i="23"/>
  <c r="I128" i="23"/>
  <c r="V127" i="23"/>
  <c r="U127" i="23"/>
  <c r="T127" i="23"/>
  <c r="S127" i="23"/>
  <c r="R127" i="23"/>
  <c r="Q127" i="23"/>
  <c r="P127" i="23"/>
  <c r="O127" i="23"/>
  <c r="N127" i="23"/>
  <c r="M127" i="23"/>
  <c r="L127" i="23"/>
  <c r="K127" i="23"/>
  <c r="J127" i="23"/>
  <c r="I127" i="23"/>
  <c r="V126" i="23"/>
  <c r="U126" i="23"/>
  <c r="T126" i="23"/>
  <c r="S126" i="23"/>
  <c r="R126" i="23"/>
  <c r="Q126" i="23"/>
  <c r="P126" i="23"/>
  <c r="O126" i="23"/>
  <c r="N126" i="23"/>
  <c r="M126" i="23"/>
  <c r="L126" i="23"/>
  <c r="K126" i="23"/>
  <c r="J126" i="23"/>
  <c r="I126" i="23"/>
  <c r="V125" i="23"/>
  <c r="U125" i="23"/>
  <c r="T125" i="23"/>
  <c r="S125" i="23"/>
  <c r="R125" i="23"/>
  <c r="Q125" i="23"/>
  <c r="P125" i="23"/>
  <c r="O125" i="23"/>
  <c r="N125" i="23"/>
  <c r="M125" i="23"/>
  <c r="L125" i="23"/>
  <c r="K125" i="23"/>
  <c r="J125" i="23"/>
  <c r="I125" i="23"/>
  <c r="V124" i="23"/>
  <c r="U124" i="23"/>
  <c r="T124" i="23"/>
  <c r="S124" i="23"/>
  <c r="R124" i="23"/>
  <c r="Q124" i="23"/>
  <c r="P124" i="23"/>
  <c r="O124" i="23"/>
  <c r="N124" i="23"/>
  <c r="M124" i="23"/>
  <c r="L124" i="23"/>
  <c r="K124" i="23"/>
  <c r="J124" i="23"/>
  <c r="I124" i="23"/>
  <c r="V123" i="23"/>
  <c r="U123" i="23"/>
  <c r="T123" i="23"/>
  <c r="S123" i="23"/>
  <c r="R123" i="23"/>
  <c r="Q123" i="23"/>
  <c r="P123" i="23"/>
  <c r="O123" i="23"/>
  <c r="N123" i="23"/>
  <c r="M123" i="23"/>
  <c r="L123" i="23"/>
  <c r="K123" i="23"/>
  <c r="J123" i="23"/>
  <c r="I123" i="23"/>
  <c r="V122" i="23"/>
  <c r="U122" i="23"/>
  <c r="T122" i="23"/>
  <c r="S122" i="23"/>
  <c r="R122" i="23"/>
  <c r="Q122" i="23"/>
  <c r="P122" i="23"/>
  <c r="O122" i="23"/>
  <c r="N122" i="23"/>
  <c r="M122" i="23"/>
  <c r="L122" i="23"/>
  <c r="K122" i="23"/>
  <c r="J122" i="23"/>
  <c r="I122" i="23"/>
  <c r="V121" i="23"/>
  <c r="U121" i="23"/>
  <c r="T121" i="23"/>
  <c r="S121" i="23"/>
  <c r="R121" i="23"/>
  <c r="Q121" i="23"/>
  <c r="P121" i="23"/>
  <c r="O121" i="23"/>
  <c r="N121" i="23"/>
  <c r="M121" i="23"/>
  <c r="L121" i="23"/>
  <c r="K121" i="23"/>
  <c r="J121" i="23"/>
  <c r="I121" i="23"/>
  <c r="V120" i="23"/>
  <c r="U120" i="23"/>
  <c r="T120" i="23"/>
  <c r="S120" i="23"/>
  <c r="R120" i="23"/>
  <c r="Q120" i="23"/>
  <c r="P120" i="23"/>
  <c r="O120" i="23"/>
  <c r="N120" i="23"/>
  <c r="M120" i="23"/>
  <c r="L120" i="23"/>
  <c r="K120" i="23"/>
  <c r="J120" i="23"/>
  <c r="I120" i="23"/>
  <c r="V119" i="23"/>
  <c r="U119" i="23"/>
  <c r="T119" i="23"/>
  <c r="S119" i="23"/>
  <c r="R119" i="23"/>
  <c r="Q119" i="23"/>
  <c r="P119" i="23"/>
  <c r="O119" i="23"/>
  <c r="N119" i="23"/>
  <c r="M119" i="23"/>
  <c r="L119" i="23"/>
  <c r="K119" i="23"/>
  <c r="J119" i="23"/>
  <c r="I119" i="23"/>
  <c r="V118" i="23"/>
  <c r="U118" i="23"/>
  <c r="T118" i="23"/>
  <c r="S118" i="23"/>
  <c r="R118" i="23"/>
  <c r="Q118" i="23"/>
  <c r="P118" i="23"/>
  <c r="O118" i="23"/>
  <c r="N118" i="23"/>
  <c r="M118" i="23"/>
  <c r="L118" i="23"/>
  <c r="K118" i="23"/>
  <c r="J118" i="23"/>
  <c r="I118" i="23"/>
  <c r="V117" i="23"/>
  <c r="U117" i="23"/>
  <c r="T117" i="23"/>
  <c r="S117" i="23"/>
  <c r="R117" i="23"/>
  <c r="Q117" i="23"/>
  <c r="P117" i="23"/>
  <c r="O117" i="23"/>
  <c r="N117" i="23"/>
  <c r="M117" i="23"/>
  <c r="L117" i="23"/>
  <c r="K117" i="23"/>
  <c r="J117" i="23"/>
  <c r="I117" i="23"/>
  <c r="V116" i="23"/>
  <c r="U116" i="23"/>
  <c r="T116" i="23"/>
  <c r="S116" i="23"/>
  <c r="R116" i="23"/>
  <c r="Q116" i="23"/>
  <c r="P116" i="23"/>
  <c r="O116" i="23"/>
  <c r="N116" i="23"/>
  <c r="M116" i="23"/>
  <c r="L116" i="23"/>
  <c r="K116" i="23"/>
  <c r="J116" i="23"/>
  <c r="I116" i="23"/>
  <c r="V115" i="23"/>
  <c r="U115" i="23"/>
  <c r="T115" i="23"/>
  <c r="S115" i="23"/>
  <c r="R115" i="23"/>
  <c r="Q115" i="23"/>
  <c r="P115" i="23"/>
  <c r="O115" i="23"/>
  <c r="N115" i="23"/>
  <c r="M115" i="23"/>
  <c r="L115" i="23"/>
  <c r="K115" i="23"/>
  <c r="J115" i="23"/>
  <c r="I115" i="23"/>
  <c r="V114" i="23"/>
  <c r="U114" i="23"/>
  <c r="T114" i="23"/>
  <c r="S114" i="23"/>
  <c r="R114" i="23"/>
  <c r="Q114" i="23"/>
  <c r="P114" i="23"/>
  <c r="O114" i="23"/>
  <c r="N114" i="23"/>
  <c r="M114" i="23"/>
  <c r="L114" i="23"/>
  <c r="K114" i="23"/>
  <c r="J114" i="23"/>
  <c r="I114" i="23"/>
  <c r="V113" i="23"/>
  <c r="U113" i="23"/>
  <c r="T113" i="23"/>
  <c r="S113" i="23"/>
  <c r="R113" i="23"/>
  <c r="Q113" i="23"/>
  <c r="P113" i="23"/>
  <c r="O113" i="23"/>
  <c r="N113" i="23"/>
  <c r="M113" i="23"/>
  <c r="L113" i="23"/>
  <c r="K113" i="23"/>
  <c r="J113" i="23"/>
  <c r="I113" i="23"/>
  <c r="V112" i="23"/>
  <c r="U112" i="23"/>
  <c r="T112" i="23"/>
  <c r="S112" i="23"/>
  <c r="R112" i="23"/>
  <c r="Q112" i="23"/>
  <c r="P112" i="23"/>
  <c r="O112" i="23"/>
  <c r="N112" i="23"/>
  <c r="M112" i="23"/>
  <c r="L112" i="23"/>
  <c r="K112" i="23"/>
  <c r="J112" i="23"/>
  <c r="I112" i="23"/>
  <c r="V111" i="23"/>
  <c r="U111" i="23"/>
  <c r="T111" i="23"/>
  <c r="S111" i="23"/>
  <c r="R111" i="23"/>
  <c r="Q111" i="23"/>
  <c r="P111" i="23"/>
  <c r="O111" i="23"/>
  <c r="N111" i="23"/>
  <c r="M111" i="23"/>
  <c r="L111" i="23"/>
  <c r="K111" i="23"/>
  <c r="J111" i="23"/>
  <c r="I111" i="23"/>
  <c r="V110" i="23"/>
  <c r="U110" i="23"/>
  <c r="T110" i="23"/>
  <c r="S110" i="23"/>
  <c r="R110" i="23"/>
  <c r="Q110" i="23"/>
  <c r="P110" i="23"/>
  <c r="O110" i="23"/>
  <c r="N110" i="23"/>
  <c r="M110" i="23"/>
  <c r="L110" i="23"/>
  <c r="K110" i="23"/>
  <c r="J110" i="23"/>
  <c r="I110" i="23"/>
  <c r="V109" i="23"/>
  <c r="U109" i="23"/>
  <c r="T109" i="23"/>
  <c r="S109" i="23"/>
  <c r="R109" i="23"/>
  <c r="Q109" i="23"/>
  <c r="P109" i="23"/>
  <c r="O109" i="23"/>
  <c r="N109" i="23"/>
  <c r="M109" i="23"/>
  <c r="L109" i="23"/>
  <c r="K109" i="23"/>
  <c r="J109" i="23"/>
  <c r="I109" i="23"/>
  <c r="V108" i="23"/>
  <c r="U108" i="23"/>
  <c r="T108" i="23"/>
  <c r="S108" i="23"/>
  <c r="R108" i="23"/>
  <c r="Q108" i="23"/>
  <c r="P108" i="23"/>
  <c r="O108" i="23"/>
  <c r="N108" i="23"/>
  <c r="M108" i="23"/>
  <c r="L108" i="23"/>
  <c r="K108" i="23"/>
  <c r="J108" i="23"/>
  <c r="I108" i="23"/>
  <c r="V107" i="23"/>
  <c r="U107" i="23"/>
  <c r="T107" i="23"/>
  <c r="S107" i="23"/>
  <c r="R107" i="23"/>
  <c r="Q107" i="23"/>
  <c r="P107" i="23"/>
  <c r="O107" i="23"/>
  <c r="N107" i="23"/>
  <c r="M107" i="23"/>
  <c r="L107" i="23"/>
  <c r="K107" i="23"/>
  <c r="J107" i="23"/>
  <c r="I107" i="23"/>
  <c r="V106" i="23"/>
  <c r="U106" i="23"/>
  <c r="T106" i="23"/>
  <c r="S106" i="23"/>
  <c r="R106" i="23"/>
  <c r="Q106" i="23"/>
  <c r="P106" i="23"/>
  <c r="O106" i="23"/>
  <c r="N106" i="23"/>
  <c r="M106" i="23"/>
  <c r="L106" i="23"/>
  <c r="K106" i="23"/>
  <c r="J106" i="23"/>
  <c r="I106" i="23"/>
  <c r="V105" i="23"/>
  <c r="U105" i="23"/>
  <c r="T105" i="23"/>
  <c r="S105" i="23"/>
  <c r="R105" i="23"/>
  <c r="Q105" i="23"/>
  <c r="P105" i="23"/>
  <c r="O105" i="23"/>
  <c r="N105" i="23"/>
  <c r="M105" i="23"/>
  <c r="L105" i="23"/>
  <c r="K105" i="23"/>
  <c r="J105" i="23"/>
  <c r="I105" i="23"/>
  <c r="V104" i="23"/>
  <c r="U104" i="23"/>
  <c r="T104" i="23"/>
  <c r="S104" i="23"/>
  <c r="R104" i="23"/>
  <c r="Q104" i="23"/>
  <c r="P104" i="23"/>
  <c r="O104" i="23"/>
  <c r="N104" i="23"/>
  <c r="M104" i="23"/>
  <c r="L104" i="23"/>
  <c r="K104" i="23"/>
  <c r="J104" i="23"/>
  <c r="I104" i="23"/>
  <c r="V103" i="23"/>
  <c r="U103" i="23"/>
  <c r="T103" i="23"/>
  <c r="S103" i="23"/>
  <c r="R103" i="23"/>
  <c r="Q103" i="23"/>
  <c r="P103" i="23"/>
  <c r="O103" i="23"/>
  <c r="N103" i="23"/>
  <c r="M103" i="23"/>
  <c r="L103" i="23"/>
  <c r="K103" i="23"/>
  <c r="J103" i="23"/>
  <c r="I103" i="23"/>
  <c r="V102" i="23"/>
  <c r="U102" i="23"/>
  <c r="T102" i="23"/>
  <c r="S102" i="23"/>
  <c r="R102" i="23"/>
  <c r="Q102" i="23"/>
  <c r="P102" i="23"/>
  <c r="O102" i="23"/>
  <c r="N102" i="23"/>
  <c r="M102" i="23"/>
  <c r="L102" i="23"/>
  <c r="K102" i="23"/>
  <c r="J102" i="23"/>
  <c r="I102" i="23"/>
  <c r="V101" i="23"/>
  <c r="U101" i="23"/>
  <c r="T101" i="23"/>
  <c r="S101" i="23"/>
  <c r="R101" i="23"/>
  <c r="Q101" i="23"/>
  <c r="P101" i="23"/>
  <c r="O101" i="23"/>
  <c r="N101" i="23"/>
  <c r="M101" i="23"/>
  <c r="L101" i="23"/>
  <c r="K101" i="23"/>
  <c r="J101" i="23"/>
  <c r="I101" i="23"/>
  <c r="V100" i="23"/>
  <c r="U100" i="23"/>
  <c r="T100" i="23"/>
  <c r="S100" i="23"/>
  <c r="R100" i="23"/>
  <c r="Q100" i="23"/>
  <c r="P100" i="23"/>
  <c r="O100" i="23"/>
  <c r="N100" i="23"/>
  <c r="M100" i="23"/>
  <c r="L100" i="23"/>
  <c r="K100" i="23"/>
  <c r="J100" i="23"/>
  <c r="I100" i="23"/>
  <c r="V99" i="23"/>
  <c r="U99" i="23"/>
  <c r="T99" i="23"/>
  <c r="S99" i="23"/>
  <c r="R99" i="23"/>
  <c r="Q99" i="23"/>
  <c r="P99" i="23"/>
  <c r="O99" i="23"/>
  <c r="N99" i="23"/>
  <c r="M99" i="23"/>
  <c r="L99" i="23"/>
  <c r="K99" i="23"/>
  <c r="J99" i="23"/>
  <c r="I99" i="23"/>
  <c r="V98" i="23"/>
  <c r="U98" i="23"/>
  <c r="T98" i="23"/>
  <c r="S98" i="23"/>
  <c r="R98" i="23"/>
  <c r="Q98" i="23"/>
  <c r="P98" i="23"/>
  <c r="O98" i="23"/>
  <c r="N98" i="23"/>
  <c r="M98" i="23"/>
  <c r="L98" i="23"/>
  <c r="K98" i="23"/>
  <c r="J98" i="23"/>
  <c r="I98" i="23"/>
  <c r="V97" i="23"/>
  <c r="U97" i="23"/>
  <c r="T97" i="23"/>
  <c r="S97" i="23"/>
  <c r="R97" i="23"/>
  <c r="Q97" i="23"/>
  <c r="P97" i="23"/>
  <c r="O97" i="23"/>
  <c r="N97" i="23"/>
  <c r="M97" i="23"/>
  <c r="L97" i="23"/>
  <c r="K97" i="23"/>
  <c r="J97" i="23"/>
  <c r="I97" i="23"/>
  <c r="V96" i="23"/>
  <c r="U96" i="23"/>
  <c r="T96" i="23"/>
  <c r="S96" i="23"/>
  <c r="R96" i="23"/>
  <c r="Q96" i="23"/>
  <c r="P96" i="23"/>
  <c r="O96" i="23"/>
  <c r="N96" i="23"/>
  <c r="M96" i="23"/>
  <c r="L96" i="23"/>
  <c r="K96" i="23"/>
  <c r="J96" i="23"/>
  <c r="I96" i="23"/>
  <c r="V95" i="23"/>
  <c r="U95" i="23"/>
  <c r="T95" i="23"/>
  <c r="S95" i="23"/>
  <c r="R95" i="23"/>
  <c r="Q95" i="23"/>
  <c r="P95" i="23"/>
  <c r="O95" i="23"/>
  <c r="N95" i="23"/>
  <c r="M95" i="23"/>
  <c r="L95" i="23"/>
  <c r="K95" i="23"/>
  <c r="J95" i="23"/>
  <c r="I95" i="23"/>
  <c r="V94" i="23"/>
  <c r="U94" i="23"/>
  <c r="T94" i="23"/>
  <c r="S94" i="23"/>
  <c r="R94" i="23"/>
  <c r="Q94" i="23"/>
  <c r="P94" i="23"/>
  <c r="O94" i="23"/>
  <c r="N94" i="23"/>
  <c r="M94" i="23"/>
  <c r="L94" i="23"/>
  <c r="K94" i="23"/>
  <c r="J94" i="23"/>
  <c r="I94" i="23"/>
  <c r="V93" i="23"/>
  <c r="U93" i="23"/>
  <c r="T93" i="23"/>
  <c r="S93" i="23"/>
  <c r="R93" i="23"/>
  <c r="Q93" i="23"/>
  <c r="P93" i="23"/>
  <c r="O93" i="23"/>
  <c r="N93" i="23"/>
  <c r="M93" i="23"/>
  <c r="L93" i="23"/>
  <c r="K93" i="23"/>
  <c r="J93" i="23"/>
  <c r="I93" i="23"/>
  <c r="V92" i="23"/>
  <c r="U92" i="23"/>
  <c r="T92" i="23"/>
  <c r="S92" i="23"/>
  <c r="R92" i="23"/>
  <c r="Q92" i="23"/>
  <c r="P92" i="23"/>
  <c r="O92" i="23"/>
  <c r="N92" i="23"/>
  <c r="M92" i="23"/>
  <c r="L92" i="23"/>
  <c r="K92" i="23"/>
  <c r="J92" i="23"/>
  <c r="I92" i="23"/>
  <c r="V91" i="23"/>
  <c r="U91" i="23"/>
  <c r="T91" i="23"/>
  <c r="S91" i="23"/>
  <c r="R91" i="23"/>
  <c r="Q91" i="23"/>
  <c r="P91" i="23"/>
  <c r="O91" i="23"/>
  <c r="N91" i="23"/>
  <c r="M91" i="23"/>
  <c r="L91" i="23"/>
  <c r="K91" i="23"/>
  <c r="J91" i="23"/>
  <c r="I91" i="23"/>
  <c r="V90" i="23"/>
  <c r="U90" i="23"/>
  <c r="T90" i="23"/>
  <c r="S90" i="23"/>
  <c r="R90" i="23"/>
  <c r="Q90" i="23"/>
  <c r="P90" i="23"/>
  <c r="O90" i="23"/>
  <c r="N90" i="23"/>
  <c r="M90" i="23"/>
  <c r="L90" i="23"/>
  <c r="K90" i="23"/>
  <c r="J90" i="23"/>
  <c r="I90" i="23"/>
  <c r="V89" i="23"/>
  <c r="U89" i="23"/>
  <c r="T89" i="23"/>
  <c r="S89" i="23"/>
  <c r="R89" i="23"/>
  <c r="Q89" i="23"/>
  <c r="P89" i="23"/>
  <c r="O89" i="23"/>
  <c r="N89" i="23"/>
  <c r="M89" i="23"/>
  <c r="L89" i="23"/>
  <c r="K89" i="23"/>
  <c r="J89" i="23"/>
  <c r="I89" i="23"/>
  <c r="V88" i="23"/>
  <c r="U88" i="23"/>
  <c r="T88" i="23"/>
  <c r="S88" i="23"/>
  <c r="R88" i="23"/>
  <c r="Q88" i="23"/>
  <c r="P88" i="23"/>
  <c r="O88" i="23"/>
  <c r="N88" i="23"/>
  <c r="M88" i="23"/>
  <c r="L88" i="23"/>
  <c r="K88" i="23"/>
  <c r="J88" i="23"/>
  <c r="I88" i="23"/>
  <c r="V87" i="23"/>
  <c r="U87" i="23"/>
  <c r="T87" i="23"/>
  <c r="S87" i="23"/>
  <c r="R87" i="23"/>
  <c r="Q87" i="23"/>
  <c r="P87" i="23"/>
  <c r="O87" i="23"/>
  <c r="N87" i="23"/>
  <c r="M87" i="23"/>
  <c r="L87" i="23"/>
  <c r="K87" i="23"/>
  <c r="J87" i="23"/>
  <c r="I87" i="23"/>
  <c r="V86" i="23"/>
  <c r="U86" i="23"/>
  <c r="T86" i="23"/>
  <c r="S86" i="23"/>
  <c r="R86" i="23"/>
  <c r="Q86" i="23"/>
  <c r="P86" i="23"/>
  <c r="O86" i="23"/>
  <c r="N86" i="23"/>
  <c r="M86" i="23"/>
  <c r="L86" i="23"/>
  <c r="K86" i="23"/>
  <c r="J86" i="23"/>
  <c r="I86" i="23"/>
  <c r="V85" i="23"/>
  <c r="U85" i="23"/>
  <c r="T85" i="23"/>
  <c r="S85" i="23"/>
  <c r="R85" i="23"/>
  <c r="Q85" i="23"/>
  <c r="P85" i="23"/>
  <c r="O85" i="23"/>
  <c r="N85" i="23"/>
  <c r="M85" i="23"/>
  <c r="L85" i="23"/>
  <c r="K85" i="23"/>
  <c r="J85" i="23"/>
  <c r="I85" i="23"/>
  <c r="V84" i="23"/>
  <c r="U84" i="23"/>
  <c r="T84" i="23"/>
  <c r="S84" i="23"/>
  <c r="R84" i="23"/>
  <c r="Q84" i="23"/>
  <c r="P84" i="23"/>
  <c r="O84" i="23"/>
  <c r="N84" i="23"/>
  <c r="M84" i="23"/>
  <c r="L84" i="23"/>
  <c r="K84" i="23"/>
  <c r="J84" i="23"/>
  <c r="I84" i="23"/>
  <c r="V83" i="23"/>
  <c r="U83" i="23"/>
  <c r="T83" i="23"/>
  <c r="S83" i="23"/>
  <c r="R83" i="23"/>
  <c r="Q83" i="23"/>
  <c r="P83" i="23"/>
  <c r="O83" i="23"/>
  <c r="N83" i="23"/>
  <c r="M83" i="23"/>
  <c r="L83" i="23"/>
  <c r="K83" i="23"/>
  <c r="J83" i="23"/>
  <c r="I83" i="23"/>
  <c r="V82" i="23"/>
  <c r="U82" i="23"/>
  <c r="T82" i="23"/>
  <c r="S82" i="23"/>
  <c r="R82" i="23"/>
  <c r="Q82" i="23"/>
  <c r="P82" i="23"/>
  <c r="O82" i="23"/>
  <c r="N82" i="23"/>
  <c r="M82" i="23"/>
  <c r="L82" i="23"/>
  <c r="K82" i="23"/>
  <c r="J82" i="23"/>
  <c r="I82" i="23"/>
  <c r="V81" i="23"/>
  <c r="U81" i="23"/>
  <c r="T81" i="23"/>
  <c r="S81" i="23"/>
  <c r="R81" i="23"/>
  <c r="Q81" i="23"/>
  <c r="P81" i="23"/>
  <c r="O81" i="23"/>
  <c r="N81" i="23"/>
  <c r="M81" i="23"/>
  <c r="L81" i="23"/>
  <c r="K81" i="23"/>
  <c r="J81" i="23"/>
  <c r="I81" i="23"/>
  <c r="V80" i="23"/>
  <c r="U80" i="23"/>
  <c r="T80" i="23"/>
  <c r="S80" i="23"/>
  <c r="R80" i="23"/>
  <c r="Q80" i="23"/>
  <c r="P80" i="23"/>
  <c r="O80" i="23"/>
  <c r="N80" i="23"/>
  <c r="M80" i="23"/>
  <c r="L80" i="23"/>
  <c r="K80" i="23"/>
  <c r="J80" i="23"/>
  <c r="I80" i="23"/>
  <c r="V79" i="23"/>
  <c r="U79" i="23"/>
  <c r="T79" i="23"/>
  <c r="S79" i="23"/>
  <c r="R79" i="23"/>
  <c r="Q79" i="23"/>
  <c r="P79" i="23"/>
  <c r="O79" i="23"/>
  <c r="N79" i="23"/>
  <c r="M79" i="23"/>
  <c r="L79" i="23"/>
  <c r="K79" i="23"/>
  <c r="J79" i="23"/>
  <c r="I79" i="23"/>
  <c r="V78" i="23"/>
  <c r="U78" i="23"/>
  <c r="T78" i="23"/>
  <c r="S78" i="23"/>
  <c r="R78" i="23"/>
  <c r="Q78" i="23"/>
  <c r="P78" i="23"/>
  <c r="O78" i="23"/>
  <c r="N78" i="23"/>
  <c r="M78" i="23"/>
  <c r="L78" i="23"/>
  <c r="K78" i="23"/>
  <c r="J78" i="23"/>
  <c r="I78" i="23"/>
  <c r="V77" i="23"/>
  <c r="U77" i="23"/>
  <c r="T77" i="23"/>
  <c r="S77" i="23"/>
  <c r="R77" i="23"/>
  <c r="Q77" i="23"/>
  <c r="P77" i="23"/>
  <c r="O77" i="23"/>
  <c r="N77" i="23"/>
  <c r="M77" i="23"/>
  <c r="L77" i="23"/>
  <c r="K77" i="23"/>
  <c r="J77" i="23"/>
  <c r="I77" i="23"/>
  <c r="V76" i="23"/>
  <c r="U76" i="23"/>
  <c r="T76" i="23"/>
  <c r="S76" i="23"/>
  <c r="R76" i="23"/>
  <c r="Q76" i="23"/>
  <c r="P76" i="23"/>
  <c r="O76" i="23"/>
  <c r="N76" i="23"/>
  <c r="M76" i="23"/>
  <c r="L76" i="23"/>
  <c r="K76" i="23"/>
  <c r="J76" i="23"/>
  <c r="I76" i="23"/>
  <c r="V75" i="23"/>
  <c r="U75" i="23"/>
  <c r="T75" i="23"/>
  <c r="S75" i="23"/>
  <c r="R75" i="23"/>
  <c r="Q75" i="23"/>
  <c r="P75" i="23"/>
  <c r="O75" i="23"/>
  <c r="N75" i="23"/>
  <c r="M75" i="23"/>
  <c r="L75" i="23"/>
  <c r="K75" i="23"/>
  <c r="J75" i="23"/>
  <c r="I75" i="23"/>
  <c r="V74" i="23"/>
  <c r="U74" i="23"/>
  <c r="T74" i="23"/>
  <c r="S74" i="23"/>
  <c r="R74" i="23"/>
  <c r="Q74" i="23"/>
  <c r="P74" i="23"/>
  <c r="O74" i="23"/>
  <c r="N74" i="23"/>
  <c r="M74" i="23"/>
  <c r="L74" i="23"/>
  <c r="K74" i="23"/>
  <c r="J74" i="23"/>
  <c r="I74" i="23"/>
  <c r="V73" i="23"/>
  <c r="U73" i="23"/>
  <c r="T73" i="23"/>
  <c r="S73" i="23"/>
  <c r="R73" i="23"/>
  <c r="Q73" i="23"/>
  <c r="P73" i="23"/>
  <c r="O73" i="23"/>
  <c r="N73" i="23"/>
  <c r="M73" i="23"/>
  <c r="L73" i="23"/>
  <c r="K73" i="23"/>
  <c r="J73" i="23"/>
  <c r="I73" i="23"/>
  <c r="V72" i="23"/>
  <c r="U72" i="23"/>
  <c r="T72" i="23"/>
  <c r="S72" i="23"/>
  <c r="R72" i="23"/>
  <c r="Q72" i="23"/>
  <c r="P72" i="23"/>
  <c r="O72" i="23"/>
  <c r="N72" i="23"/>
  <c r="M72" i="23"/>
  <c r="L72" i="23"/>
  <c r="K72" i="23"/>
  <c r="J72" i="23"/>
  <c r="I72" i="23"/>
  <c r="V71" i="23"/>
  <c r="U71" i="23"/>
  <c r="T71" i="23"/>
  <c r="S71" i="23"/>
  <c r="R71" i="23"/>
  <c r="Q71" i="23"/>
  <c r="P71" i="23"/>
  <c r="O71" i="23"/>
  <c r="N71" i="23"/>
  <c r="M71" i="23"/>
  <c r="L71" i="23"/>
  <c r="K71" i="23"/>
  <c r="J71" i="23"/>
  <c r="I71" i="23"/>
  <c r="V70" i="23"/>
  <c r="U70" i="23"/>
  <c r="T70" i="23"/>
  <c r="S70" i="23"/>
  <c r="R70" i="23"/>
  <c r="Q70" i="23"/>
  <c r="P70" i="23"/>
  <c r="O70" i="23"/>
  <c r="N70" i="23"/>
  <c r="M70" i="23"/>
  <c r="L70" i="23"/>
  <c r="K70" i="23"/>
  <c r="J70" i="23"/>
  <c r="I70" i="23"/>
  <c r="V69" i="23"/>
  <c r="U69" i="23"/>
  <c r="T69" i="23"/>
  <c r="S69" i="23"/>
  <c r="R69" i="23"/>
  <c r="Q69" i="23"/>
  <c r="P69" i="23"/>
  <c r="O69" i="23"/>
  <c r="N69" i="23"/>
  <c r="M69" i="23"/>
  <c r="L69" i="23"/>
  <c r="K69" i="23"/>
  <c r="J69" i="23"/>
  <c r="I69" i="23"/>
  <c r="V68" i="23"/>
  <c r="U68" i="23"/>
  <c r="T68" i="23"/>
  <c r="S68" i="23"/>
  <c r="R68" i="23"/>
  <c r="Q68" i="23"/>
  <c r="P68" i="23"/>
  <c r="O68" i="23"/>
  <c r="N68" i="23"/>
  <c r="M68" i="23"/>
  <c r="L68" i="23"/>
  <c r="K68" i="23"/>
  <c r="J68" i="23"/>
  <c r="I68" i="23"/>
  <c r="V67" i="23"/>
  <c r="U67" i="23"/>
  <c r="T67" i="23"/>
  <c r="S67" i="23"/>
  <c r="R67" i="23"/>
  <c r="Q67" i="23"/>
  <c r="P67" i="23"/>
  <c r="O67" i="23"/>
  <c r="N67" i="23"/>
  <c r="M67" i="23"/>
  <c r="L67" i="23"/>
  <c r="K67" i="23"/>
  <c r="J67" i="23"/>
  <c r="I67" i="23"/>
  <c r="V66" i="23"/>
  <c r="U66" i="23"/>
  <c r="T66" i="23"/>
  <c r="S66" i="23"/>
  <c r="R66" i="23"/>
  <c r="Q66" i="23"/>
  <c r="P66" i="23"/>
  <c r="O66" i="23"/>
  <c r="N66" i="23"/>
  <c r="M66" i="23"/>
  <c r="L66" i="23"/>
  <c r="K66" i="23"/>
  <c r="J66" i="23"/>
  <c r="I66" i="23"/>
  <c r="V65" i="23"/>
  <c r="U65" i="23"/>
  <c r="T65" i="23"/>
  <c r="S65" i="23"/>
  <c r="R65" i="23"/>
  <c r="Q65" i="23"/>
  <c r="P65" i="23"/>
  <c r="O65" i="23"/>
  <c r="N65" i="23"/>
  <c r="M65" i="23"/>
  <c r="L65" i="23"/>
  <c r="K65" i="23"/>
  <c r="J65" i="23"/>
  <c r="I65" i="23"/>
  <c r="V64" i="23"/>
  <c r="U64" i="23"/>
  <c r="T64" i="23"/>
  <c r="S64" i="23"/>
  <c r="R64" i="23"/>
  <c r="Q64" i="23"/>
  <c r="P64" i="23"/>
  <c r="O64" i="23"/>
  <c r="N64" i="23"/>
  <c r="M64" i="23"/>
  <c r="L64" i="23"/>
  <c r="K64" i="23"/>
  <c r="J64" i="23"/>
  <c r="I64" i="23"/>
  <c r="V63" i="23"/>
  <c r="U63" i="23"/>
  <c r="T63" i="23"/>
  <c r="S63" i="23"/>
  <c r="R63" i="23"/>
  <c r="Q63" i="23"/>
  <c r="P63" i="23"/>
  <c r="O63" i="23"/>
  <c r="N63" i="23"/>
  <c r="M63" i="23"/>
  <c r="L63" i="23"/>
  <c r="K63" i="23"/>
  <c r="J63" i="23"/>
  <c r="I63" i="23"/>
  <c r="V62" i="23"/>
  <c r="U62" i="23"/>
  <c r="T62" i="23"/>
  <c r="S62" i="23"/>
  <c r="R62" i="23"/>
  <c r="Q62" i="23"/>
  <c r="P62" i="23"/>
  <c r="O62" i="23"/>
  <c r="N62" i="23"/>
  <c r="M62" i="23"/>
  <c r="L62" i="23"/>
  <c r="K62" i="23"/>
  <c r="J62" i="23"/>
  <c r="I62" i="23"/>
  <c r="V61" i="23"/>
  <c r="U61" i="23"/>
  <c r="T61" i="23"/>
  <c r="S61" i="23"/>
  <c r="R61" i="23"/>
  <c r="Q61" i="23"/>
  <c r="P61" i="23"/>
  <c r="O61" i="23"/>
  <c r="N61" i="23"/>
  <c r="M61" i="23"/>
  <c r="L61" i="23"/>
  <c r="K61" i="23"/>
  <c r="J61" i="23"/>
  <c r="I61" i="23"/>
  <c r="V60" i="23"/>
  <c r="U60" i="23"/>
  <c r="T60" i="23"/>
  <c r="S60" i="23"/>
  <c r="R60" i="23"/>
  <c r="Q60" i="23"/>
  <c r="P60" i="23"/>
  <c r="O60" i="23"/>
  <c r="N60" i="23"/>
  <c r="M60" i="23"/>
  <c r="L60" i="23"/>
  <c r="K60" i="23"/>
  <c r="J60" i="23"/>
  <c r="I60" i="23"/>
  <c r="V59" i="23"/>
  <c r="U59" i="23"/>
  <c r="T59" i="23"/>
  <c r="S59" i="23"/>
  <c r="R59" i="23"/>
  <c r="Q59" i="23"/>
  <c r="P59" i="23"/>
  <c r="O59" i="23"/>
  <c r="N59" i="23"/>
  <c r="M59" i="23"/>
  <c r="L59" i="23"/>
  <c r="K59" i="23"/>
  <c r="J59" i="23"/>
  <c r="I59" i="23"/>
  <c r="V58" i="23"/>
  <c r="U58" i="23"/>
  <c r="T58" i="23"/>
  <c r="S58" i="23"/>
  <c r="R58" i="23"/>
  <c r="Q58" i="23"/>
  <c r="P58" i="23"/>
  <c r="O58" i="23"/>
  <c r="N58" i="23"/>
  <c r="M58" i="23"/>
  <c r="L58" i="23"/>
  <c r="K58" i="23"/>
  <c r="J58" i="23"/>
  <c r="I58" i="23"/>
  <c r="V57" i="23"/>
  <c r="U57" i="23"/>
  <c r="T57" i="23"/>
  <c r="S57" i="23"/>
  <c r="R57" i="23"/>
  <c r="Q57" i="23"/>
  <c r="P57" i="23"/>
  <c r="O57" i="23"/>
  <c r="N57" i="23"/>
  <c r="M57" i="23"/>
  <c r="L57" i="23"/>
  <c r="K57" i="23"/>
  <c r="J57" i="23"/>
  <c r="I57" i="23"/>
  <c r="V56" i="23"/>
  <c r="U56" i="23"/>
  <c r="T56" i="23"/>
  <c r="S56" i="23"/>
  <c r="R56" i="23"/>
  <c r="Q56" i="23"/>
  <c r="P56" i="23"/>
  <c r="O56" i="23"/>
  <c r="N56" i="23"/>
  <c r="M56" i="23"/>
  <c r="L56" i="23"/>
  <c r="K56" i="23"/>
  <c r="J56" i="23"/>
  <c r="I56" i="23"/>
  <c r="V55" i="23"/>
  <c r="U55" i="23"/>
  <c r="T55" i="23"/>
  <c r="S55" i="23"/>
  <c r="R55" i="23"/>
  <c r="Q55" i="23"/>
  <c r="P55" i="23"/>
  <c r="O55" i="23"/>
  <c r="N55" i="23"/>
  <c r="M55" i="23"/>
  <c r="L55" i="23"/>
  <c r="K55" i="23"/>
  <c r="J55" i="23"/>
  <c r="I55" i="23"/>
  <c r="V54" i="23"/>
  <c r="U54" i="23"/>
  <c r="T54" i="23"/>
  <c r="S54" i="23"/>
  <c r="R54" i="23"/>
  <c r="Q54" i="23"/>
  <c r="P54" i="23"/>
  <c r="O54" i="23"/>
  <c r="N54" i="23"/>
  <c r="M54" i="23"/>
  <c r="L54" i="23"/>
  <c r="K54" i="23"/>
  <c r="J54" i="23"/>
  <c r="I54" i="23"/>
  <c r="V53" i="23"/>
  <c r="U53" i="23"/>
  <c r="T53" i="23"/>
  <c r="S53" i="23"/>
  <c r="R53" i="23"/>
  <c r="Q53" i="23"/>
  <c r="P53" i="23"/>
  <c r="O53" i="23"/>
  <c r="N53" i="23"/>
  <c r="M53" i="23"/>
  <c r="L53" i="23"/>
  <c r="K53" i="23"/>
  <c r="J53" i="23"/>
  <c r="I53" i="23"/>
  <c r="V52" i="23"/>
  <c r="U52" i="23"/>
  <c r="T52" i="23"/>
  <c r="S52" i="23"/>
  <c r="R52" i="23"/>
  <c r="Q52" i="23"/>
  <c r="P52" i="23"/>
  <c r="O52" i="23"/>
  <c r="N52" i="23"/>
  <c r="M52" i="23"/>
  <c r="L52" i="23"/>
  <c r="K52" i="23"/>
  <c r="J52" i="23"/>
  <c r="I52" i="23"/>
  <c r="V51" i="23"/>
  <c r="U51" i="23"/>
  <c r="T51" i="23"/>
  <c r="S51" i="23"/>
  <c r="R51" i="23"/>
  <c r="Q51" i="23"/>
  <c r="P51" i="23"/>
  <c r="O51" i="23"/>
  <c r="N51" i="23"/>
  <c r="M51" i="23"/>
  <c r="L51" i="23"/>
  <c r="K51" i="23"/>
  <c r="J51" i="23"/>
  <c r="I51" i="23"/>
  <c r="V50" i="23"/>
  <c r="U50" i="23"/>
  <c r="T50" i="23"/>
  <c r="S50" i="23"/>
  <c r="R50" i="23"/>
  <c r="Q50" i="23"/>
  <c r="P50" i="23"/>
  <c r="O50" i="23"/>
  <c r="N50" i="23"/>
  <c r="M50" i="23"/>
  <c r="L50" i="23"/>
  <c r="K50" i="23"/>
  <c r="J50" i="23"/>
  <c r="I50" i="23"/>
  <c r="V49" i="23"/>
  <c r="U49" i="23"/>
  <c r="T49" i="23"/>
  <c r="S49" i="23"/>
  <c r="R49" i="23"/>
  <c r="Q49" i="23"/>
  <c r="P49" i="23"/>
  <c r="O49" i="23"/>
  <c r="N49" i="23"/>
  <c r="M49" i="23"/>
  <c r="L49" i="23"/>
  <c r="K49" i="23"/>
  <c r="J49" i="23"/>
  <c r="I49" i="23"/>
  <c r="V48" i="23"/>
  <c r="U48" i="23"/>
  <c r="T48" i="23"/>
  <c r="S48" i="23"/>
  <c r="R48" i="23"/>
  <c r="Q48" i="23"/>
  <c r="P48" i="23"/>
  <c r="O48" i="23"/>
  <c r="N48" i="23"/>
  <c r="M48" i="23"/>
  <c r="L48" i="23"/>
  <c r="K48" i="23"/>
  <c r="J48" i="23"/>
  <c r="I48" i="23"/>
  <c r="V47" i="23"/>
  <c r="U47" i="23"/>
  <c r="T47" i="23"/>
  <c r="S47" i="23"/>
  <c r="R47" i="23"/>
  <c r="Q47" i="23"/>
  <c r="P47" i="23"/>
  <c r="O47" i="23"/>
  <c r="N47" i="23"/>
  <c r="M47" i="23"/>
  <c r="L47" i="23"/>
  <c r="K47" i="23"/>
  <c r="J47" i="23"/>
  <c r="I47" i="23"/>
  <c r="V46" i="23"/>
  <c r="U46" i="23"/>
  <c r="T46" i="23"/>
  <c r="S46" i="23"/>
  <c r="R46" i="23"/>
  <c r="Q46" i="23"/>
  <c r="P46" i="23"/>
  <c r="O46" i="23"/>
  <c r="N46" i="23"/>
  <c r="M46" i="23"/>
  <c r="L46" i="23"/>
  <c r="K46" i="23"/>
  <c r="J46" i="23"/>
  <c r="I46" i="23"/>
  <c r="V45" i="23"/>
  <c r="U45" i="23"/>
  <c r="T45" i="23"/>
  <c r="S45" i="23"/>
  <c r="R45" i="23"/>
  <c r="Q45" i="23"/>
  <c r="P45" i="23"/>
  <c r="O45" i="23"/>
  <c r="N45" i="23"/>
  <c r="M45" i="23"/>
  <c r="L45" i="23"/>
  <c r="K45" i="23"/>
  <c r="J45" i="23"/>
  <c r="I45" i="23"/>
  <c r="V44" i="23"/>
  <c r="U44" i="23"/>
  <c r="T44" i="23"/>
  <c r="S44" i="23"/>
  <c r="R44" i="23"/>
  <c r="Q44" i="23"/>
  <c r="P44" i="23"/>
  <c r="O44" i="23"/>
  <c r="N44" i="23"/>
  <c r="M44" i="23"/>
  <c r="L44" i="23"/>
  <c r="K44" i="23"/>
  <c r="J44" i="23"/>
  <c r="I44" i="23"/>
  <c r="V43" i="23"/>
  <c r="U43" i="23"/>
  <c r="T43" i="23"/>
  <c r="S43" i="23"/>
  <c r="R43" i="23"/>
  <c r="Q43" i="23"/>
  <c r="P43" i="23"/>
  <c r="O43" i="23"/>
  <c r="N43" i="23"/>
  <c r="M43" i="23"/>
  <c r="L43" i="23"/>
  <c r="K43" i="23"/>
  <c r="J43" i="23"/>
  <c r="I43" i="23"/>
  <c r="V42" i="23"/>
  <c r="U42" i="23"/>
  <c r="T42" i="23"/>
  <c r="S42" i="23"/>
  <c r="R42" i="23"/>
  <c r="Q42" i="23"/>
  <c r="P42" i="23"/>
  <c r="O42" i="23"/>
  <c r="N42" i="23"/>
  <c r="M42" i="23"/>
  <c r="L42" i="23"/>
  <c r="K42" i="23"/>
  <c r="J42" i="23"/>
  <c r="I42" i="23"/>
  <c r="V41" i="23"/>
  <c r="U41" i="23"/>
  <c r="T41" i="23"/>
  <c r="S41" i="23"/>
  <c r="R41" i="23"/>
  <c r="Q41" i="23"/>
  <c r="P41" i="23"/>
  <c r="O41" i="23"/>
  <c r="N41" i="23"/>
  <c r="M41" i="23"/>
  <c r="L41" i="23"/>
  <c r="K41" i="23"/>
  <c r="J41" i="23"/>
  <c r="I41" i="23"/>
  <c r="V40" i="23"/>
  <c r="U40" i="23"/>
  <c r="T40" i="23"/>
  <c r="S40" i="23"/>
  <c r="R40" i="23"/>
  <c r="Q40" i="23"/>
  <c r="P40" i="23"/>
  <c r="O40" i="23"/>
  <c r="N40" i="23"/>
  <c r="M40" i="23"/>
  <c r="L40" i="23"/>
  <c r="K40" i="23"/>
  <c r="J40" i="23"/>
  <c r="I40" i="23"/>
  <c r="V39" i="23"/>
  <c r="U39" i="23"/>
  <c r="T39" i="23"/>
  <c r="S39" i="23"/>
  <c r="R39" i="23"/>
  <c r="Q39" i="23"/>
  <c r="P39" i="23"/>
  <c r="O39" i="23"/>
  <c r="N39" i="23"/>
  <c r="M39" i="23"/>
  <c r="L39" i="23"/>
  <c r="K39" i="23"/>
  <c r="J39" i="23"/>
  <c r="I39" i="23"/>
  <c r="V38" i="23"/>
  <c r="U38" i="23"/>
  <c r="T38" i="23"/>
  <c r="S38" i="23"/>
  <c r="R38" i="23"/>
  <c r="Q38" i="23"/>
  <c r="P38" i="23"/>
  <c r="O38" i="23"/>
  <c r="N38" i="23"/>
  <c r="M38" i="23"/>
  <c r="L38" i="23"/>
  <c r="K38" i="23"/>
  <c r="J38" i="23"/>
  <c r="I38" i="23"/>
  <c r="V37" i="23"/>
  <c r="U37" i="23"/>
  <c r="T37" i="23"/>
  <c r="S37" i="23"/>
  <c r="R37" i="23"/>
  <c r="Q37" i="23"/>
  <c r="P37" i="23"/>
  <c r="O37" i="23"/>
  <c r="N37" i="23"/>
  <c r="M37" i="23"/>
  <c r="L37" i="23"/>
  <c r="K37" i="23"/>
  <c r="J37" i="23"/>
  <c r="I37" i="23"/>
  <c r="V36" i="23"/>
  <c r="U36" i="23"/>
  <c r="T36" i="23"/>
  <c r="S36" i="23"/>
  <c r="R36" i="23"/>
  <c r="Q36" i="23"/>
  <c r="P36" i="23"/>
  <c r="O36" i="23"/>
  <c r="N36" i="23"/>
  <c r="M36" i="23"/>
  <c r="L36" i="23"/>
  <c r="K36" i="23"/>
  <c r="J36" i="23"/>
  <c r="I36" i="23"/>
  <c r="V35" i="23"/>
  <c r="U35" i="23"/>
  <c r="T35" i="23"/>
  <c r="S35" i="23"/>
  <c r="R35" i="23"/>
  <c r="Q35" i="23"/>
  <c r="P35" i="23"/>
  <c r="O35" i="23"/>
  <c r="N35" i="23"/>
  <c r="M35" i="23"/>
  <c r="L35" i="23"/>
  <c r="K35" i="23"/>
  <c r="J35" i="23"/>
  <c r="I35" i="23"/>
  <c r="V34" i="23"/>
  <c r="U34" i="23"/>
  <c r="T34" i="23"/>
  <c r="S34" i="23"/>
  <c r="R34" i="23"/>
  <c r="Q34" i="23"/>
  <c r="P34" i="23"/>
  <c r="O34" i="23"/>
  <c r="N34" i="23"/>
  <c r="M34" i="23"/>
  <c r="L34" i="23"/>
  <c r="K34" i="23"/>
  <c r="J34" i="23"/>
  <c r="I34" i="23"/>
  <c r="V33" i="23"/>
  <c r="U33" i="23"/>
  <c r="T33" i="23"/>
  <c r="S33" i="23"/>
  <c r="R33" i="23"/>
  <c r="Q33" i="23"/>
  <c r="P33" i="23"/>
  <c r="O33" i="23"/>
  <c r="N33" i="23"/>
  <c r="M33" i="23"/>
  <c r="L33" i="23"/>
  <c r="K33" i="23"/>
  <c r="J33" i="23"/>
  <c r="I33" i="23"/>
  <c r="V32" i="23"/>
  <c r="U32" i="23"/>
  <c r="T32" i="23"/>
  <c r="S32" i="23"/>
  <c r="R32" i="23"/>
  <c r="Q32" i="23"/>
  <c r="P32" i="23"/>
  <c r="O32" i="23"/>
  <c r="N32" i="23"/>
  <c r="M32" i="23"/>
  <c r="L32" i="23"/>
  <c r="K32" i="23"/>
  <c r="J32" i="23"/>
  <c r="I32" i="23"/>
  <c r="V31" i="23"/>
  <c r="U31" i="23"/>
  <c r="T31" i="23"/>
  <c r="S31" i="23"/>
  <c r="R31" i="23"/>
  <c r="Q31" i="23"/>
  <c r="P31" i="23"/>
  <c r="O31" i="23"/>
  <c r="N31" i="23"/>
  <c r="M31" i="23"/>
  <c r="L31" i="23"/>
  <c r="K31" i="23"/>
  <c r="J31" i="23"/>
  <c r="I31" i="23"/>
  <c r="V30" i="23"/>
  <c r="U30" i="23"/>
  <c r="T30" i="23"/>
  <c r="S30" i="23"/>
  <c r="R30" i="23"/>
  <c r="Q30" i="23"/>
  <c r="P30" i="23"/>
  <c r="O30" i="23"/>
  <c r="N30" i="23"/>
  <c r="M30" i="23"/>
  <c r="L30" i="23"/>
  <c r="K30" i="23"/>
  <c r="J30" i="23"/>
  <c r="I30" i="23"/>
  <c r="V29" i="23"/>
  <c r="U29" i="23"/>
  <c r="T29" i="23"/>
  <c r="S29" i="23"/>
  <c r="R29" i="23"/>
  <c r="Q29" i="23"/>
  <c r="P29" i="23"/>
  <c r="O29" i="23"/>
  <c r="N29" i="23"/>
  <c r="M29" i="23"/>
  <c r="L29" i="23"/>
  <c r="K29" i="23"/>
  <c r="J29" i="23"/>
  <c r="I29" i="23"/>
  <c r="V28" i="23"/>
  <c r="U28" i="23"/>
  <c r="T28" i="23"/>
  <c r="S28" i="23"/>
  <c r="R28" i="23"/>
  <c r="Q28" i="23"/>
  <c r="P28" i="23"/>
  <c r="O28" i="23"/>
  <c r="N28" i="23"/>
  <c r="M28" i="23"/>
  <c r="L28" i="23"/>
  <c r="K28" i="23"/>
  <c r="J28" i="23"/>
  <c r="I28" i="23"/>
  <c r="V27" i="23"/>
  <c r="U27" i="23"/>
  <c r="T27" i="23"/>
  <c r="S27" i="23"/>
  <c r="R27" i="23"/>
  <c r="Q27" i="23"/>
  <c r="P27" i="23"/>
  <c r="O27" i="23"/>
  <c r="N27" i="23"/>
  <c r="M27" i="23"/>
  <c r="L27" i="23"/>
  <c r="K27" i="23"/>
  <c r="J27" i="23"/>
  <c r="I27" i="23"/>
  <c r="V26" i="23"/>
  <c r="U26" i="23"/>
  <c r="T26" i="23"/>
  <c r="S26" i="23"/>
  <c r="R26" i="23"/>
  <c r="Q26" i="23"/>
  <c r="P26" i="23"/>
  <c r="O26" i="23"/>
  <c r="N26" i="23"/>
  <c r="M26" i="23"/>
  <c r="L26" i="23"/>
  <c r="K26" i="23"/>
  <c r="J26" i="23"/>
  <c r="I26" i="23"/>
  <c r="V25" i="23"/>
  <c r="U25" i="23"/>
  <c r="T25" i="23"/>
  <c r="S25" i="23"/>
  <c r="R25" i="23"/>
  <c r="Q25" i="23"/>
  <c r="P25" i="23"/>
  <c r="O25" i="23"/>
  <c r="N25" i="23"/>
  <c r="M25" i="23"/>
  <c r="L25" i="23"/>
  <c r="K25" i="23"/>
  <c r="J25" i="23"/>
  <c r="I25" i="23"/>
  <c r="V24" i="23"/>
  <c r="U24" i="23"/>
  <c r="T24" i="23"/>
  <c r="S24" i="23"/>
  <c r="R24" i="23"/>
  <c r="Q24" i="23"/>
  <c r="P24" i="23"/>
  <c r="O24" i="23"/>
  <c r="N24" i="23"/>
  <c r="M24" i="23"/>
  <c r="L24" i="23"/>
  <c r="K24" i="23"/>
  <c r="J24" i="23"/>
  <c r="I24" i="23"/>
  <c r="V23" i="23"/>
  <c r="U23" i="23"/>
  <c r="T23" i="23"/>
  <c r="S23" i="23"/>
  <c r="R23" i="23"/>
  <c r="Q23" i="23"/>
  <c r="P23" i="23"/>
  <c r="O23" i="23"/>
  <c r="N23" i="23"/>
  <c r="M23" i="23"/>
  <c r="L23" i="23"/>
  <c r="K23" i="23"/>
  <c r="J23" i="23"/>
  <c r="I23" i="23"/>
  <c r="V22" i="23"/>
  <c r="U22" i="23"/>
  <c r="T22" i="23"/>
  <c r="S22" i="23"/>
  <c r="R22" i="23"/>
  <c r="Q22" i="23"/>
  <c r="P22" i="23"/>
  <c r="O22" i="23"/>
  <c r="N22" i="23"/>
  <c r="M22" i="23"/>
  <c r="L22" i="23"/>
  <c r="K22" i="23"/>
  <c r="J22" i="23"/>
  <c r="I22" i="23"/>
  <c r="V21" i="23"/>
  <c r="U21" i="23"/>
  <c r="T21" i="23"/>
  <c r="S21" i="23"/>
  <c r="R21" i="23"/>
  <c r="Q21" i="23"/>
  <c r="P21" i="23"/>
  <c r="O21" i="23"/>
  <c r="N21" i="23"/>
  <c r="M21" i="23"/>
  <c r="L21" i="23"/>
  <c r="K21" i="23"/>
  <c r="J21" i="23"/>
  <c r="I21" i="23"/>
  <c r="V20" i="23"/>
  <c r="U20" i="23"/>
  <c r="T20" i="23"/>
  <c r="S20" i="23"/>
  <c r="R20" i="23"/>
  <c r="Q20" i="23"/>
  <c r="P20" i="23"/>
  <c r="O20" i="23"/>
  <c r="N20" i="23"/>
  <c r="M20" i="23"/>
  <c r="L20" i="23"/>
  <c r="K20" i="23"/>
  <c r="J20" i="23"/>
  <c r="I20" i="23"/>
  <c r="V19" i="23"/>
  <c r="U19" i="23"/>
  <c r="T19" i="23"/>
  <c r="S19" i="23"/>
  <c r="R19" i="23"/>
  <c r="Q19" i="23"/>
  <c r="P19" i="23"/>
  <c r="O19" i="23"/>
  <c r="N19" i="23"/>
  <c r="M19" i="23"/>
  <c r="L19" i="23"/>
  <c r="K19" i="23"/>
  <c r="J19" i="23"/>
  <c r="I19" i="23"/>
  <c r="V18" i="23"/>
  <c r="U18" i="23"/>
  <c r="T18" i="23"/>
  <c r="S18" i="23"/>
  <c r="R18" i="23"/>
  <c r="Q18" i="23"/>
  <c r="P18" i="23"/>
  <c r="O18" i="23"/>
  <c r="N18" i="23"/>
  <c r="M18" i="23"/>
  <c r="L18" i="23"/>
  <c r="K18" i="23"/>
  <c r="J18" i="23"/>
  <c r="I18" i="23"/>
  <c r="V17" i="23"/>
  <c r="U17" i="23"/>
  <c r="T17" i="23"/>
  <c r="S17" i="23"/>
  <c r="R17" i="23"/>
  <c r="Q17" i="23"/>
  <c r="P17" i="23"/>
  <c r="O17" i="23"/>
  <c r="N17" i="23"/>
  <c r="M17" i="23"/>
  <c r="L17" i="23"/>
  <c r="K17" i="23"/>
  <c r="J17" i="23"/>
  <c r="I17" i="23"/>
  <c r="V16" i="23"/>
  <c r="U16" i="23"/>
  <c r="T16" i="23"/>
  <c r="S16" i="23"/>
  <c r="R16" i="23"/>
  <c r="Q16" i="23"/>
  <c r="P16" i="23"/>
  <c r="O16" i="23"/>
  <c r="N16" i="23"/>
  <c r="M16" i="23"/>
  <c r="L16" i="23"/>
  <c r="K16" i="23"/>
  <c r="J16" i="23"/>
  <c r="I16" i="23"/>
  <c r="V15" i="23"/>
  <c r="U15" i="23"/>
  <c r="T15" i="23"/>
  <c r="S15" i="23"/>
  <c r="R15" i="23"/>
  <c r="Q15" i="23"/>
  <c r="P15" i="23"/>
  <c r="O15" i="23"/>
  <c r="N15" i="23"/>
  <c r="M15" i="23"/>
  <c r="L15" i="23"/>
  <c r="K15" i="23"/>
  <c r="J15" i="23"/>
  <c r="I15" i="23"/>
  <c r="V14" i="23"/>
  <c r="U14" i="23"/>
  <c r="T14" i="23"/>
  <c r="S14" i="23"/>
  <c r="R14" i="23"/>
  <c r="Q14" i="23"/>
  <c r="P14" i="23"/>
  <c r="O14" i="23"/>
  <c r="N14" i="23"/>
  <c r="M14" i="23"/>
  <c r="L14" i="23"/>
  <c r="K14" i="23"/>
  <c r="J14" i="23"/>
  <c r="I14" i="23"/>
  <c r="V13" i="23"/>
  <c r="U13" i="23"/>
  <c r="T13" i="23"/>
  <c r="S13" i="23"/>
  <c r="R13" i="23"/>
  <c r="Q13" i="23"/>
  <c r="P13" i="23"/>
  <c r="O13" i="23"/>
  <c r="N13" i="23"/>
  <c r="M13" i="23"/>
  <c r="L13" i="23"/>
  <c r="K13" i="23"/>
  <c r="J13" i="23"/>
  <c r="I13" i="23"/>
  <c r="V12" i="23"/>
  <c r="U12" i="23"/>
  <c r="T12" i="23"/>
  <c r="S12" i="23"/>
  <c r="R12" i="23"/>
  <c r="Q12" i="23"/>
  <c r="P12" i="23"/>
  <c r="O12" i="23"/>
  <c r="N12" i="23"/>
  <c r="M12" i="23"/>
  <c r="L12" i="23"/>
  <c r="K12" i="23"/>
  <c r="J12" i="23"/>
  <c r="I12" i="23"/>
  <c r="V11" i="23"/>
  <c r="U11" i="23"/>
  <c r="T11" i="23"/>
  <c r="S11" i="23"/>
  <c r="R11" i="23"/>
  <c r="Q11" i="23"/>
  <c r="P11" i="23"/>
  <c r="O11" i="23"/>
  <c r="N11" i="23"/>
  <c r="M11" i="23"/>
  <c r="L11" i="23"/>
  <c r="K11" i="23"/>
  <c r="J11" i="23"/>
  <c r="I11" i="23"/>
  <c r="V10" i="23"/>
  <c r="U10" i="23"/>
  <c r="T10" i="23"/>
  <c r="S10" i="23"/>
  <c r="R10" i="23"/>
  <c r="Q10" i="23"/>
  <c r="P10" i="23"/>
  <c r="O10" i="23"/>
  <c r="N10" i="23"/>
  <c r="M10" i="23"/>
  <c r="L10" i="23"/>
  <c r="K10" i="23"/>
  <c r="J10" i="23"/>
  <c r="I10" i="23"/>
  <c r="V9" i="23"/>
  <c r="U9" i="23"/>
  <c r="T9" i="23"/>
  <c r="S9" i="23"/>
  <c r="R9" i="23"/>
  <c r="Q9" i="23"/>
  <c r="P9" i="23"/>
  <c r="O9" i="23"/>
  <c r="N9" i="23"/>
  <c r="M9" i="23"/>
  <c r="L9" i="23"/>
  <c r="K9" i="23"/>
  <c r="J9" i="23"/>
  <c r="I9" i="23"/>
  <c r="V8" i="23"/>
  <c r="U8" i="23"/>
  <c r="T8" i="23"/>
  <c r="S8" i="23"/>
  <c r="R8" i="23"/>
  <c r="Q8" i="23"/>
  <c r="P8" i="23"/>
  <c r="O8" i="23"/>
  <c r="N8" i="23"/>
  <c r="M8" i="23"/>
  <c r="L8" i="23"/>
  <c r="K8" i="23"/>
  <c r="J8" i="23"/>
  <c r="I8" i="23"/>
  <c r="V7" i="23"/>
  <c r="U7" i="23"/>
  <c r="T7" i="23"/>
  <c r="S7" i="23"/>
  <c r="R7" i="23"/>
  <c r="Q7" i="23"/>
  <c r="P7" i="23"/>
  <c r="O7" i="23"/>
  <c r="N7" i="23"/>
  <c r="M7" i="23"/>
  <c r="L7" i="23"/>
  <c r="K7" i="23"/>
  <c r="J7" i="23"/>
  <c r="I7" i="23"/>
  <c r="V6" i="23"/>
  <c r="U6" i="23"/>
  <c r="T6" i="23"/>
  <c r="S6" i="23"/>
  <c r="R6" i="23"/>
  <c r="Q6" i="23"/>
  <c r="P6" i="23"/>
  <c r="O6" i="23"/>
  <c r="N6" i="23"/>
  <c r="M6" i="23"/>
  <c r="L6" i="23"/>
  <c r="K6" i="23"/>
  <c r="J6" i="23"/>
  <c r="I6" i="23"/>
  <c r="V5" i="23"/>
  <c r="U5" i="23"/>
  <c r="T5" i="23"/>
  <c r="S5" i="23"/>
  <c r="R5" i="23"/>
  <c r="Q5" i="23"/>
  <c r="P5" i="23"/>
  <c r="O5" i="23"/>
  <c r="N5" i="23"/>
  <c r="M5" i="23"/>
  <c r="L5" i="23"/>
  <c r="K5" i="23"/>
  <c r="J5" i="23"/>
  <c r="I5" i="23"/>
  <c r="G5" i="23"/>
  <c r="G6" i="23" s="1"/>
  <c r="G7" i="23" s="1"/>
  <c r="G8" i="23" s="1"/>
  <c r="G9" i="23" s="1"/>
  <c r="V4" i="23"/>
  <c r="U4" i="23"/>
  <c r="T4" i="23"/>
  <c r="S4" i="23"/>
  <c r="R4" i="23"/>
  <c r="Q4" i="23"/>
  <c r="P4" i="23"/>
  <c r="O4" i="23"/>
  <c r="N4" i="23"/>
  <c r="M4" i="23"/>
  <c r="L4" i="23"/>
  <c r="K4" i="23"/>
  <c r="J4" i="23"/>
  <c r="I4" i="23"/>
  <c r="F2" i="23"/>
  <c r="E2" i="23"/>
  <c r="I101" i="20"/>
  <c r="J101" i="20"/>
  <c r="K101" i="20"/>
  <c r="L101" i="20"/>
  <c r="M101" i="20"/>
  <c r="N101" i="20"/>
  <c r="O101" i="20"/>
  <c r="P101" i="20"/>
  <c r="Q101" i="20"/>
  <c r="R101" i="20"/>
  <c r="S101" i="20"/>
  <c r="T101" i="20"/>
  <c r="U101" i="20"/>
  <c r="V101" i="20"/>
  <c r="I102" i="20"/>
  <c r="J102" i="20"/>
  <c r="K102" i="20"/>
  <c r="L102" i="20"/>
  <c r="M102" i="20"/>
  <c r="N102" i="20"/>
  <c r="O102" i="20"/>
  <c r="P102" i="20"/>
  <c r="Q102" i="20"/>
  <c r="R102" i="20"/>
  <c r="S102" i="20"/>
  <c r="T102" i="20"/>
  <c r="U102" i="20"/>
  <c r="V102" i="20"/>
  <c r="I103" i="20"/>
  <c r="J103" i="20"/>
  <c r="K103" i="20"/>
  <c r="L103" i="20"/>
  <c r="M103" i="20"/>
  <c r="N103" i="20"/>
  <c r="O103" i="20"/>
  <c r="P103" i="20"/>
  <c r="Q103" i="20"/>
  <c r="R103" i="20"/>
  <c r="S103" i="20"/>
  <c r="T103" i="20"/>
  <c r="U103" i="20"/>
  <c r="V103" i="20"/>
  <c r="I104" i="20"/>
  <c r="J104" i="20"/>
  <c r="K104" i="20"/>
  <c r="L104" i="20"/>
  <c r="M104" i="20"/>
  <c r="N104" i="20"/>
  <c r="O104" i="20"/>
  <c r="P104" i="20"/>
  <c r="Q104" i="20"/>
  <c r="R104" i="20"/>
  <c r="S104" i="20"/>
  <c r="T104" i="20"/>
  <c r="U104" i="20"/>
  <c r="V104" i="20"/>
  <c r="I105" i="20"/>
  <c r="J105" i="20"/>
  <c r="K105" i="20"/>
  <c r="L105" i="20"/>
  <c r="M105" i="20"/>
  <c r="N105" i="20"/>
  <c r="O105" i="20"/>
  <c r="P105" i="20"/>
  <c r="Q105" i="20"/>
  <c r="R105" i="20"/>
  <c r="S105" i="20"/>
  <c r="T105" i="20"/>
  <c r="U105" i="20"/>
  <c r="V105" i="20"/>
  <c r="I106" i="20"/>
  <c r="J106" i="20"/>
  <c r="K106" i="20"/>
  <c r="L106" i="20"/>
  <c r="M106" i="20"/>
  <c r="N106" i="20"/>
  <c r="O106" i="20"/>
  <c r="P106" i="20"/>
  <c r="Q106" i="20"/>
  <c r="R106" i="20"/>
  <c r="S106" i="20"/>
  <c r="T106" i="20"/>
  <c r="U106" i="20"/>
  <c r="V106" i="20"/>
  <c r="I107" i="20"/>
  <c r="J107" i="20"/>
  <c r="K107" i="20"/>
  <c r="L107" i="20"/>
  <c r="M107" i="20"/>
  <c r="N107" i="20"/>
  <c r="O107" i="20"/>
  <c r="P107" i="20"/>
  <c r="Q107" i="20"/>
  <c r="R107" i="20"/>
  <c r="S107" i="20"/>
  <c r="T107" i="20"/>
  <c r="U107" i="20"/>
  <c r="V107" i="20"/>
  <c r="I108" i="20"/>
  <c r="J108" i="20"/>
  <c r="K108" i="20"/>
  <c r="L108" i="20"/>
  <c r="M108" i="20"/>
  <c r="N108" i="20"/>
  <c r="O108" i="20"/>
  <c r="P108" i="20"/>
  <c r="Q108" i="20"/>
  <c r="R108" i="20"/>
  <c r="S108" i="20"/>
  <c r="T108" i="20"/>
  <c r="U108" i="20"/>
  <c r="V108" i="20"/>
  <c r="I109" i="20"/>
  <c r="J109" i="20"/>
  <c r="K109" i="20"/>
  <c r="L109" i="20"/>
  <c r="M109" i="20"/>
  <c r="N109" i="20"/>
  <c r="O109" i="20"/>
  <c r="P109" i="20"/>
  <c r="Q109" i="20"/>
  <c r="R109" i="20"/>
  <c r="S109" i="20"/>
  <c r="T109" i="20"/>
  <c r="U109" i="20"/>
  <c r="V109" i="20"/>
  <c r="I110" i="20"/>
  <c r="J110" i="20"/>
  <c r="K110" i="20"/>
  <c r="L110" i="20"/>
  <c r="M110" i="20"/>
  <c r="N110" i="20"/>
  <c r="O110" i="20"/>
  <c r="P110" i="20"/>
  <c r="Q110" i="20"/>
  <c r="R110" i="20"/>
  <c r="S110" i="20"/>
  <c r="T110" i="20"/>
  <c r="U110" i="20"/>
  <c r="V110" i="20"/>
  <c r="I111" i="20"/>
  <c r="J111" i="20"/>
  <c r="K111" i="20"/>
  <c r="L111" i="20"/>
  <c r="M111" i="20"/>
  <c r="N111" i="20"/>
  <c r="O111" i="20"/>
  <c r="P111" i="20"/>
  <c r="Q111" i="20"/>
  <c r="R111" i="20"/>
  <c r="S111" i="20"/>
  <c r="T111" i="20"/>
  <c r="U111" i="20"/>
  <c r="V111" i="20"/>
  <c r="I112" i="20"/>
  <c r="J112" i="20"/>
  <c r="K112" i="20"/>
  <c r="L112" i="20"/>
  <c r="M112" i="20"/>
  <c r="N112" i="20"/>
  <c r="O112" i="20"/>
  <c r="P112" i="20"/>
  <c r="Q112" i="20"/>
  <c r="R112" i="20"/>
  <c r="S112" i="20"/>
  <c r="T112" i="20"/>
  <c r="U112" i="20"/>
  <c r="V112" i="20"/>
  <c r="I113" i="20"/>
  <c r="J113" i="20"/>
  <c r="K113" i="20"/>
  <c r="L113" i="20"/>
  <c r="M113" i="20"/>
  <c r="N113" i="20"/>
  <c r="O113" i="20"/>
  <c r="P113" i="20"/>
  <c r="Q113" i="20"/>
  <c r="R113" i="20"/>
  <c r="S113" i="20"/>
  <c r="T113" i="20"/>
  <c r="U113" i="20"/>
  <c r="V113" i="20"/>
  <c r="I114" i="20"/>
  <c r="J114" i="20"/>
  <c r="K114" i="20"/>
  <c r="L114" i="20"/>
  <c r="M114" i="20"/>
  <c r="N114" i="20"/>
  <c r="O114" i="20"/>
  <c r="P114" i="20"/>
  <c r="Q114" i="20"/>
  <c r="R114" i="20"/>
  <c r="S114" i="20"/>
  <c r="T114" i="20"/>
  <c r="U114" i="20"/>
  <c r="V114" i="20"/>
  <c r="I115" i="20"/>
  <c r="J115" i="20"/>
  <c r="K115" i="20"/>
  <c r="L115" i="20"/>
  <c r="M115" i="20"/>
  <c r="N115" i="20"/>
  <c r="O115" i="20"/>
  <c r="P115" i="20"/>
  <c r="Q115" i="20"/>
  <c r="R115" i="20"/>
  <c r="S115" i="20"/>
  <c r="T115" i="20"/>
  <c r="U115" i="20"/>
  <c r="V115" i="20"/>
  <c r="I116" i="20"/>
  <c r="J116" i="20"/>
  <c r="K116" i="20"/>
  <c r="L116" i="20"/>
  <c r="M116" i="20"/>
  <c r="N116" i="20"/>
  <c r="O116" i="20"/>
  <c r="P116" i="20"/>
  <c r="Q116" i="20"/>
  <c r="R116" i="20"/>
  <c r="S116" i="20"/>
  <c r="T116" i="20"/>
  <c r="U116" i="20"/>
  <c r="V116" i="20"/>
  <c r="I117" i="20"/>
  <c r="J117" i="20"/>
  <c r="K117" i="20"/>
  <c r="L117" i="20"/>
  <c r="M117" i="20"/>
  <c r="N117" i="20"/>
  <c r="O117" i="20"/>
  <c r="P117" i="20"/>
  <c r="Q117" i="20"/>
  <c r="R117" i="20"/>
  <c r="S117" i="20"/>
  <c r="T117" i="20"/>
  <c r="U117" i="20"/>
  <c r="V117" i="20"/>
  <c r="I118" i="20"/>
  <c r="J118" i="20"/>
  <c r="K118" i="20"/>
  <c r="L118" i="20"/>
  <c r="M118" i="20"/>
  <c r="N118" i="20"/>
  <c r="O118" i="20"/>
  <c r="P118" i="20"/>
  <c r="Q118" i="20"/>
  <c r="R118" i="20"/>
  <c r="S118" i="20"/>
  <c r="T118" i="20"/>
  <c r="U118" i="20"/>
  <c r="V118" i="20"/>
  <c r="I119" i="20"/>
  <c r="J119" i="20"/>
  <c r="K119" i="20"/>
  <c r="L119" i="20"/>
  <c r="M119" i="20"/>
  <c r="N119" i="20"/>
  <c r="O119" i="20"/>
  <c r="P119" i="20"/>
  <c r="Q119" i="20"/>
  <c r="R119" i="20"/>
  <c r="S119" i="20"/>
  <c r="T119" i="20"/>
  <c r="U119" i="20"/>
  <c r="V119" i="20"/>
  <c r="I120" i="20"/>
  <c r="J120" i="20"/>
  <c r="K120" i="20"/>
  <c r="L120" i="20"/>
  <c r="M120" i="20"/>
  <c r="N120" i="20"/>
  <c r="O120" i="20"/>
  <c r="P120" i="20"/>
  <c r="Q120" i="20"/>
  <c r="R120" i="20"/>
  <c r="S120" i="20"/>
  <c r="T120" i="20"/>
  <c r="U120" i="20"/>
  <c r="V120" i="20"/>
  <c r="I121" i="20"/>
  <c r="J121" i="20"/>
  <c r="K121" i="20"/>
  <c r="L121" i="20"/>
  <c r="M121" i="20"/>
  <c r="N121" i="20"/>
  <c r="O121" i="20"/>
  <c r="P121" i="20"/>
  <c r="Q121" i="20"/>
  <c r="R121" i="20"/>
  <c r="S121" i="20"/>
  <c r="T121" i="20"/>
  <c r="U121" i="20"/>
  <c r="V121" i="20"/>
  <c r="I122" i="20"/>
  <c r="J122" i="20"/>
  <c r="K122" i="20"/>
  <c r="L122" i="20"/>
  <c r="M122" i="20"/>
  <c r="N122" i="20"/>
  <c r="O122" i="20"/>
  <c r="P122" i="20"/>
  <c r="Q122" i="20"/>
  <c r="R122" i="20"/>
  <c r="S122" i="20"/>
  <c r="T122" i="20"/>
  <c r="U122" i="20"/>
  <c r="V122" i="20"/>
  <c r="I123" i="20"/>
  <c r="J123" i="20"/>
  <c r="K123" i="20"/>
  <c r="L123" i="20"/>
  <c r="M123" i="20"/>
  <c r="N123" i="20"/>
  <c r="O123" i="20"/>
  <c r="P123" i="20"/>
  <c r="Q123" i="20"/>
  <c r="R123" i="20"/>
  <c r="S123" i="20"/>
  <c r="T123" i="20"/>
  <c r="U123" i="20"/>
  <c r="V123" i="20"/>
  <c r="I124" i="20"/>
  <c r="J124" i="20"/>
  <c r="K124" i="20"/>
  <c r="L124" i="20"/>
  <c r="M124" i="20"/>
  <c r="N124" i="20"/>
  <c r="O124" i="20"/>
  <c r="P124" i="20"/>
  <c r="Q124" i="20"/>
  <c r="R124" i="20"/>
  <c r="S124" i="20"/>
  <c r="T124" i="20"/>
  <c r="U124" i="20"/>
  <c r="V124" i="20"/>
  <c r="I125" i="20"/>
  <c r="J125" i="20"/>
  <c r="K125" i="20"/>
  <c r="L125" i="20"/>
  <c r="M125" i="20"/>
  <c r="N125" i="20"/>
  <c r="O125" i="20"/>
  <c r="P125" i="20"/>
  <c r="Q125" i="20"/>
  <c r="R125" i="20"/>
  <c r="S125" i="20"/>
  <c r="T125" i="20"/>
  <c r="U125" i="20"/>
  <c r="V125" i="20"/>
  <c r="I126" i="20"/>
  <c r="J126" i="20"/>
  <c r="K126" i="20"/>
  <c r="L126" i="20"/>
  <c r="M126" i="20"/>
  <c r="N126" i="20"/>
  <c r="O126" i="20"/>
  <c r="P126" i="20"/>
  <c r="Q126" i="20"/>
  <c r="R126" i="20"/>
  <c r="S126" i="20"/>
  <c r="T126" i="20"/>
  <c r="U126" i="20"/>
  <c r="V126" i="20"/>
  <c r="I127" i="20"/>
  <c r="J127" i="20"/>
  <c r="K127" i="20"/>
  <c r="L127" i="20"/>
  <c r="M127" i="20"/>
  <c r="N127" i="20"/>
  <c r="O127" i="20"/>
  <c r="P127" i="20"/>
  <c r="Q127" i="20"/>
  <c r="R127" i="20"/>
  <c r="S127" i="20"/>
  <c r="T127" i="20"/>
  <c r="U127" i="20"/>
  <c r="V127" i="20"/>
  <c r="I128" i="20"/>
  <c r="J128" i="20"/>
  <c r="K128" i="20"/>
  <c r="L128" i="20"/>
  <c r="M128" i="20"/>
  <c r="N128" i="20"/>
  <c r="O128" i="20"/>
  <c r="P128" i="20"/>
  <c r="Q128" i="20"/>
  <c r="R128" i="20"/>
  <c r="S128" i="20"/>
  <c r="T128" i="20"/>
  <c r="U128" i="20"/>
  <c r="V128" i="20"/>
  <c r="I129" i="20"/>
  <c r="J129" i="20"/>
  <c r="K129" i="20"/>
  <c r="L129" i="20"/>
  <c r="M129" i="20"/>
  <c r="N129" i="20"/>
  <c r="O129" i="20"/>
  <c r="P129" i="20"/>
  <c r="Q129" i="20"/>
  <c r="R129" i="20"/>
  <c r="S129" i="20"/>
  <c r="T129" i="20"/>
  <c r="U129" i="20"/>
  <c r="V129" i="20"/>
  <c r="I130" i="20"/>
  <c r="J130" i="20"/>
  <c r="K130" i="20"/>
  <c r="L130" i="20"/>
  <c r="M130" i="20"/>
  <c r="N130" i="20"/>
  <c r="O130" i="20"/>
  <c r="P130" i="20"/>
  <c r="Q130" i="20"/>
  <c r="R130" i="20"/>
  <c r="S130" i="20"/>
  <c r="T130" i="20"/>
  <c r="U130" i="20"/>
  <c r="V130" i="20"/>
  <c r="I131" i="20"/>
  <c r="J131" i="20"/>
  <c r="K131" i="20"/>
  <c r="L131" i="20"/>
  <c r="M131" i="20"/>
  <c r="N131" i="20"/>
  <c r="O131" i="20"/>
  <c r="P131" i="20"/>
  <c r="Q131" i="20"/>
  <c r="R131" i="20"/>
  <c r="S131" i="20"/>
  <c r="T131" i="20"/>
  <c r="U131" i="20"/>
  <c r="V131" i="20"/>
  <c r="I132" i="20"/>
  <c r="J132" i="20"/>
  <c r="K132" i="20"/>
  <c r="L132" i="20"/>
  <c r="M132" i="20"/>
  <c r="N132" i="20"/>
  <c r="O132" i="20"/>
  <c r="P132" i="20"/>
  <c r="Q132" i="20"/>
  <c r="R132" i="20"/>
  <c r="S132" i="20"/>
  <c r="T132" i="20"/>
  <c r="U132" i="20"/>
  <c r="V132" i="20"/>
  <c r="I133" i="20"/>
  <c r="J133" i="20"/>
  <c r="K133" i="20"/>
  <c r="L133" i="20"/>
  <c r="M133" i="20"/>
  <c r="N133" i="20"/>
  <c r="O133" i="20"/>
  <c r="P133" i="20"/>
  <c r="Q133" i="20"/>
  <c r="R133" i="20"/>
  <c r="S133" i="20"/>
  <c r="T133" i="20"/>
  <c r="U133" i="20"/>
  <c r="V133" i="20"/>
  <c r="I134" i="20"/>
  <c r="J134" i="20"/>
  <c r="K134" i="20"/>
  <c r="L134" i="20"/>
  <c r="M134" i="20"/>
  <c r="N134" i="20"/>
  <c r="O134" i="20"/>
  <c r="P134" i="20"/>
  <c r="Q134" i="20"/>
  <c r="R134" i="20"/>
  <c r="S134" i="20"/>
  <c r="T134" i="20"/>
  <c r="U134" i="20"/>
  <c r="V134" i="20"/>
  <c r="I135" i="20"/>
  <c r="J135" i="20"/>
  <c r="K135" i="20"/>
  <c r="L135" i="20"/>
  <c r="M135" i="20"/>
  <c r="N135" i="20"/>
  <c r="O135" i="20"/>
  <c r="P135" i="20"/>
  <c r="Q135" i="20"/>
  <c r="R135" i="20"/>
  <c r="S135" i="20"/>
  <c r="T135" i="20"/>
  <c r="U135" i="20"/>
  <c r="V135" i="20"/>
  <c r="I136" i="20"/>
  <c r="J136" i="20"/>
  <c r="K136" i="20"/>
  <c r="L136" i="20"/>
  <c r="M136" i="20"/>
  <c r="N136" i="20"/>
  <c r="O136" i="20"/>
  <c r="P136" i="20"/>
  <c r="Q136" i="20"/>
  <c r="R136" i="20"/>
  <c r="S136" i="20"/>
  <c r="T136" i="20"/>
  <c r="U136" i="20"/>
  <c r="V136" i="20"/>
  <c r="I137" i="20"/>
  <c r="J137" i="20"/>
  <c r="K137" i="20"/>
  <c r="L137" i="20"/>
  <c r="M137" i="20"/>
  <c r="N137" i="20"/>
  <c r="O137" i="20"/>
  <c r="P137" i="20"/>
  <c r="Q137" i="20"/>
  <c r="R137" i="20"/>
  <c r="S137" i="20"/>
  <c r="T137" i="20"/>
  <c r="U137" i="20"/>
  <c r="V137" i="20"/>
  <c r="I138" i="20"/>
  <c r="J138" i="20"/>
  <c r="K138" i="20"/>
  <c r="L138" i="20"/>
  <c r="M138" i="20"/>
  <c r="N138" i="20"/>
  <c r="O138" i="20"/>
  <c r="P138" i="20"/>
  <c r="Q138" i="20"/>
  <c r="R138" i="20"/>
  <c r="S138" i="20"/>
  <c r="T138" i="20"/>
  <c r="U138" i="20"/>
  <c r="V138" i="20"/>
  <c r="I139" i="20"/>
  <c r="J139" i="20"/>
  <c r="K139" i="20"/>
  <c r="L139" i="20"/>
  <c r="M139" i="20"/>
  <c r="N139" i="20"/>
  <c r="O139" i="20"/>
  <c r="P139" i="20"/>
  <c r="Q139" i="20"/>
  <c r="R139" i="20"/>
  <c r="S139" i="20"/>
  <c r="T139" i="20"/>
  <c r="U139" i="20"/>
  <c r="V139" i="20"/>
  <c r="I140" i="20"/>
  <c r="J140" i="20"/>
  <c r="K140" i="20"/>
  <c r="L140" i="20"/>
  <c r="M140" i="20"/>
  <c r="N140" i="20"/>
  <c r="O140" i="20"/>
  <c r="P140" i="20"/>
  <c r="Q140" i="20"/>
  <c r="R140" i="20"/>
  <c r="S140" i="20"/>
  <c r="T140" i="20"/>
  <c r="U140" i="20"/>
  <c r="V140" i="20"/>
  <c r="I141" i="20"/>
  <c r="J141" i="20"/>
  <c r="K141" i="20"/>
  <c r="L141" i="20"/>
  <c r="M141" i="20"/>
  <c r="N141" i="20"/>
  <c r="O141" i="20"/>
  <c r="P141" i="20"/>
  <c r="Q141" i="20"/>
  <c r="R141" i="20"/>
  <c r="S141" i="20"/>
  <c r="T141" i="20"/>
  <c r="U141" i="20"/>
  <c r="V141" i="20"/>
  <c r="I142" i="20"/>
  <c r="J142" i="20"/>
  <c r="K142" i="20"/>
  <c r="L142" i="20"/>
  <c r="M142" i="20"/>
  <c r="N142" i="20"/>
  <c r="O142" i="20"/>
  <c r="P142" i="20"/>
  <c r="Q142" i="20"/>
  <c r="R142" i="20"/>
  <c r="S142" i="20"/>
  <c r="T142" i="20"/>
  <c r="U142" i="20"/>
  <c r="V142" i="20"/>
  <c r="I143" i="20"/>
  <c r="J143" i="20"/>
  <c r="K143" i="20"/>
  <c r="L143" i="20"/>
  <c r="M143" i="20"/>
  <c r="N143" i="20"/>
  <c r="O143" i="20"/>
  <c r="P143" i="20"/>
  <c r="Q143" i="20"/>
  <c r="R143" i="20"/>
  <c r="S143" i="20"/>
  <c r="T143" i="20"/>
  <c r="U143" i="20"/>
  <c r="V143" i="20"/>
  <c r="I144" i="20"/>
  <c r="J144" i="20"/>
  <c r="K144" i="20"/>
  <c r="L144" i="20"/>
  <c r="M144" i="20"/>
  <c r="N144" i="20"/>
  <c r="O144" i="20"/>
  <c r="P144" i="20"/>
  <c r="Q144" i="20"/>
  <c r="R144" i="20"/>
  <c r="S144" i="20"/>
  <c r="T144" i="20"/>
  <c r="U144" i="20"/>
  <c r="V144" i="20"/>
  <c r="I145" i="20"/>
  <c r="J145" i="20"/>
  <c r="K145" i="20"/>
  <c r="L145" i="20"/>
  <c r="M145" i="20"/>
  <c r="N145" i="20"/>
  <c r="O145" i="20"/>
  <c r="P145" i="20"/>
  <c r="Q145" i="20"/>
  <c r="R145" i="20"/>
  <c r="S145" i="20"/>
  <c r="T145" i="20"/>
  <c r="U145" i="20"/>
  <c r="V145" i="20"/>
  <c r="I146" i="20"/>
  <c r="J146" i="20"/>
  <c r="K146" i="20"/>
  <c r="L146" i="20"/>
  <c r="M146" i="20"/>
  <c r="N146" i="20"/>
  <c r="O146" i="20"/>
  <c r="P146" i="20"/>
  <c r="Q146" i="20"/>
  <c r="R146" i="20"/>
  <c r="S146" i="20"/>
  <c r="T146" i="20"/>
  <c r="U146" i="20"/>
  <c r="V146" i="20"/>
  <c r="I147" i="20"/>
  <c r="J147" i="20"/>
  <c r="K147" i="20"/>
  <c r="L147" i="20"/>
  <c r="M147" i="20"/>
  <c r="N147" i="20"/>
  <c r="O147" i="20"/>
  <c r="P147" i="20"/>
  <c r="Q147" i="20"/>
  <c r="R147" i="20"/>
  <c r="S147" i="20"/>
  <c r="T147" i="20"/>
  <c r="U147" i="20"/>
  <c r="V147" i="20"/>
  <c r="I148" i="20"/>
  <c r="J148" i="20"/>
  <c r="K148" i="20"/>
  <c r="L148" i="20"/>
  <c r="M148" i="20"/>
  <c r="N148" i="20"/>
  <c r="O148" i="20"/>
  <c r="P148" i="20"/>
  <c r="Q148" i="20"/>
  <c r="R148" i="20"/>
  <c r="S148" i="20"/>
  <c r="T148" i="20"/>
  <c r="U148" i="20"/>
  <c r="V148" i="20"/>
  <c r="I149" i="20"/>
  <c r="J149" i="20"/>
  <c r="K149" i="20"/>
  <c r="L149" i="20"/>
  <c r="M149" i="20"/>
  <c r="N149" i="20"/>
  <c r="O149" i="20"/>
  <c r="P149" i="20"/>
  <c r="Q149" i="20"/>
  <c r="R149" i="20"/>
  <c r="S149" i="20"/>
  <c r="T149" i="20"/>
  <c r="U149" i="20"/>
  <c r="V149" i="20"/>
  <c r="I150" i="20"/>
  <c r="J150" i="20"/>
  <c r="K150" i="20"/>
  <c r="L150" i="20"/>
  <c r="M150" i="20"/>
  <c r="N150" i="20"/>
  <c r="O150" i="20"/>
  <c r="P150" i="20"/>
  <c r="Q150" i="20"/>
  <c r="R150" i="20"/>
  <c r="S150" i="20"/>
  <c r="T150" i="20"/>
  <c r="U150" i="20"/>
  <c r="V150" i="20"/>
  <c r="I151" i="20"/>
  <c r="J151" i="20"/>
  <c r="K151" i="20"/>
  <c r="L151" i="20"/>
  <c r="M151" i="20"/>
  <c r="N151" i="20"/>
  <c r="O151" i="20"/>
  <c r="P151" i="20"/>
  <c r="Q151" i="20"/>
  <c r="R151" i="20"/>
  <c r="S151" i="20"/>
  <c r="T151" i="20"/>
  <c r="U151" i="20"/>
  <c r="V151" i="20"/>
  <c r="I152" i="20"/>
  <c r="J152" i="20"/>
  <c r="K152" i="20"/>
  <c r="L152" i="20"/>
  <c r="M152" i="20"/>
  <c r="N152" i="20"/>
  <c r="O152" i="20"/>
  <c r="P152" i="20"/>
  <c r="Q152" i="20"/>
  <c r="R152" i="20"/>
  <c r="S152" i="20"/>
  <c r="T152" i="20"/>
  <c r="U152" i="20"/>
  <c r="V152" i="20"/>
  <c r="I153" i="20"/>
  <c r="J153" i="20"/>
  <c r="K153" i="20"/>
  <c r="L153" i="20"/>
  <c r="M153" i="20"/>
  <c r="N153" i="20"/>
  <c r="O153" i="20"/>
  <c r="P153" i="20"/>
  <c r="Q153" i="20"/>
  <c r="R153" i="20"/>
  <c r="S153" i="20"/>
  <c r="T153" i="20"/>
  <c r="U153" i="20"/>
  <c r="V153" i="20"/>
  <c r="I154" i="20"/>
  <c r="J154" i="20"/>
  <c r="K154" i="20"/>
  <c r="L154" i="20"/>
  <c r="M154" i="20"/>
  <c r="N154" i="20"/>
  <c r="O154" i="20"/>
  <c r="P154" i="20"/>
  <c r="Q154" i="20"/>
  <c r="R154" i="20"/>
  <c r="S154" i="20"/>
  <c r="T154" i="20"/>
  <c r="U154" i="20"/>
  <c r="V154" i="20"/>
  <c r="I155" i="20"/>
  <c r="J155" i="20"/>
  <c r="K155" i="20"/>
  <c r="L155" i="20"/>
  <c r="M155" i="20"/>
  <c r="N155" i="20"/>
  <c r="O155" i="20"/>
  <c r="P155" i="20"/>
  <c r="Q155" i="20"/>
  <c r="R155" i="20"/>
  <c r="S155" i="20"/>
  <c r="T155" i="20"/>
  <c r="U155" i="20"/>
  <c r="V155" i="20"/>
  <c r="I156" i="20"/>
  <c r="J156" i="20"/>
  <c r="K156" i="20"/>
  <c r="L156" i="20"/>
  <c r="M156" i="20"/>
  <c r="N156" i="20"/>
  <c r="O156" i="20"/>
  <c r="P156" i="20"/>
  <c r="Q156" i="20"/>
  <c r="R156" i="20"/>
  <c r="S156" i="20"/>
  <c r="T156" i="20"/>
  <c r="U156" i="20"/>
  <c r="V156" i="20"/>
  <c r="I157" i="20"/>
  <c r="J157" i="20"/>
  <c r="K157" i="20"/>
  <c r="L157" i="20"/>
  <c r="M157" i="20"/>
  <c r="N157" i="20"/>
  <c r="O157" i="20"/>
  <c r="P157" i="20"/>
  <c r="Q157" i="20"/>
  <c r="R157" i="20"/>
  <c r="S157" i="20"/>
  <c r="T157" i="20"/>
  <c r="U157" i="20"/>
  <c r="V157" i="20"/>
  <c r="I158" i="20"/>
  <c r="J158" i="20"/>
  <c r="K158" i="20"/>
  <c r="L158" i="20"/>
  <c r="M158" i="20"/>
  <c r="N158" i="20"/>
  <c r="O158" i="20"/>
  <c r="P158" i="20"/>
  <c r="Q158" i="20"/>
  <c r="R158" i="20"/>
  <c r="S158" i="20"/>
  <c r="T158" i="20"/>
  <c r="U158" i="20"/>
  <c r="V158" i="20"/>
  <c r="I159" i="20"/>
  <c r="J159" i="20"/>
  <c r="K159" i="20"/>
  <c r="L159" i="20"/>
  <c r="M159" i="20"/>
  <c r="N159" i="20"/>
  <c r="O159" i="20"/>
  <c r="P159" i="20"/>
  <c r="Q159" i="20"/>
  <c r="R159" i="20"/>
  <c r="S159" i="20"/>
  <c r="T159" i="20"/>
  <c r="U159" i="20"/>
  <c r="V159" i="20"/>
  <c r="I160" i="20"/>
  <c r="J160" i="20"/>
  <c r="K160" i="20"/>
  <c r="L160" i="20"/>
  <c r="M160" i="20"/>
  <c r="N160" i="20"/>
  <c r="O160" i="20"/>
  <c r="P160" i="20"/>
  <c r="Q160" i="20"/>
  <c r="R160" i="20"/>
  <c r="S160" i="20"/>
  <c r="T160" i="20"/>
  <c r="U160" i="20"/>
  <c r="V160" i="20"/>
  <c r="I161" i="20"/>
  <c r="J161" i="20"/>
  <c r="K161" i="20"/>
  <c r="L161" i="20"/>
  <c r="M161" i="20"/>
  <c r="N161" i="20"/>
  <c r="O161" i="20"/>
  <c r="P161" i="20"/>
  <c r="Q161" i="20"/>
  <c r="R161" i="20"/>
  <c r="S161" i="20"/>
  <c r="T161" i="20"/>
  <c r="U161" i="20"/>
  <c r="V161" i="20"/>
  <c r="I162" i="20"/>
  <c r="J162" i="20"/>
  <c r="K162" i="20"/>
  <c r="L162" i="20"/>
  <c r="M162" i="20"/>
  <c r="N162" i="20"/>
  <c r="O162" i="20"/>
  <c r="P162" i="20"/>
  <c r="Q162" i="20"/>
  <c r="R162" i="20"/>
  <c r="S162" i="20"/>
  <c r="T162" i="20"/>
  <c r="U162" i="20"/>
  <c r="V162" i="20"/>
  <c r="I163" i="20"/>
  <c r="J163" i="20"/>
  <c r="K163" i="20"/>
  <c r="L163" i="20"/>
  <c r="M163" i="20"/>
  <c r="N163" i="20"/>
  <c r="O163" i="20"/>
  <c r="P163" i="20"/>
  <c r="Q163" i="20"/>
  <c r="R163" i="20"/>
  <c r="S163" i="20"/>
  <c r="T163" i="20"/>
  <c r="U163" i="20"/>
  <c r="V163" i="20"/>
  <c r="I164" i="20"/>
  <c r="J164" i="20"/>
  <c r="K164" i="20"/>
  <c r="L164" i="20"/>
  <c r="M164" i="20"/>
  <c r="N164" i="20"/>
  <c r="O164" i="20"/>
  <c r="P164" i="20"/>
  <c r="Q164" i="20"/>
  <c r="R164" i="20"/>
  <c r="S164" i="20"/>
  <c r="T164" i="20"/>
  <c r="U164" i="20"/>
  <c r="V164" i="20"/>
  <c r="I165" i="20"/>
  <c r="J165" i="20"/>
  <c r="K165" i="20"/>
  <c r="L165" i="20"/>
  <c r="M165" i="20"/>
  <c r="N165" i="20"/>
  <c r="O165" i="20"/>
  <c r="P165" i="20"/>
  <c r="Q165" i="20"/>
  <c r="R165" i="20"/>
  <c r="S165" i="20"/>
  <c r="T165" i="20"/>
  <c r="U165" i="20"/>
  <c r="V165" i="20"/>
  <c r="I166" i="20"/>
  <c r="J166" i="20"/>
  <c r="K166" i="20"/>
  <c r="L166" i="20"/>
  <c r="M166" i="20"/>
  <c r="N166" i="20"/>
  <c r="O166" i="20"/>
  <c r="P166" i="20"/>
  <c r="Q166" i="20"/>
  <c r="R166" i="20"/>
  <c r="S166" i="20"/>
  <c r="T166" i="20"/>
  <c r="U166" i="20"/>
  <c r="V166" i="20"/>
  <c r="I167" i="20"/>
  <c r="J167" i="20"/>
  <c r="K167" i="20"/>
  <c r="L167" i="20"/>
  <c r="M167" i="20"/>
  <c r="N167" i="20"/>
  <c r="O167" i="20"/>
  <c r="P167" i="20"/>
  <c r="Q167" i="20"/>
  <c r="R167" i="20"/>
  <c r="S167" i="20"/>
  <c r="T167" i="20"/>
  <c r="U167" i="20"/>
  <c r="V167" i="20"/>
  <c r="I168" i="20"/>
  <c r="J168" i="20"/>
  <c r="K168" i="20"/>
  <c r="L168" i="20"/>
  <c r="M168" i="20"/>
  <c r="N168" i="20"/>
  <c r="O168" i="20"/>
  <c r="P168" i="20"/>
  <c r="Q168" i="20"/>
  <c r="R168" i="20"/>
  <c r="S168" i="20"/>
  <c r="T168" i="20"/>
  <c r="U168" i="20"/>
  <c r="V168" i="20"/>
  <c r="I169" i="20"/>
  <c r="J169" i="20"/>
  <c r="K169" i="20"/>
  <c r="L169" i="20"/>
  <c r="M169" i="20"/>
  <c r="N169" i="20"/>
  <c r="O169" i="20"/>
  <c r="P169" i="20"/>
  <c r="Q169" i="20"/>
  <c r="R169" i="20"/>
  <c r="S169" i="20"/>
  <c r="T169" i="20"/>
  <c r="U169" i="20"/>
  <c r="V169" i="20"/>
  <c r="I170" i="20"/>
  <c r="J170" i="20"/>
  <c r="K170" i="20"/>
  <c r="L170" i="20"/>
  <c r="M170" i="20"/>
  <c r="N170" i="20"/>
  <c r="O170" i="20"/>
  <c r="P170" i="20"/>
  <c r="Q170" i="20"/>
  <c r="R170" i="20"/>
  <c r="S170" i="20"/>
  <c r="T170" i="20"/>
  <c r="U170" i="20"/>
  <c r="V170" i="20"/>
  <c r="I171" i="20"/>
  <c r="J171" i="20"/>
  <c r="K171" i="20"/>
  <c r="L171" i="20"/>
  <c r="M171" i="20"/>
  <c r="N171" i="20"/>
  <c r="O171" i="20"/>
  <c r="P171" i="20"/>
  <c r="Q171" i="20"/>
  <c r="R171" i="20"/>
  <c r="S171" i="20"/>
  <c r="T171" i="20"/>
  <c r="U171" i="20"/>
  <c r="V171" i="20"/>
  <c r="I172" i="20"/>
  <c r="J172" i="20"/>
  <c r="K172" i="20"/>
  <c r="L172" i="20"/>
  <c r="M172" i="20"/>
  <c r="N172" i="20"/>
  <c r="O172" i="20"/>
  <c r="P172" i="20"/>
  <c r="Q172" i="20"/>
  <c r="R172" i="20"/>
  <c r="S172" i="20"/>
  <c r="T172" i="20"/>
  <c r="U172" i="20"/>
  <c r="V172" i="20"/>
  <c r="I173" i="20"/>
  <c r="J173" i="20"/>
  <c r="K173" i="20"/>
  <c r="L173" i="20"/>
  <c r="M173" i="20"/>
  <c r="N173" i="20"/>
  <c r="O173" i="20"/>
  <c r="P173" i="20"/>
  <c r="Q173" i="20"/>
  <c r="R173" i="20"/>
  <c r="S173" i="20"/>
  <c r="T173" i="20"/>
  <c r="U173" i="20"/>
  <c r="V173" i="20"/>
  <c r="I174" i="20"/>
  <c r="J174" i="20"/>
  <c r="K174" i="20"/>
  <c r="L174" i="20"/>
  <c r="M174" i="20"/>
  <c r="N174" i="20"/>
  <c r="O174" i="20"/>
  <c r="P174" i="20"/>
  <c r="Q174" i="20"/>
  <c r="R174" i="20"/>
  <c r="S174" i="20"/>
  <c r="T174" i="20"/>
  <c r="U174" i="20"/>
  <c r="V174" i="20"/>
  <c r="I175" i="20"/>
  <c r="J175" i="20"/>
  <c r="K175" i="20"/>
  <c r="L175" i="20"/>
  <c r="M175" i="20"/>
  <c r="N175" i="20"/>
  <c r="O175" i="20"/>
  <c r="P175" i="20"/>
  <c r="Q175" i="20"/>
  <c r="R175" i="20"/>
  <c r="S175" i="20"/>
  <c r="T175" i="20"/>
  <c r="U175" i="20"/>
  <c r="V175" i="20"/>
  <c r="I176" i="20"/>
  <c r="J176" i="20"/>
  <c r="K176" i="20"/>
  <c r="L176" i="20"/>
  <c r="M176" i="20"/>
  <c r="N176" i="20"/>
  <c r="O176" i="20"/>
  <c r="P176" i="20"/>
  <c r="Q176" i="20"/>
  <c r="R176" i="20"/>
  <c r="S176" i="20"/>
  <c r="T176" i="20"/>
  <c r="U176" i="20"/>
  <c r="V176" i="20"/>
  <c r="I177" i="20"/>
  <c r="J177" i="20"/>
  <c r="K177" i="20"/>
  <c r="L177" i="20"/>
  <c r="M177" i="20"/>
  <c r="N177" i="20"/>
  <c r="O177" i="20"/>
  <c r="P177" i="20"/>
  <c r="Q177" i="20"/>
  <c r="R177" i="20"/>
  <c r="S177" i="20"/>
  <c r="T177" i="20"/>
  <c r="U177" i="20"/>
  <c r="V177" i="20"/>
  <c r="I178" i="20"/>
  <c r="J178" i="20"/>
  <c r="K178" i="20"/>
  <c r="L178" i="20"/>
  <c r="M178" i="20"/>
  <c r="N178" i="20"/>
  <c r="O178" i="20"/>
  <c r="P178" i="20"/>
  <c r="Q178" i="20"/>
  <c r="R178" i="20"/>
  <c r="S178" i="20"/>
  <c r="T178" i="20"/>
  <c r="U178" i="20"/>
  <c r="V178" i="20"/>
  <c r="I179" i="20"/>
  <c r="J179" i="20"/>
  <c r="K179" i="20"/>
  <c r="L179" i="20"/>
  <c r="M179" i="20"/>
  <c r="N179" i="20"/>
  <c r="O179" i="20"/>
  <c r="P179" i="20"/>
  <c r="Q179" i="20"/>
  <c r="R179" i="20"/>
  <c r="S179" i="20"/>
  <c r="T179" i="20"/>
  <c r="U179" i="20"/>
  <c r="V179" i="20"/>
  <c r="I180" i="20"/>
  <c r="J180" i="20"/>
  <c r="K180" i="20"/>
  <c r="L180" i="20"/>
  <c r="M180" i="20"/>
  <c r="N180" i="20"/>
  <c r="O180" i="20"/>
  <c r="P180" i="20"/>
  <c r="Q180" i="20"/>
  <c r="R180" i="20"/>
  <c r="S180" i="20"/>
  <c r="T180" i="20"/>
  <c r="U180" i="20"/>
  <c r="V180" i="20"/>
  <c r="I181" i="20"/>
  <c r="J181" i="20"/>
  <c r="K181" i="20"/>
  <c r="L181" i="20"/>
  <c r="M181" i="20"/>
  <c r="N181" i="20"/>
  <c r="O181" i="20"/>
  <c r="P181" i="20"/>
  <c r="Q181" i="20"/>
  <c r="R181" i="20"/>
  <c r="S181" i="20"/>
  <c r="T181" i="20"/>
  <c r="U181" i="20"/>
  <c r="V181" i="20"/>
  <c r="I182" i="20"/>
  <c r="J182" i="20"/>
  <c r="K182" i="20"/>
  <c r="L182" i="20"/>
  <c r="M182" i="20"/>
  <c r="N182" i="20"/>
  <c r="O182" i="20"/>
  <c r="P182" i="20"/>
  <c r="Q182" i="20"/>
  <c r="R182" i="20"/>
  <c r="S182" i="20"/>
  <c r="T182" i="20"/>
  <c r="U182" i="20"/>
  <c r="V182" i="20"/>
  <c r="I183" i="20"/>
  <c r="J183" i="20"/>
  <c r="K183" i="20"/>
  <c r="L183" i="20"/>
  <c r="M183" i="20"/>
  <c r="N183" i="20"/>
  <c r="O183" i="20"/>
  <c r="P183" i="20"/>
  <c r="Q183" i="20"/>
  <c r="R183" i="20"/>
  <c r="S183" i="20"/>
  <c r="T183" i="20"/>
  <c r="U183" i="20"/>
  <c r="V183" i="20"/>
  <c r="I184" i="20"/>
  <c r="J184" i="20"/>
  <c r="K184" i="20"/>
  <c r="L184" i="20"/>
  <c r="M184" i="20"/>
  <c r="N184" i="20"/>
  <c r="O184" i="20"/>
  <c r="P184" i="20"/>
  <c r="Q184" i="20"/>
  <c r="R184" i="20"/>
  <c r="S184" i="20"/>
  <c r="T184" i="20"/>
  <c r="U184" i="20"/>
  <c r="V184" i="20"/>
  <c r="I185" i="20"/>
  <c r="J185" i="20"/>
  <c r="K185" i="20"/>
  <c r="L185" i="20"/>
  <c r="M185" i="20"/>
  <c r="N185" i="20"/>
  <c r="O185" i="20"/>
  <c r="P185" i="20"/>
  <c r="Q185" i="20"/>
  <c r="R185" i="20"/>
  <c r="S185" i="20"/>
  <c r="T185" i="20"/>
  <c r="U185" i="20"/>
  <c r="V185" i="20"/>
  <c r="I186" i="20"/>
  <c r="J186" i="20"/>
  <c r="K186" i="20"/>
  <c r="L186" i="20"/>
  <c r="M186" i="20"/>
  <c r="N186" i="20"/>
  <c r="O186" i="20"/>
  <c r="P186" i="20"/>
  <c r="Q186" i="20"/>
  <c r="R186" i="20"/>
  <c r="S186" i="20"/>
  <c r="T186" i="20"/>
  <c r="U186" i="20"/>
  <c r="V186" i="20"/>
  <c r="I187" i="20"/>
  <c r="J187" i="20"/>
  <c r="K187" i="20"/>
  <c r="L187" i="20"/>
  <c r="M187" i="20"/>
  <c r="N187" i="20"/>
  <c r="O187" i="20"/>
  <c r="P187" i="20"/>
  <c r="Q187" i="20"/>
  <c r="R187" i="20"/>
  <c r="S187" i="20"/>
  <c r="T187" i="20"/>
  <c r="U187" i="20"/>
  <c r="V187" i="20"/>
  <c r="I188" i="20"/>
  <c r="J188" i="20"/>
  <c r="K188" i="20"/>
  <c r="L188" i="20"/>
  <c r="M188" i="20"/>
  <c r="N188" i="20"/>
  <c r="O188" i="20"/>
  <c r="P188" i="20"/>
  <c r="Q188" i="20"/>
  <c r="R188" i="20"/>
  <c r="S188" i="20"/>
  <c r="T188" i="20"/>
  <c r="U188" i="20"/>
  <c r="V188" i="20"/>
  <c r="I189" i="20"/>
  <c r="J189" i="20"/>
  <c r="K189" i="20"/>
  <c r="L189" i="20"/>
  <c r="M189" i="20"/>
  <c r="N189" i="20"/>
  <c r="O189" i="20"/>
  <c r="P189" i="20"/>
  <c r="Q189" i="20"/>
  <c r="R189" i="20"/>
  <c r="S189" i="20"/>
  <c r="T189" i="20"/>
  <c r="U189" i="20"/>
  <c r="V189" i="20"/>
  <c r="I190" i="20"/>
  <c r="J190" i="20"/>
  <c r="K190" i="20"/>
  <c r="L190" i="20"/>
  <c r="M190" i="20"/>
  <c r="N190" i="20"/>
  <c r="O190" i="20"/>
  <c r="P190" i="20"/>
  <c r="Q190" i="20"/>
  <c r="R190" i="20"/>
  <c r="S190" i="20"/>
  <c r="T190" i="20"/>
  <c r="U190" i="20"/>
  <c r="V190" i="20"/>
  <c r="I191" i="20"/>
  <c r="J191" i="20"/>
  <c r="K191" i="20"/>
  <c r="L191" i="20"/>
  <c r="M191" i="20"/>
  <c r="N191" i="20"/>
  <c r="O191" i="20"/>
  <c r="P191" i="20"/>
  <c r="Q191" i="20"/>
  <c r="R191" i="20"/>
  <c r="S191" i="20"/>
  <c r="T191" i="20"/>
  <c r="U191" i="20"/>
  <c r="V191" i="20"/>
  <c r="I192" i="20"/>
  <c r="J192" i="20"/>
  <c r="K192" i="20"/>
  <c r="L192" i="20"/>
  <c r="M192" i="20"/>
  <c r="N192" i="20"/>
  <c r="O192" i="20"/>
  <c r="P192" i="20"/>
  <c r="Q192" i="20"/>
  <c r="R192" i="20"/>
  <c r="S192" i="20"/>
  <c r="T192" i="20"/>
  <c r="U192" i="20"/>
  <c r="V192" i="20"/>
  <c r="I193" i="20"/>
  <c r="J193" i="20"/>
  <c r="K193" i="20"/>
  <c r="L193" i="20"/>
  <c r="M193" i="20"/>
  <c r="N193" i="20"/>
  <c r="O193" i="20"/>
  <c r="P193" i="20"/>
  <c r="Q193" i="20"/>
  <c r="R193" i="20"/>
  <c r="S193" i="20"/>
  <c r="T193" i="20"/>
  <c r="U193" i="20"/>
  <c r="V193" i="20"/>
  <c r="I194" i="20"/>
  <c r="J194" i="20"/>
  <c r="K194" i="20"/>
  <c r="L194" i="20"/>
  <c r="M194" i="20"/>
  <c r="N194" i="20"/>
  <c r="O194" i="20"/>
  <c r="P194" i="20"/>
  <c r="Q194" i="20"/>
  <c r="R194" i="20"/>
  <c r="S194" i="20"/>
  <c r="T194" i="20"/>
  <c r="U194" i="20"/>
  <c r="V194" i="20"/>
  <c r="I195" i="20"/>
  <c r="J195" i="20"/>
  <c r="K195" i="20"/>
  <c r="L195" i="20"/>
  <c r="M195" i="20"/>
  <c r="N195" i="20"/>
  <c r="O195" i="20"/>
  <c r="P195" i="20"/>
  <c r="Q195" i="20"/>
  <c r="R195" i="20"/>
  <c r="S195" i="20"/>
  <c r="T195" i="20"/>
  <c r="U195" i="20"/>
  <c r="V195" i="20"/>
  <c r="I196" i="20"/>
  <c r="J196" i="20"/>
  <c r="K196" i="20"/>
  <c r="L196" i="20"/>
  <c r="M196" i="20"/>
  <c r="N196" i="20"/>
  <c r="O196" i="20"/>
  <c r="P196" i="20"/>
  <c r="Q196" i="20"/>
  <c r="R196" i="20"/>
  <c r="S196" i="20"/>
  <c r="T196" i="20"/>
  <c r="U196" i="20"/>
  <c r="V196" i="20"/>
  <c r="I197" i="20"/>
  <c r="J197" i="20"/>
  <c r="K197" i="20"/>
  <c r="L197" i="20"/>
  <c r="M197" i="20"/>
  <c r="N197" i="20"/>
  <c r="O197" i="20"/>
  <c r="P197" i="20"/>
  <c r="Q197" i="20"/>
  <c r="R197" i="20"/>
  <c r="S197" i="20"/>
  <c r="T197" i="20"/>
  <c r="U197" i="20"/>
  <c r="V197" i="20"/>
  <c r="I198" i="20"/>
  <c r="J198" i="20"/>
  <c r="K198" i="20"/>
  <c r="L198" i="20"/>
  <c r="M198" i="20"/>
  <c r="N198" i="20"/>
  <c r="O198" i="20"/>
  <c r="P198" i="20"/>
  <c r="Q198" i="20"/>
  <c r="R198" i="20"/>
  <c r="S198" i="20"/>
  <c r="T198" i="20"/>
  <c r="U198" i="20"/>
  <c r="V198" i="20"/>
  <c r="I199" i="20"/>
  <c r="J199" i="20"/>
  <c r="K199" i="20"/>
  <c r="L199" i="20"/>
  <c r="M199" i="20"/>
  <c r="N199" i="20"/>
  <c r="O199" i="20"/>
  <c r="P199" i="20"/>
  <c r="Q199" i="20"/>
  <c r="R199" i="20"/>
  <c r="S199" i="20"/>
  <c r="T199" i="20"/>
  <c r="U199" i="20"/>
  <c r="V199" i="20"/>
  <c r="I200" i="20"/>
  <c r="J200" i="20"/>
  <c r="K200" i="20"/>
  <c r="L200" i="20"/>
  <c r="M200" i="20"/>
  <c r="N200" i="20"/>
  <c r="O200" i="20"/>
  <c r="P200" i="20"/>
  <c r="Q200" i="20"/>
  <c r="R200" i="20"/>
  <c r="S200" i="20"/>
  <c r="T200" i="20"/>
  <c r="U200" i="20"/>
  <c r="V200" i="20"/>
  <c r="I201" i="20"/>
  <c r="J201" i="20"/>
  <c r="K201" i="20"/>
  <c r="L201" i="20"/>
  <c r="M201" i="20"/>
  <c r="N201" i="20"/>
  <c r="O201" i="20"/>
  <c r="P201" i="20"/>
  <c r="Q201" i="20"/>
  <c r="R201" i="20"/>
  <c r="S201" i="20"/>
  <c r="T201" i="20"/>
  <c r="U201" i="20"/>
  <c r="V201" i="20"/>
  <c r="I202" i="20"/>
  <c r="J202" i="20"/>
  <c r="K202" i="20"/>
  <c r="L202" i="20"/>
  <c r="M202" i="20"/>
  <c r="N202" i="20"/>
  <c r="O202" i="20"/>
  <c r="P202" i="20"/>
  <c r="Q202" i="20"/>
  <c r="R202" i="20"/>
  <c r="S202" i="20"/>
  <c r="T202" i="20"/>
  <c r="U202" i="20"/>
  <c r="V202" i="20"/>
  <c r="I203" i="20"/>
  <c r="J203" i="20"/>
  <c r="K203" i="20"/>
  <c r="L203" i="20"/>
  <c r="M203" i="20"/>
  <c r="N203" i="20"/>
  <c r="O203" i="20"/>
  <c r="P203" i="20"/>
  <c r="Q203" i="20"/>
  <c r="R203" i="20"/>
  <c r="S203" i="20"/>
  <c r="T203" i="20"/>
  <c r="U203" i="20"/>
  <c r="V203" i="20"/>
  <c r="I204" i="20"/>
  <c r="J204" i="20"/>
  <c r="K204" i="20"/>
  <c r="L204" i="20"/>
  <c r="M204" i="20"/>
  <c r="N204" i="20"/>
  <c r="O204" i="20"/>
  <c r="P204" i="20"/>
  <c r="Q204" i="20"/>
  <c r="R204" i="20"/>
  <c r="S204" i="20"/>
  <c r="T204" i="20"/>
  <c r="U204" i="20"/>
  <c r="V204" i="20"/>
  <c r="I205" i="20"/>
  <c r="J205" i="20"/>
  <c r="K205" i="20"/>
  <c r="L205" i="20"/>
  <c r="M205" i="20"/>
  <c r="N205" i="20"/>
  <c r="O205" i="20"/>
  <c r="P205" i="20"/>
  <c r="Q205" i="20"/>
  <c r="R205" i="20"/>
  <c r="S205" i="20"/>
  <c r="T205" i="20"/>
  <c r="U205" i="20"/>
  <c r="V205" i="20"/>
  <c r="I206" i="20"/>
  <c r="J206" i="20"/>
  <c r="K206" i="20"/>
  <c r="L206" i="20"/>
  <c r="M206" i="20"/>
  <c r="N206" i="20"/>
  <c r="O206" i="20"/>
  <c r="P206" i="20"/>
  <c r="Q206" i="20"/>
  <c r="R206" i="20"/>
  <c r="S206" i="20"/>
  <c r="T206" i="20"/>
  <c r="U206" i="20"/>
  <c r="V206" i="20"/>
  <c r="I207" i="20"/>
  <c r="J207" i="20"/>
  <c r="K207" i="20"/>
  <c r="L207" i="20"/>
  <c r="M207" i="20"/>
  <c r="N207" i="20"/>
  <c r="O207" i="20"/>
  <c r="P207" i="20"/>
  <c r="Q207" i="20"/>
  <c r="R207" i="20"/>
  <c r="S207" i="20"/>
  <c r="T207" i="20"/>
  <c r="U207" i="20"/>
  <c r="V207" i="20"/>
  <c r="I208" i="20"/>
  <c r="J208" i="20"/>
  <c r="K208" i="20"/>
  <c r="L208" i="20"/>
  <c r="M208" i="20"/>
  <c r="N208" i="20"/>
  <c r="O208" i="20"/>
  <c r="P208" i="20"/>
  <c r="Q208" i="20"/>
  <c r="R208" i="20"/>
  <c r="S208" i="20"/>
  <c r="T208" i="20"/>
  <c r="U208" i="20"/>
  <c r="V208" i="20"/>
  <c r="I209" i="20"/>
  <c r="J209" i="20"/>
  <c r="K209" i="20"/>
  <c r="L209" i="20"/>
  <c r="M209" i="20"/>
  <c r="N209" i="20"/>
  <c r="O209" i="20"/>
  <c r="P209" i="20"/>
  <c r="Q209" i="20"/>
  <c r="R209" i="20"/>
  <c r="S209" i="20"/>
  <c r="T209" i="20"/>
  <c r="U209" i="20"/>
  <c r="V209" i="20"/>
  <c r="I210" i="20"/>
  <c r="J210" i="20"/>
  <c r="K210" i="20"/>
  <c r="L210" i="20"/>
  <c r="M210" i="20"/>
  <c r="N210" i="20"/>
  <c r="O210" i="20"/>
  <c r="P210" i="20"/>
  <c r="Q210" i="20"/>
  <c r="R210" i="20"/>
  <c r="S210" i="20"/>
  <c r="T210" i="20"/>
  <c r="U210" i="20"/>
  <c r="V210" i="20"/>
  <c r="I211" i="20"/>
  <c r="J211" i="20"/>
  <c r="K211" i="20"/>
  <c r="L211" i="20"/>
  <c r="M211" i="20"/>
  <c r="N211" i="20"/>
  <c r="O211" i="20"/>
  <c r="P211" i="20"/>
  <c r="Q211" i="20"/>
  <c r="R211" i="20"/>
  <c r="S211" i="20"/>
  <c r="T211" i="20"/>
  <c r="U211" i="20"/>
  <c r="V211" i="20"/>
  <c r="I212" i="20"/>
  <c r="J212" i="20"/>
  <c r="K212" i="20"/>
  <c r="L212" i="20"/>
  <c r="M212" i="20"/>
  <c r="N212" i="20"/>
  <c r="O212" i="20"/>
  <c r="P212" i="20"/>
  <c r="Q212" i="20"/>
  <c r="R212" i="20"/>
  <c r="S212" i="20"/>
  <c r="T212" i="20"/>
  <c r="U212" i="20"/>
  <c r="V212" i="20"/>
  <c r="I213" i="20"/>
  <c r="J213" i="20"/>
  <c r="K213" i="20"/>
  <c r="L213" i="20"/>
  <c r="M213" i="20"/>
  <c r="N213" i="20"/>
  <c r="O213" i="20"/>
  <c r="P213" i="20"/>
  <c r="Q213" i="20"/>
  <c r="R213" i="20"/>
  <c r="S213" i="20"/>
  <c r="T213" i="20"/>
  <c r="U213" i="20"/>
  <c r="V213" i="20"/>
  <c r="I214" i="20"/>
  <c r="J214" i="20"/>
  <c r="K214" i="20"/>
  <c r="L214" i="20"/>
  <c r="M214" i="20"/>
  <c r="N214" i="20"/>
  <c r="O214" i="20"/>
  <c r="P214" i="20"/>
  <c r="Q214" i="20"/>
  <c r="R214" i="20"/>
  <c r="S214" i="20"/>
  <c r="T214" i="20"/>
  <c r="U214" i="20"/>
  <c r="V214" i="20"/>
  <c r="I215" i="20"/>
  <c r="J215" i="20"/>
  <c r="K215" i="20"/>
  <c r="L215" i="20"/>
  <c r="M215" i="20"/>
  <c r="N215" i="20"/>
  <c r="O215" i="20"/>
  <c r="P215" i="20"/>
  <c r="Q215" i="20"/>
  <c r="R215" i="20"/>
  <c r="S215" i="20"/>
  <c r="T215" i="20"/>
  <c r="U215" i="20"/>
  <c r="V215" i="20"/>
  <c r="I216" i="20"/>
  <c r="J216" i="20"/>
  <c r="K216" i="20"/>
  <c r="L216" i="20"/>
  <c r="M216" i="20"/>
  <c r="N216" i="20"/>
  <c r="O216" i="20"/>
  <c r="P216" i="20"/>
  <c r="Q216" i="20"/>
  <c r="R216" i="20"/>
  <c r="S216" i="20"/>
  <c r="T216" i="20"/>
  <c r="U216" i="20"/>
  <c r="V216" i="20"/>
  <c r="I217" i="20"/>
  <c r="J217" i="20"/>
  <c r="K217" i="20"/>
  <c r="L217" i="20"/>
  <c r="M217" i="20"/>
  <c r="N217" i="20"/>
  <c r="O217" i="20"/>
  <c r="P217" i="20"/>
  <c r="Q217" i="20"/>
  <c r="R217" i="20"/>
  <c r="S217" i="20"/>
  <c r="T217" i="20"/>
  <c r="U217" i="20"/>
  <c r="V217" i="20"/>
  <c r="I218" i="20"/>
  <c r="J218" i="20"/>
  <c r="K218" i="20"/>
  <c r="L218" i="20"/>
  <c r="M218" i="20"/>
  <c r="N218" i="20"/>
  <c r="O218" i="20"/>
  <c r="P218" i="20"/>
  <c r="Q218" i="20"/>
  <c r="R218" i="20"/>
  <c r="S218" i="20"/>
  <c r="T218" i="20"/>
  <c r="U218" i="20"/>
  <c r="V218" i="20"/>
  <c r="I219" i="20"/>
  <c r="J219" i="20"/>
  <c r="K219" i="20"/>
  <c r="L219" i="20"/>
  <c r="M219" i="20"/>
  <c r="N219" i="20"/>
  <c r="O219" i="20"/>
  <c r="P219" i="20"/>
  <c r="Q219" i="20"/>
  <c r="R219" i="20"/>
  <c r="S219" i="20"/>
  <c r="T219" i="20"/>
  <c r="U219" i="20"/>
  <c r="V219" i="20"/>
  <c r="I220" i="20"/>
  <c r="J220" i="20"/>
  <c r="K220" i="20"/>
  <c r="L220" i="20"/>
  <c r="M220" i="20"/>
  <c r="N220" i="20"/>
  <c r="O220" i="20"/>
  <c r="P220" i="20"/>
  <c r="Q220" i="20"/>
  <c r="R220" i="20"/>
  <c r="S220" i="20"/>
  <c r="T220" i="20"/>
  <c r="U220" i="20"/>
  <c r="V220" i="20"/>
  <c r="I221" i="20"/>
  <c r="J221" i="20"/>
  <c r="K221" i="20"/>
  <c r="L221" i="20"/>
  <c r="M221" i="20"/>
  <c r="N221" i="20"/>
  <c r="O221" i="20"/>
  <c r="P221" i="20"/>
  <c r="Q221" i="20"/>
  <c r="R221" i="20"/>
  <c r="S221" i="20"/>
  <c r="T221" i="20"/>
  <c r="U221" i="20"/>
  <c r="V221" i="20"/>
  <c r="I222" i="20"/>
  <c r="J222" i="20"/>
  <c r="K222" i="20"/>
  <c r="L222" i="20"/>
  <c r="M222" i="20"/>
  <c r="N222" i="20"/>
  <c r="O222" i="20"/>
  <c r="P222" i="20"/>
  <c r="Q222" i="20"/>
  <c r="R222" i="20"/>
  <c r="S222" i="20"/>
  <c r="T222" i="20"/>
  <c r="U222" i="20"/>
  <c r="V222" i="20"/>
  <c r="I223" i="20"/>
  <c r="J223" i="20"/>
  <c r="K223" i="20"/>
  <c r="L223" i="20"/>
  <c r="M223" i="20"/>
  <c r="N223" i="20"/>
  <c r="O223" i="20"/>
  <c r="P223" i="20"/>
  <c r="Q223" i="20"/>
  <c r="R223" i="20"/>
  <c r="S223" i="20"/>
  <c r="T223" i="20"/>
  <c r="U223" i="20"/>
  <c r="V223" i="20"/>
  <c r="I224" i="20"/>
  <c r="J224" i="20"/>
  <c r="K224" i="20"/>
  <c r="L224" i="20"/>
  <c r="M224" i="20"/>
  <c r="N224" i="20"/>
  <c r="O224" i="20"/>
  <c r="P224" i="20"/>
  <c r="Q224" i="20"/>
  <c r="R224" i="20"/>
  <c r="S224" i="20"/>
  <c r="T224" i="20"/>
  <c r="U224" i="20"/>
  <c r="V224" i="20"/>
  <c r="I225" i="20"/>
  <c r="J225" i="20"/>
  <c r="K225" i="20"/>
  <c r="L225" i="20"/>
  <c r="M225" i="20"/>
  <c r="N225" i="20"/>
  <c r="O225" i="20"/>
  <c r="P225" i="20"/>
  <c r="Q225" i="20"/>
  <c r="R225" i="20"/>
  <c r="S225" i="20"/>
  <c r="T225" i="20"/>
  <c r="U225" i="20"/>
  <c r="V225" i="20"/>
  <c r="I226" i="20"/>
  <c r="J226" i="20"/>
  <c r="K226" i="20"/>
  <c r="L226" i="20"/>
  <c r="M226" i="20"/>
  <c r="N226" i="20"/>
  <c r="O226" i="20"/>
  <c r="P226" i="20"/>
  <c r="Q226" i="20"/>
  <c r="R226" i="20"/>
  <c r="S226" i="20"/>
  <c r="T226" i="20"/>
  <c r="U226" i="20"/>
  <c r="V226" i="20"/>
  <c r="I227" i="20"/>
  <c r="J227" i="20"/>
  <c r="K227" i="20"/>
  <c r="L227" i="20"/>
  <c r="M227" i="20"/>
  <c r="N227" i="20"/>
  <c r="O227" i="20"/>
  <c r="P227" i="20"/>
  <c r="Q227" i="20"/>
  <c r="R227" i="20"/>
  <c r="S227" i="20"/>
  <c r="T227" i="20"/>
  <c r="U227" i="20"/>
  <c r="V227" i="20"/>
  <c r="I228" i="20"/>
  <c r="J228" i="20"/>
  <c r="K228" i="20"/>
  <c r="L228" i="20"/>
  <c r="M228" i="20"/>
  <c r="N228" i="20"/>
  <c r="O228" i="20"/>
  <c r="P228" i="20"/>
  <c r="Q228" i="20"/>
  <c r="R228" i="20"/>
  <c r="S228" i="20"/>
  <c r="T228" i="20"/>
  <c r="U228" i="20"/>
  <c r="V228" i="20"/>
  <c r="I229" i="20"/>
  <c r="J229" i="20"/>
  <c r="K229" i="20"/>
  <c r="L229" i="20"/>
  <c r="M229" i="20"/>
  <c r="N229" i="20"/>
  <c r="O229" i="20"/>
  <c r="P229" i="20"/>
  <c r="Q229" i="20"/>
  <c r="R229" i="20"/>
  <c r="S229" i="20"/>
  <c r="T229" i="20"/>
  <c r="U229" i="20"/>
  <c r="V229" i="20"/>
  <c r="I230" i="20"/>
  <c r="J230" i="20"/>
  <c r="K230" i="20"/>
  <c r="L230" i="20"/>
  <c r="M230" i="20"/>
  <c r="N230" i="20"/>
  <c r="O230" i="20"/>
  <c r="P230" i="20"/>
  <c r="Q230" i="20"/>
  <c r="R230" i="20"/>
  <c r="S230" i="20"/>
  <c r="T230" i="20"/>
  <c r="U230" i="20"/>
  <c r="V230" i="20"/>
  <c r="I231" i="20"/>
  <c r="J231" i="20"/>
  <c r="K231" i="20"/>
  <c r="L231" i="20"/>
  <c r="M231" i="20"/>
  <c r="N231" i="20"/>
  <c r="O231" i="20"/>
  <c r="P231" i="20"/>
  <c r="Q231" i="20"/>
  <c r="R231" i="20"/>
  <c r="S231" i="20"/>
  <c r="T231" i="20"/>
  <c r="U231" i="20"/>
  <c r="V231" i="20"/>
  <c r="I232" i="20"/>
  <c r="J232" i="20"/>
  <c r="K232" i="20"/>
  <c r="L232" i="20"/>
  <c r="M232" i="20"/>
  <c r="N232" i="20"/>
  <c r="O232" i="20"/>
  <c r="P232" i="20"/>
  <c r="Q232" i="20"/>
  <c r="R232" i="20"/>
  <c r="S232" i="20"/>
  <c r="T232" i="20"/>
  <c r="U232" i="20"/>
  <c r="V232" i="20"/>
  <c r="I233" i="20"/>
  <c r="J233" i="20"/>
  <c r="K233" i="20"/>
  <c r="L233" i="20"/>
  <c r="M233" i="20"/>
  <c r="N233" i="20"/>
  <c r="O233" i="20"/>
  <c r="P233" i="20"/>
  <c r="Q233" i="20"/>
  <c r="R233" i="20"/>
  <c r="S233" i="20"/>
  <c r="T233" i="20"/>
  <c r="U233" i="20"/>
  <c r="V233" i="20"/>
  <c r="I234" i="20"/>
  <c r="J234" i="20"/>
  <c r="K234" i="20"/>
  <c r="L234" i="20"/>
  <c r="M234" i="20"/>
  <c r="N234" i="20"/>
  <c r="O234" i="20"/>
  <c r="P234" i="20"/>
  <c r="Q234" i="20"/>
  <c r="R234" i="20"/>
  <c r="S234" i="20"/>
  <c r="T234" i="20"/>
  <c r="U234" i="20"/>
  <c r="V234" i="20"/>
  <c r="I235" i="20"/>
  <c r="J235" i="20"/>
  <c r="K235" i="20"/>
  <c r="L235" i="20"/>
  <c r="M235" i="20"/>
  <c r="N235" i="20"/>
  <c r="O235" i="20"/>
  <c r="P235" i="20"/>
  <c r="Q235" i="20"/>
  <c r="R235" i="20"/>
  <c r="S235" i="20"/>
  <c r="T235" i="20"/>
  <c r="U235" i="20"/>
  <c r="V235" i="20"/>
  <c r="I236" i="20"/>
  <c r="J236" i="20"/>
  <c r="K236" i="20"/>
  <c r="L236" i="20"/>
  <c r="M236" i="20"/>
  <c r="N236" i="20"/>
  <c r="O236" i="20"/>
  <c r="P236" i="20"/>
  <c r="Q236" i="20"/>
  <c r="R236" i="20"/>
  <c r="S236" i="20"/>
  <c r="T236" i="20"/>
  <c r="U236" i="20"/>
  <c r="V236" i="20"/>
  <c r="I237" i="20"/>
  <c r="J237" i="20"/>
  <c r="K237" i="20"/>
  <c r="L237" i="20"/>
  <c r="M237" i="20"/>
  <c r="N237" i="20"/>
  <c r="O237" i="20"/>
  <c r="P237" i="20"/>
  <c r="Q237" i="20"/>
  <c r="R237" i="20"/>
  <c r="S237" i="20"/>
  <c r="T237" i="20"/>
  <c r="U237" i="20"/>
  <c r="V237" i="20"/>
  <c r="I238" i="20"/>
  <c r="J238" i="20"/>
  <c r="K238" i="20"/>
  <c r="L238" i="20"/>
  <c r="M238" i="20"/>
  <c r="N238" i="20"/>
  <c r="O238" i="20"/>
  <c r="P238" i="20"/>
  <c r="Q238" i="20"/>
  <c r="R238" i="20"/>
  <c r="S238" i="20"/>
  <c r="T238" i="20"/>
  <c r="U238" i="20"/>
  <c r="V238" i="20"/>
  <c r="I239" i="20"/>
  <c r="J239" i="20"/>
  <c r="K239" i="20"/>
  <c r="L239" i="20"/>
  <c r="M239" i="20"/>
  <c r="N239" i="20"/>
  <c r="O239" i="20"/>
  <c r="P239" i="20"/>
  <c r="Q239" i="20"/>
  <c r="R239" i="20"/>
  <c r="S239" i="20"/>
  <c r="T239" i="20"/>
  <c r="U239" i="20"/>
  <c r="V239" i="20"/>
  <c r="I240" i="20"/>
  <c r="J240" i="20"/>
  <c r="K240" i="20"/>
  <c r="L240" i="20"/>
  <c r="M240" i="20"/>
  <c r="N240" i="20"/>
  <c r="O240" i="20"/>
  <c r="P240" i="20"/>
  <c r="Q240" i="20"/>
  <c r="R240" i="20"/>
  <c r="S240" i="20"/>
  <c r="T240" i="20"/>
  <c r="U240" i="20"/>
  <c r="V240" i="20"/>
  <c r="I241" i="20"/>
  <c r="J241" i="20"/>
  <c r="K241" i="20"/>
  <c r="L241" i="20"/>
  <c r="M241" i="20"/>
  <c r="N241" i="20"/>
  <c r="O241" i="20"/>
  <c r="P241" i="20"/>
  <c r="Q241" i="20"/>
  <c r="R241" i="20"/>
  <c r="S241" i="20"/>
  <c r="T241" i="20"/>
  <c r="U241" i="20"/>
  <c r="V241" i="20"/>
  <c r="I242" i="20"/>
  <c r="J242" i="20"/>
  <c r="K242" i="20"/>
  <c r="L242" i="20"/>
  <c r="M242" i="20"/>
  <c r="N242" i="20"/>
  <c r="O242" i="20"/>
  <c r="P242" i="20"/>
  <c r="Q242" i="20"/>
  <c r="R242" i="20"/>
  <c r="S242" i="20"/>
  <c r="T242" i="20"/>
  <c r="U242" i="20"/>
  <c r="V242" i="20"/>
  <c r="I243" i="20"/>
  <c r="J243" i="20"/>
  <c r="K243" i="20"/>
  <c r="L243" i="20"/>
  <c r="M243" i="20"/>
  <c r="N243" i="20"/>
  <c r="O243" i="20"/>
  <c r="P243" i="20"/>
  <c r="Q243" i="20"/>
  <c r="R243" i="20"/>
  <c r="S243" i="20"/>
  <c r="T243" i="20"/>
  <c r="U243" i="20"/>
  <c r="V243" i="20"/>
  <c r="I244" i="20"/>
  <c r="J244" i="20"/>
  <c r="K244" i="20"/>
  <c r="L244" i="20"/>
  <c r="M244" i="20"/>
  <c r="N244" i="20"/>
  <c r="O244" i="20"/>
  <c r="P244" i="20"/>
  <c r="Q244" i="20"/>
  <c r="R244" i="20"/>
  <c r="S244" i="20"/>
  <c r="T244" i="20"/>
  <c r="U244" i="20"/>
  <c r="V244" i="20"/>
  <c r="I245" i="20"/>
  <c r="J245" i="20"/>
  <c r="K245" i="20"/>
  <c r="L245" i="20"/>
  <c r="M245" i="20"/>
  <c r="N245" i="20"/>
  <c r="O245" i="20"/>
  <c r="P245" i="20"/>
  <c r="Q245" i="20"/>
  <c r="R245" i="20"/>
  <c r="S245" i="20"/>
  <c r="T245" i="20"/>
  <c r="U245" i="20"/>
  <c r="V245" i="20"/>
  <c r="I246" i="20"/>
  <c r="J246" i="20"/>
  <c r="K246" i="20"/>
  <c r="L246" i="20"/>
  <c r="M246" i="20"/>
  <c r="N246" i="20"/>
  <c r="O246" i="20"/>
  <c r="P246" i="20"/>
  <c r="Q246" i="20"/>
  <c r="R246" i="20"/>
  <c r="S246" i="20"/>
  <c r="T246" i="20"/>
  <c r="U246" i="20"/>
  <c r="V246" i="20"/>
  <c r="I247" i="20"/>
  <c r="J247" i="20"/>
  <c r="K247" i="20"/>
  <c r="L247" i="20"/>
  <c r="M247" i="20"/>
  <c r="N247" i="20"/>
  <c r="O247" i="20"/>
  <c r="P247" i="20"/>
  <c r="Q247" i="20"/>
  <c r="R247" i="20"/>
  <c r="S247" i="20"/>
  <c r="T247" i="20"/>
  <c r="U247" i="20"/>
  <c r="V247" i="20"/>
  <c r="I248" i="20"/>
  <c r="J248" i="20"/>
  <c r="K248" i="20"/>
  <c r="L248" i="20"/>
  <c r="M248" i="20"/>
  <c r="N248" i="20"/>
  <c r="O248" i="20"/>
  <c r="P248" i="20"/>
  <c r="Q248" i="20"/>
  <c r="R248" i="20"/>
  <c r="S248" i="20"/>
  <c r="T248" i="20"/>
  <c r="U248" i="20"/>
  <c r="V248" i="20"/>
  <c r="I249" i="20"/>
  <c r="J249" i="20"/>
  <c r="K249" i="20"/>
  <c r="L249" i="20"/>
  <c r="M249" i="20"/>
  <c r="N249" i="20"/>
  <c r="O249" i="20"/>
  <c r="P249" i="20"/>
  <c r="Q249" i="20"/>
  <c r="R249" i="20"/>
  <c r="S249" i="20"/>
  <c r="T249" i="20"/>
  <c r="U249" i="20"/>
  <c r="V249" i="20"/>
  <c r="I250" i="20"/>
  <c r="J250" i="20"/>
  <c r="K250" i="20"/>
  <c r="L250" i="20"/>
  <c r="M250" i="20"/>
  <c r="N250" i="20"/>
  <c r="O250" i="20"/>
  <c r="P250" i="20"/>
  <c r="Q250" i="20"/>
  <c r="R250" i="20"/>
  <c r="S250" i="20"/>
  <c r="T250" i="20"/>
  <c r="U250" i="20"/>
  <c r="V250" i="20"/>
  <c r="I251" i="20"/>
  <c r="J251" i="20"/>
  <c r="K251" i="20"/>
  <c r="L251" i="20"/>
  <c r="M251" i="20"/>
  <c r="N251" i="20"/>
  <c r="O251" i="20"/>
  <c r="P251" i="20"/>
  <c r="Q251" i="20"/>
  <c r="R251" i="20"/>
  <c r="S251" i="20"/>
  <c r="T251" i="20"/>
  <c r="U251" i="20"/>
  <c r="V251" i="20"/>
  <c r="I252" i="20"/>
  <c r="J252" i="20"/>
  <c r="K252" i="20"/>
  <c r="L252" i="20"/>
  <c r="M252" i="20"/>
  <c r="N252" i="20"/>
  <c r="O252" i="20"/>
  <c r="P252" i="20"/>
  <c r="Q252" i="20"/>
  <c r="R252" i="20"/>
  <c r="S252" i="20"/>
  <c r="T252" i="20"/>
  <c r="U252" i="20"/>
  <c r="V252" i="20"/>
  <c r="I253" i="20"/>
  <c r="J253" i="20"/>
  <c r="K253" i="20"/>
  <c r="L253" i="20"/>
  <c r="M253" i="20"/>
  <c r="N253" i="20"/>
  <c r="O253" i="20"/>
  <c r="P253" i="20"/>
  <c r="Q253" i="20"/>
  <c r="R253" i="20"/>
  <c r="S253" i="20"/>
  <c r="T253" i="20"/>
  <c r="U253" i="20"/>
  <c r="V253" i="20"/>
  <c r="I254" i="20"/>
  <c r="J254" i="20"/>
  <c r="K254" i="20"/>
  <c r="L254" i="20"/>
  <c r="M254" i="20"/>
  <c r="N254" i="20"/>
  <c r="O254" i="20"/>
  <c r="P254" i="20"/>
  <c r="Q254" i="20"/>
  <c r="R254" i="20"/>
  <c r="S254" i="20"/>
  <c r="T254" i="20"/>
  <c r="U254" i="20"/>
  <c r="V254" i="20"/>
  <c r="I255" i="20"/>
  <c r="J255" i="20"/>
  <c r="K255" i="20"/>
  <c r="L255" i="20"/>
  <c r="M255" i="20"/>
  <c r="N255" i="20"/>
  <c r="O255" i="20"/>
  <c r="P255" i="20"/>
  <c r="Q255" i="20"/>
  <c r="R255" i="20"/>
  <c r="S255" i="20"/>
  <c r="T255" i="20"/>
  <c r="U255" i="20"/>
  <c r="V255" i="20"/>
  <c r="I256" i="20"/>
  <c r="J256" i="20"/>
  <c r="K256" i="20"/>
  <c r="L256" i="20"/>
  <c r="M256" i="20"/>
  <c r="N256" i="20"/>
  <c r="O256" i="20"/>
  <c r="P256" i="20"/>
  <c r="Q256" i="20"/>
  <c r="R256" i="20"/>
  <c r="S256" i="20"/>
  <c r="T256" i="20"/>
  <c r="U256" i="20"/>
  <c r="V256" i="20"/>
  <c r="I257" i="20"/>
  <c r="J257" i="20"/>
  <c r="K257" i="20"/>
  <c r="L257" i="20"/>
  <c r="M257" i="20"/>
  <c r="N257" i="20"/>
  <c r="O257" i="20"/>
  <c r="P257" i="20"/>
  <c r="Q257" i="20"/>
  <c r="R257" i="20"/>
  <c r="S257" i="20"/>
  <c r="T257" i="20"/>
  <c r="U257" i="20"/>
  <c r="V257" i="20"/>
  <c r="I258" i="20"/>
  <c r="J258" i="20"/>
  <c r="K258" i="20"/>
  <c r="L258" i="20"/>
  <c r="M258" i="20"/>
  <c r="N258" i="20"/>
  <c r="O258" i="20"/>
  <c r="P258" i="20"/>
  <c r="Q258" i="20"/>
  <c r="R258" i="20"/>
  <c r="S258" i="20"/>
  <c r="T258" i="20"/>
  <c r="U258" i="20"/>
  <c r="V258" i="20"/>
  <c r="I259" i="20"/>
  <c r="J259" i="20"/>
  <c r="K259" i="20"/>
  <c r="L259" i="20"/>
  <c r="M259" i="20"/>
  <c r="N259" i="20"/>
  <c r="O259" i="20"/>
  <c r="P259" i="20"/>
  <c r="Q259" i="20"/>
  <c r="R259" i="20"/>
  <c r="S259" i="20"/>
  <c r="T259" i="20"/>
  <c r="U259" i="20"/>
  <c r="V259" i="20"/>
  <c r="I260" i="20"/>
  <c r="J260" i="20"/>
  <c r="K260" i="20"/>
  <c r="L260" i="20"/>
  <c r="M260" i="20"/>
  <c r="N260" i="20"/>
  <c r="O260" i="20"/>
  <c r="P260" i="20"/>
  <c r="Q260" i="20"/>
  <c r="R260" i="20"/>
  <c r="S260" i="20"/>
  <c r="T260" i="20"/>
  <c r="U260" i="20"/>
  <c r="V260" i="20"/>
  <c r="I261" i="20"/>
  <c r="J261" i="20"/>
  <c r="K261" i="20"/>
  <c r="L261" i="20"/>
  <c r="M261" i="20"/>
  <c r="N261" i="20"/>
  <c r="O261" i="20"/>
  <c r="P261" i="20"/>
  <c r="Q261" i="20"/>
  <c r="R261" i="20"/>
  <c r="S261" i="20"/>
  <c r="T261" i="20"/>
  <c r="U261" i="20"/>
  <c r="V261" i="20"/>
  <c r="I262" i="20"/>
  <c r="J262" i="20"/>
  <c r="K262" i="20"/>
  <c r="L262" i="20"/>
  <c r="M262" i="20"/>
  <c r="N262" i="20"/>
  <c r="O262" i="20"/>
  <c r="P262" i="20"/>
  <c r="Q262" i="20"/>
  <c r="R262" i="20"/>
  <c r="S262" i="20"/>
  <c r="T262" i="20"/>
  <c r="U262" i="20"/>
  <c r="V262" i="20"/>
  <c r="I263" i="20"/>
  <c r="J263" i="20"/>
  <c r="K263" i="20"/>
  <c r="L263" i="20"/>
  <c r="M263" i="20"/>
  <c r="N263" i="20"/>
  <c r="O263" i="20"/>
  <c r="P263" i="20"/>
  <c r="Q263" i="20"/>
  <c r="R263" i="20"/>
  <c r="S263" i="20"/>
  <c r="T263" i="20"/>
  <c r="U263" i="20"/>
  <c r="V263" i="20"/>
  <c r="I264" i="20"/>
  <c r="J264" i="20"/>
  <c r="K264" i="20"/>
  <c r="L264" i="20"/>
  <c r="M264" i="20"/>
  <c r="N264" i="20"/>
  <c r="O264" i="20"/>
  <c r="P264" i="20"/>
  <c r="Q264" i="20"/>
  <c r="R264" i="20"/>
  <c r="S264" i="20"/>
  <c r="T264" i="20"/>
  <c r="U264" i="20"/>
  <c r="V264" i="20"/>
  <c r="I265" i="20"/>
  <c r="J265" i="20"/>
  <c r="K265" i="20"/>
  <c r="L265" i="20"/>
  <c r="M265" i="20"/>
  <c r="N265" i="20"/>
  <c r="O265" i="20"/>
  <c r="P265" i="20"/>
  <c r="Q265" i="20"/>
  <c r="R265" i="20"/>
  <c r="S265" i="20"/>
  <c r="T265" i="20"/>
  <c r="U265" i="20"/>
  <c r="V265" i="20"/>
  <c r="I266" i="20"/>
  <c r="J266" i="20"/>
  <c r="K266" i="20"/>
  <c r="L266" i="20"/>
  <c r="M266" i="20"/>
  <c r="N266" i="20"/>
  <c r="O266" i="20"/>
  <c r="P266" i="20"/>
  <c r="Q266" i="20"/>
  <c r="R266" i="20"/>
  <c r="S266" i="20"/>
  <c r="T266" i="20"/>
  <c r="U266" i="20"/>
  <c r="V266" i="20"/>
  <c r="I267" i="20"/>
  <c r="J267" i="20"/>
  <c r="K267" i="20"/>
  <c r="L267" i="20"/>
  <c r="M267" i="20"/>
  <c r="N267" i="20"/>
  <c r="O267" i="20"/>
  <c r="P267" i="20"/>
  <c r="Q267" i="20"/>
  <c r="R267" i="20"/>
  <c r="S267" i="20"/>
  <c r="T267" i="20"/>
  <c r="U267" i="20"/>
  <c r="V267" i="20"/>
  <c r="I268" i="20"/>
  <c r="J268" i="20"/>
  <c r="K268" i="20"/>
  <c r="L268" i="20"/>
  <c r="M268" i="20"/>
  <c r="N268" i="20"/>
  <c r="O268" i="20"/>
  <c r="P268" i="20"/>
  <c r="Q268" i="20"/>
  <c r="R268" i="20"/>
  <c r="S268" i="20"/>
  <c r="T268" i="20"/>
  <c r="U268" i="20"/>
  <c r="V268" i="20"/>
  <c r="I269" i="20"/>
  <c r="J269" i="20"/>
  <c r="K269" i="20"/>
  <c r="L269" i="20"/>
  <c r="M269" i="20"/>
  <c r="N269" i="20"/>
  <c r="O269" i="20"/>
  <c r="P269" i="20"/>
  <c r="Q269" i="20"/>
  <c r="R269" i="20"/>
  <c r="S269" i="20"/>
  <c r="T269" i="20"/>
  <c r="U269" i="20"/>
  <c r="V269" i="20"/>
  <c r="I270" i="20"/>
  <c r="J270" i="20"/>
  <c r="K270" i="20"/>
  <c r="L270" i="20"/>
  <c r="M270" i="20"/>
  <c r="N270" i="20"/>
  <c r="O270" i="20"/>
  <c r="P270" i="20"/>
  <c r="Q270" i="20"/>
  <c r="R270" i="20"/>
  <c r="S270" i="20"/>
  <c r="T270" i="20"/>
  <c r="U270" i="20"/>
  <c r="V270" i="20"/>
  <c r="I271" i="20"/>
  <c r="J271" i="20"/>
  <c r="K271" i="20"/>
  <c r="L271" i="20"/>
  <c r="M271" i="20"/>
  <c r="N271" i="20"/>
  <c r="O271" i="20"/>
  <c r="P271" i="20"/>
  <c r="Q271" i="20"/>
  <c r="R271" i="20"/>
  <c r="S271" i="20"/>
  <c r="T271" i="20"/>
  <c r="U271" i="20"/>
  <c r="V271" i="20"/>
  <c r="I272" i="20"/>
  <c r="J272" i="20"/>
  <c r="K272" i="20"/>
  <c r="L272" i="20"/>
  <c r="M272" i="20"/>
  <c r="N272" i="20"/>
  <c r="O272" i="20"/>
  <c r="P272" i="20"/>
  <c r="Q272" i="20"/>
  <c r="R272" i="20"/>
  <c r="S272" i="20"/>
  <c r="T272" i="20"/>
  <c r="U272" i="20"/>
  <c r="V272" i="20"/>
  <c r="I273" i="20"/>
  <c r="J273" i="20"/>
  <c r="K273" i="20"/>
  <c r="L273" i="20"/>
  <c r="M273" i="20"/>
  <c r="N273" i="20"/>
  <c r="O273" i="20"/>
  <c r="P273" i="20"/>
  <c r="Q273" i="20"/>
  <c r="R273" i="20"/>
  <c r="S273" i="20"/>
  <c r="T273" i="20"/>
  <c r="U273" i="20"/>
  <c r="V273" i="20"/>
  <c r="I274" i="20"/>
  <c r="J274" i="20"/>
  <c r="K274" i="20"/>
  <c r="L274" i="20"/>
  <c r="M274" i="20"/>
  <c r="N274" i="20"/>
  <c r="O274" i="20"/>
  <c r="P274" i="20"/>
  <c r="Q274" i="20"/>
  <c r="R274" i="20"/>
  <c r="S274" i="20"/>
  <c r="T274" i="20"/>
  <c r="U274" i="20"/>
  <c r="V274" i="20"/>
  <c r="I275" i="20"/>
  <c r="J275" i="20"/>
  <c r="K275" i="20"/>
  <c r="L275" i="20"/>
  <c r="M275" i="20"/>
  <c r="N275" i="20"/>
  <c r="O275" i="20"/>
  <c r="P275" i="20"/>
  <c r="Q275" i="20"/>
  <c r="R275" i="20"/>
  <c r="S275" i="20"/>
  <c r="T275" i="20"/>
  <c r="U275" i="20"/>
  <c r="V275" i="20"/>
  <c r="I276" i="20"/>
  <c r="J276" i="20"/>
  <c r="K276" i="20"/>
  <c r="L276" i="20"/>
  <c r="M276" i="20"/>
  <c r="N276" i="20"/>
  <c r="O276" i="20"/>
  <c r="P276" i="20"/>
  <c r="Q276" i="20"/>
  <c r="R276" i="20"/>
  <c r="S276" i="20"/>
  <c r="T276" i="20"/>
  <c r="U276" i="20"/>
  <c r="V276" i="20"/>
  <c r="I277" i="20"/>
  <c r="J277" i="20"/>
  <c r="K277" i="20"/>
  <c r="L277" i="20"/>
  <c r="M277" i="20"/>
  <c r="N277" i="20"/>
  <c r="O277" i="20"/>
  <c r="P277" i="20"/>
  <c r="Q277" i="20"/>
  <c r="R277" i="20"/>
  <c r="S277" i="20"/>
  <c r="T277" i="20"/>
  <c r="U277" i="20"/>
  <c r="V277" i="20"/>
  <c r="I278" i="20"/>
  <c r="J278" i="20"/>
  <c r="K278" i="20"/>
  <c r="L278" i="20"/>
  <c r="M278" i="20"/>
  <c r="N278" i="20"/>
  <c r="O278" i="20"/>
  <c r="P278" i="20"/>
  <c r="Q278" i="20"/>
  <c r="R278" i="20"/>
  <c r="S278" i="20"/>
  <c r="T278" i="20"/>
  <c r="U278" i="20"/>
  <c r="V278" i="20"/>
  <c r="I279" i="20"/>
  <c r="J279" i="20"/>
  <c r="K279" i="20"/>
  <c r="L279" i="20"/>
  <c r="M279" i="20"/>
  <c r="N279" i="20"/>
  <c r="O279" i="20"/>
  <c r="P279" i="20"/>
  <c r="Q279" i="20"/>
  <c r="R279" i="20"/>
  <c r="S279" i="20"/>
  <c r="T279" i="20"/>
  <c r="U279" i="20"/>
  <c r="V279" i="20"/>
  <c r="I280" i="20"/>
  <c r="J280" i="20"/>
  <c r="K280" i="20"/>
  <c r="L280" i="20"/>
  <c r="M280" i="20"/>
  <c r="N280" i="20"/>
  <c r="O280" i="20"/>
  <c r="P280" i="20"/>
  <c r="Q280" i="20"/>
  <c r="R280" i="20"/>
  <c r="S280" i="20"/>
  <c r="T280" i="20"/>
  <c r="U280" i="20"/>
  <c r="V280" i="20"/>
  <c r="I281" i="20"/>
  <c r="J281" i="20"/>
  <c r="K281" i="20"/>
  <c r="L281" i="20"/>
  <c r="M281" i="20"/>
  <c r="N281" i="20"/>
  <c r="O281" i="20"/>
  <c r="P281" i="20"/>
  <c r="Q281" i="20"/>
  <c r="R281" i="20"/>
  <c r="S281" i="20"/>
  <c r="T281" i="20"/>
  <c r="U281" i="20"/>
  <c r="V281" i="20"/>
  <c r="I282" i="20"/>
  <c r="J282" i="20"/>
  <c r="K282" i="20"/>
  <c r="L282" i="20"/>
  <c r="M282" i="20"/>
  <c r="N282" i="20"/>
  <c r="O282" i="20"/>
  <c r="P282" i="20"/>
  <c r="Q282" i="20"/>
  <c r="R282" i="20"/>
  <c r="S282" i="20"/>
  <c r="T282" i="20"/>
  <c r="U282" i="20"/>
  <c r="V282" i="20"/>
  <c r="I283" i="20"/>
  <c r="J283" i="20"/>
  <c r="K283" i="20"/>
  <c r="L283" i="20"/>
  <c r="M283" i="20"/>
  <c r="N283" i="20"/>
  <c r="O283" i="20"/>
  <c r="P283" i="20"/>
  <c r="Q283" i="20"/>
  <c r="R283" i="20"/>
  <c r="S283" i="20"/>
  <c r="T283" i="20"/>
  <c r="U283" i="20"/>
  <c r="V283" i="20"/>
  <c r="I284" i="20"/>
  <c r="J284" i="20"/>
  <c r="K284" i="20"/>
  <c r="L284" i="20"/>
  <c r="M284" i="20"/>
  <c r="N284" i="20"/>
  <c r="O284" i="20"/>
  <c r="P284" i="20"/>
  <c r="Q284" i="20"/>
  <c r="R284" i="20"/>
  <c r="S284" i="20"/>
  <c r="T284" i="20"/>
  <c r="U284" i="20"/>
  <c r="V284" i="20"/>
  <c r="I285" i="20"/>
  <c r="J285" i="20"/>
  <c r="K285" i="20"/>
  <c r="L285" i="20"/>
  <c r="M285" i="20"/>
  <c r="N285" i="20"/>
  <c r="O285" i="20"/>
  <c r="P285" i="20"/>
  <c r="Q285" i="20"/>
  <c r="R285" i="20"/>
  <c r="S285" i="20"/>
  <c r="T285" i="20"/>
  <c r="U285" i="20"/>
  <c r="V285" i="20"/>
  <c r="I286" i="20"/>
  <c r="J286" i="20"/>
  <c r="K286" i="20"/>
  <c r="L286" i="20"/>
  <c r="M286" i="20"/>
  <c r="N286" i="20"/>
  <c r="O286" i="20"/>
  <c r="P286" i="20"/>
  <c r="Q286" i="20"/>
  <c r="R286" i="20"/>
  <c r="S286" i="20"/>
  <c r="T286" i="20"/>
  <c r="U286" i="20"/>
  <c r="V286" i="20"/>
  <c r="I287" i="20"/>
  <c r="J287" i="20"/>
  <c r="K287" i="20"/>
  <c r="L287" i="20"/>
  <c r="M287" i="20"/>
  <c r="N287" i="20"/>
  <c r="O287" i="20"/>
  <c r="P287" i="20"/>
  <c r="Q287" i="20"/>
  <c r="R287" i="20"/>
  <c r="S287" i="20"/>
  <c r="T287" i="20"/>
  <c r="U287" i="20"/>
  <c r="V287" i="20"/>
  <c r="I288" i="20"/>
  <c r="J288" i="20"/>
  <c r="K288" i="20"/>
  <c r="L288" i="20"/>
  <c r="M288" i="20"/>
  <c r="N288" i="20"/>
  <c r="O288" i="20"/>
  <c r="P288" i="20"/>
  <c r="Q288" i="20"/>
  <c r="R288" i="20"/>
  <c r="S288" i="20"/>
  <c r="T288" i="20"/>
  <c r="U288" i="20"/>
  <c r="V288" i="20"/>
  <c r="I289" i="20"/>
  <c r="J289" i="20"/>
  <c r="K289" i="20"/>
  <c r="L289" i="20"/>
  <c r="M289" i="20"/>
  <c r="N289" i="20"/>
  <c r="O289" i="20"/>
  <c r="P289" i="20"/>
  <c r="Q289" i="20"/>
  <c r="R289" i="20"/>
  <c r="S289" i="20"/>
  <c r="T289" i="20"/>
  <c r="U289" i="20"/>
  <c r="V289" i="20"/>
  <c r="I290" i="20"/>
  <c r="J290" i="20"/>
  <c r="K290" i="20"/>
  <c r="L290" i="20"/>
  <c r="M290" i="20"/>
  <c r="N290" i="20"/>
  <c r="O290" i="20"/>
  <c r="P290" i="20"/>
  <c r="Q290" i="20"/>
  <c r="R290" i="20"/>
  <c r="S290" i="20"/>
  <c r="T290" i="20"/>
  <c r="U290" i="20"/>
  <c r="V290" i="20"/>
  <c r="I291" i="20"/>
  <c r="J291" i="20"/>
  <c r="K291" i="20"/>
  <c r="L291" i="20"/>
  <c r="M291" i="20"/>
  <c r="N291" i="20"/>
  <c r="O291" i="20"/>
  <c r="P291" i="20"/>
  <c r="Q291" i="20"/>
  <c r="R291" i="20"/>
  <c r="S291" i="20"/>
  <c r="T291" i="20"/>
  <c r="U291" i="20"/>
  <c r="V291" i="20"/>
  <c r="I292" i="20"/>
  <c r="J292" i="20"/>
  <c r="K292" i="20"/>
  <c r="L292" i="20"/>
  <c r="M292" i="20"/>
  <c r="N292" i="20"/>
  <c r="O292" i="20"/>
  <c r="P292" i="20"/>
  <c r="Q292" i="20"/>
  <c r="R292" i="20"/>
  <c r="S292" i="20"/>
  <c r="T292" i="20"/>
  <c r="U292" i="20"/>
  <c r="V292" i="20"/>
  <c r="I293" i="20"/>
  <c r="J293" i="20"/>
  <c r="K293" i="20"/>
  <c r="L293" i="20"/>
  <c r="M293" i="20"/>
  <c r="N293" i="20"/>
  <c r="O293" i="20"/>
  <c r="P293" i="20"/>
  <c r="Q293" i="20"/>
  <c r="R293" i="20"/>
  <c r="S293" i="20"/>
  <c r="T293" i="20"/>
  <c r="U293" i="20"/>
  <c r="V293" i="20"/>
  <c r="I294" i="20"/>
  <c r="J294" i="20"/>
  <c r="K294" i="20"/>
  <c r="L294" i="20"/>
  <c r="M294" i="20"/>
  <c r="N294" i="20"/>
  <c r="O294" i="20"/>
  <c r="P294" i="20"/>
  <c r="Q294" i="20"/>
  <c r="R294" i="20"/>
  <c r="S294" i="20"/>
  <c r="T294" i="20"/>
  <c r="U294" i="20"/>
  <c r="V294" i="20"/>
  <c r="I295" i="20"/>
  <c r="J295" i="20"/>
  <c r="K295" i="20"/>
  <c r="L295" i="20"/>
  <c r="M295" i="20"/>
  <c r="N295" i="20"/>
  <c r="O295" i="20"/>
  <c r="P295" i="20"/>
  <c r="Q295" i="20"/>
  <c r="R295" i="20"/>
  <c r="S295" i="20"/>
  <c r="T295" i="20"/>
  <c r="U295" i="20"/>
  <c r="V295" i="20"/>
  <c r="I296" i="20"/>
  <c r="J296" i="20"/>
  <c r="K296" i="20"/>
  <c r="L296" i="20"/>
  <c r="M296" i="20"/>
  <c r="N296" i="20"/>
  <c r="O296" i="20"/>
  <c r="P296" i="20"/>
  <c r="Q296" i="20"/>
  <c r="R296" i="20"/>
  <c r="S296" i="20"/>
  <c r="T296" i="20"/>
  <c r="U296" i="20"/>
  <c r="V296" i="20"/>
  <c r="I297" i="20"/>
  <c r="J297" i="20"/>
  <c r="K297" i="20"/>
  <c r="L297" i="20"/>
  <c r="M297" i="20"/>
  <c r="N297" i="20"/>
  <c r="O297" i="20"/>
  <c r="P297" i="20"/>
  <c r="Q297" i="20"/>
  <c r="R297" i="20"/>
  <c r="S297" i="20"/>
  <c r="T297" i="20"/>
  <c r="U297" i="20"/>
  <c r="V297" i="20"/>
  <c r="I298" i="20"/>
  <c r="J298" i="20"/>
  <c r="K298" i="20"/>
  <c r="L298" i="20"/>
  <c r="M298" i="20"/>
  <c r="N298" i="20"/>
  <c r="O298" i="20"/>
  <c r="P298" i="20"/>
  <c r="Q298" i="20"/>
  <c r="R298" i="20"/>
  <c r="S298" i="20"/>
  <c r="T298" i="20"/>
  <c r="U298" i="20"/>
  <c r="V298" i="20"/>
  <c r="I299" i="20"/>
  <c r="J299" i="20"/>
  <c r="K299" i="20"/>
  <c r="L299" i="20"/>
  <c r="M299" i="20"/>
  <c r="N299" i="20"/>
  <c r="O299" i="20"/>
  <c r="P299" i="20"/>
  <c r="Q299" i="20"/>
  <c r="R299" i="20"/>
  <c r="S299" i="20"/>
  <c r="T299" i="20"/>
  <c r="U299" i="20"/>
  <c r="V299" i="20"/>
  <c r="I300" i="20"/>
  <c r="J300" i="20"/>
  <c r="K300" i="20"/>
  <c r="L300" i="20"/>
  <c r="M300" i="20"/>
  <c r="N300" i="20"/>
  <c r="O300" i="20"/>
  <c r="P300" i="20"/>
  <c r="Q300" i="20"/>
  <c r="R300" i="20"/>
  <c r="S300" i="20"/>
  <c r="T300" i="20"/>
  <c r="U300" i="20"/>
  <c r="V300" i="20"/>
  <c r="I301" i="20"/>
  <c r="J301" i="20"/>
  <c r="K301" i="20"/>
  <c r="L301" i="20"/>
  <c r="M301" i="20"/>
  <c r="N301" i="20"/>
  <c r="O301" i="20"/>
  <c r="P301" i="20"/>
  <c r="Q301" i="20"/>
  <c r="R301" i="20"/>
  <c r="S301" i="20"/>
  <c r="T301" i="20"/>
  <c r="U301" i="20"/>
  <c r="V301" i="20"/>
  <c r="I302" i="20"/>
  <c r="J302" i="20"/>
  <c r="K302" i="20"/>
  <c r="L302" i="20"/>
  <c r="M302" i="20"/>
  <c r="N302" i="20"/>
  <c r="O302" i="20"/>
  <c r="P302" i="20"/>
  <c r="Q302" i="20"/>
  <c r="R302" i="20"/>
  <c r="S302" i="20"/>
  <c r="T302" i="20"/>
  <c r="U302" i="20"/>
  <c r="V302" i="20"/>
  <c r="I303" i="20"/>
  <c r="J303" i="20"/>
  <c r="K303" i="20"/>
  <c r="L303" i="20"/>
  <c r="M303" i="20"/>
  <c r="N303" i="20"/>
  <c r="O303" i="20"/>
  <c r="P303" i="20"/>
  <c r="Q303" i="20"/>
  <c r="R303" i="20"/>
  <c r="S303" i="20"/>
  <c r="T303" i="20"/>
  <c r="U303" i="20"/>
  <c r="V303" i="20"/>
  <c r="I304" i="20"/>
  <c r="J304" i="20"/>
  <c r="K304" i="20"/>
  <c r="L304" i="20"/>
  <c r="M304" i="20"/>
  <c r="N304" i="20"/>
  <c r="O304" i="20"/>
  <c r="P304" i="20"/>
  <c r="Q304" i="20"/>
  <c r="R304" i="20"/>
  <c r="S304" i="20"/>
  <c r="T304" i="20"/>
  <c r="U304" i="20"/>
  <c r="V304" i="20"/>
  <c r="I305" i="20"/>
  <c r="J305" i="20"/>
  <c r="K305" i="20"/>
  <c r="L305" i="20"/>
  <c r="M305" i="20"/>
  <c r="N305" i="20"/>
  <c r="O305" i="20"/>
  <c r="P305" i="20"/>
  <c r="Q305" i="20"/>
  <c r="R305" i="20"/>
  <c r="S305" i="20"/>
  <c r="T305" i="20"/>
  <c r="U305" i="20"/>
  <c r="V305" i="20"/>
  <c r="I306" i="20"/>
  <c r="J306" i="20"/>
  <c r="K306" i="20"/>
  <c r="L306" i="20"/>
  <c r="M306" i="20"/>
  <c r="N306" i="20"/>
  <c r="O306" i="20"/>
  <c r="P306" i="20"/>
  <c r="Q306" i="20"/>
  <c r="R306" i="20"/>
  <c r="S306" i="20"/>
  <c r="T306" i="20"/>
  <c r="U306" i="20"/>
  <c r="V306" i="20"/>
  <c r="I307" i="20"/>
  <c r="J307" i="20"/>
  <c r="K307" i="20"/>
  <c r="L307" i="20"/>
  <c r="M307" i="20"/>
  <c r="N307" i="20"/>
  <c r="O307" i="20"/>
  <c r="P307" i="20"/>
  <c r="Q307" i="20"/>
  <c r="R307" i="20"/>
  <c r="S307" i="20"/>
  <c r="T307" i="20"/>
  <c r="U307" i="20"/>
  <c r="V307" i="20"/>
  <c r="I308" i="20"/>
  <c r="J308" i="20"/>
  <c r="K308" i="20"/>
  <c r="L308" i="20"/>
  <c r="M308" i="20"/>
  <c r="N308" i="20"/>
  <c r="O308" i="20"/>
  <c r="P308" i="20"/>
  <c r="Q308" i="20"/>
  <c r="R308" i="20"/>
  <c r="S308" i="20"/>
  <c r="T308" i="20"/>
  <c r="U308" i="20"/>
  <c r="V308" i="20"/>
  <c r="I309" i="20"/>
  <c r="J309" i="20"/>
  <c r="K309" i="20"/>
  <c r="L309" i="20"/>
  <c r="M309" i="20"/>
  <c r="N309" i="20"/>
  <c r="O309" i="20"/>
  <c r="P309" i="20"/>
  <c r="Q309" i="20"/>
  <c r="R309" i="20"/>
  <c r="S309" i="20"/>
  <c r="T309" i="20"/>
  <c r="U309" i="20"/>
  <c r="V309" i="20"/>
  <c r="I310" i="20"/>
  <c r="J310" i="20"/>
  <c r="K310" i="20"/>
  <c r="L310" i="20"/>
  <c r="M310" i="20"/>
  <c r="N310" i="20"/>
  <c r="O310" i="20"/>
  <c r="P310" i="20"/>
  <c r="Q310" i="20"/>
  <c r="R310" i="20"/>
  <c r="S310" i="20"/>
  <c r="T310" i="20"/>
  <c r="U310" i="20"/>
  <c r="V310" i="20"/>
  <c r="I311" i="20"/>
  <c r="J311" i="20"/>
  <c r="K311" i="20"/>
  <c r="L311" i="20"/>
  <c r="M311" i="20"/>
  <c r="N311" i="20"/>
  <c r="O311" i="20"/>
  <c r="P311" i="20"/>
  <c r="Q311" i="20"/>
  <c r="R311" i="20"/>
  <c r="S311" i="20"/>
  <c r="T311" i="20"/>
  <c r="U311" i="20"/>
  <c r="V311" i="20"/>
  <c r="I312" i="20"/>
  <c r="J312" i="20"/>
  <c r="K312" i="20"/>
  <c r="L312" i="20"/>
  <c r="M312" i="20"/>
  <c r="N312" i="20"/>
  <c r="O312" i="20"/>
  <c r="P312" i="20"/>
  <c r="Q312" i="20"/>
  <c r="R312" i="20"/>
  <c r="S312" i="20"/>
  <c r="T312" i="20"/>
  <c r="U312" i="20"/>
  <c r="V312" i="20"/>
  <c r="I313" i="20"/>
  <c r="J313" i="20"/>
  <c r="K313" i="20"/>
  <c r="L313" i="20"/>
  <c r="M313" i="20"/>
  <c r="N313" i="20"/>
  <c r="O313" i="20"/>
  <c r="P313" i="20"/>
  <c r="Q313" i="20"/>
  <c r="R313" i="20"/>
  <c r="S313" i="20"/>
  <c r="T313" i="20"/>
  <c r="U313" i="20"/>
  <c r="V313" i="20"/>
  <c r="I314" i="20"/>
  <c r="J314" i="20"/>
  <c r="K314" i="20"/>
  <c r="L314" i="20"/>
  <c r="M314" i="20"/>
  <c r="N314" i="20"/>
  <c r="O314" i="20"/>
  <c r="P314" i="20"/>
  <c r="Q314" i="20"/>
  <c r="R314" i="20"/>
  <c r="S314" i="20"/>
  <c r="T314" i="20"/>
  <c r="U314" i="20"/>
  <c r="V314" i="20"/>
  <c r="I315" i="20"/>
  <c r="J315" i="20"/>
  <c r="K315" i="20"/>
  <c r="L315" i="20"/>
  <c r="M315" i="20"/>
  <c r="N315" i="20"/>
  <c r="O315" i="20"/>
  <c r="P315" i="20"/>
  <c r="Q315" i="20"/>
  <c r="R315" i="20"/>
  <c r="S315" i="20"/>
  <c r="T315" i="20"/>
  <c r="U315" i="20"/>
  <c r="V315" i="20"/>
  <c r="I316" i="20"/>
  <c r="J316" i="20"/>
  <c r="K316" i="20"/>
  <c r="L316" i="20"/>
  <c r="M316" i="20"/>
  <c r="N316" i="20"/>
  <c r="O316" i="20"/>
  <c r="P316" i="20"/>
  <c r="Q316" i="20"/>
  <c r="R316" i="20"/>
  <c r="S316" i="20"/>
  <c r="T316" i="20"/>
  <c r="U316" i="20"/>
  <c r="V316" i="20"/>
  <c r="I317" i="20"/>
  <c r="J317" i="20"/>
  <c r="K317" i="20"/>
  <c r="L317" i="20"/>
  <c r="M317" i="20"/>
  <c r="N317" i="20"/>
  <c r="O317" i="20"/>
  <c r="P317" i="20"/>
  <c r="Q317" i="20"/>
  <c r="R317" i="20"/>
  <c r="S317" i="20"/>
  <c r="T317" i="20"/>
  <c r="U317" i="20"/>
  <c r="V317" i="20"/>
  <c r="I318" i="20"/>
  <c r="J318" i="20"/>
  <c r="K318" i="20"/>
  <c r="L318" i="20"/>
  <c r="M318" i="20"/>
  <c r="N318" i="20"/>
  <c r="O318" i="20"/>
  <c r="P318" i="20"/>
  <c r="Q318" i="20"/>
  <c r="R318" i="20"/>
  <c r="S318" i="20"/>
  <c r="T318" i="20"/>
  <c r="U318" i="20"/>
  <c r="V318" i="20"/>
  <c r="I319" i="20"/>
  <c r="J319" i="20"/>
  <c r="K319" i="20"/>
  <c r="L319" i="20"/>
  <c r="M319" i="20"/>
  <c r="N319" i="20"/>
  <c r="O319" i="20"/>
  <c r="P319" i="20"/>
  <c r="Q319" i="20"/>
  <c r="R319" i="20"/>
  <c r="S319" i="20"/>
  <c r="T319" i="20"/>
  <c r="U319" i="20"/>
  <c r="V319" i="20"/>
  <c r="I320" i="20"/>
  <c r="J320" i="20"/>
  <c r="K320" i="20"/>
  <c r="L320" i="20"/>
  <c r="M320" i="20"/>
  <c r="N320" i="20"/>
  <c r="O320" i="20"/>
  <c r="P320" i="20"/>
  <c r="Q320" i="20"/>
  <c r="R320" i="20"/>
  <c r="S320" i="20"/>
  <c r="T320" i="20"/>
  <c r="U320" i="20"/>
  <c r="V320" i="20"/>
  <c r="I321" i="20"/>
  <c r="J321" i="20"/>
  <c r="K321" i="20"/>
  <c r="L321" i="20"/>
  <c r="M321" i="20"/>
  <c r="N321" i="20"/>
  <c r="O321" i="20"/>
  <c r="P321" i="20"/>
  <c r="Q321" i="20"/>
  <c r="R321" i="20"/>
  <c r="S321" i="20"/>
  <c r="T321" i="20"/>
  <c r="U321" i="20"/>
  <c r="V321" i="20"/>
  <c r="I322" i="20"/>
  <c r="J322" i="20"/>
  <c r="K322" i="20"/>
  <c r="L322" i="20"/>
  <c r="M322" i="20"/>
  <c r="N322" i="20"/>
  <c r="O322" i="20"/>
  <c r="P322" i="20"/>
  <c r="Q322" i="20"/>
  <c r="R322" i="20"/>
  <c r="S322" i="20"/>
  <c r="T322" i="20"/>
  <c r="U322" i="20"/>
  <c r="V322" i="20"/>
  <c r="I323" i="20"/>
  <c r="J323" i="20"/>
  <c r="K323" i="20"/>
  <c r="L323" i="20"/>
  <c r="M323" i="20"/>
  <c r="N323" i="20"/>
  <c r="O323" i="20"/>
  <c r="P323" i="20"/>
  <c r="Q323" i="20"/>
  <c r="R323" i="20"/>
  <c r="S323" i="20"/>
  <c r="T323" i="20"/>
  <c r="U323" i="20"/>
  <c r="V323" i="20"/>
  <c r="I324" i="20"/>
  <c r="J324" i="20"/>
  <c r="K324" i="20"/>
  <c r="L324" i="20"/>
  <c r="M324" i="20"/>
  <c r="N324" i="20"/>
  <c r="O324" i="20"/>
  <c r="P324" i="20"/>
  <c r="Q324" i="20"/>
  <c r="R324" i="20"/>
  <c r="S324" i="20"/>
  <c r="T324" i="20"/>
  <c r="U324" i="20"/>
  <c r="V324" i="20"/>
  <c r="I325" i="20"/>
  <c r="J325" i="20"/>
  <c r="K325" i="20"/>
  <c r="L325" i="20"/>
  <c r="M325" i="20"/>
  <c r="N325" i="20"/>
  <c r="O325" i="20"/>
  <c r="P325" i="20"/>
  <c r="Q325" i="20"/>
  <c r="R325" i="20"/>
  <c r="S325" i="20"/>
  <c r="T325" i="20"/>
  <c r="U325" i="20"/>
  <c r="V325" i="20"/>
  <c r="I326" i="20"/>
  <c r="J326" i="20"/>
  <c r="K326" i="20"/>
  <c r="L326" i="20"/>
  <c r="M326" i="20"/>
  <c r="N326" i="20"/>
  <c r="O326" i="20"/>
  <c r="P326" i="20"/>
  <c r="Q326" i="20"/>
  <c r="R326" i="20"/>
  <c r="S326" i="20"/>
  <c r="T326" i="20"/>
  <c r="U326" i="20"/>
  <c r="V326" i="20"/>
  <c r="I327" i="20"/>
  <c r="J327" i="20"/>
  <c r="K327" i="20"/>
  <c r="L327" i="20"/>
  <c r="M327" i="20"/>
  <c r="N327" i="20"/>
  <c r="O327" i="20"/>
  <c r="P327" i="20"/>
  <c r="Q327" i="20"/>
  <c r="R327" i="20"/>
  <c r="S327" i="20"/>
  <c r="T327" i="20"/>
  <c r="U327" i="20"/>
  <c r="V327" i="20"/>
  <c r="I328" i="20"/>
  <c r="J328" i="20"/>
  <c r="K328" i="20"/>
  <c r="L328" i="20"/>
  <c r="M328" i="20"/>
  <c r="N328" i="20"/>
  <c r="O328" i="20"/>
  <c r="P328" i="20"/>
  <c r="Q328" i="20"/>
  <c r="R328" i="20"/>
  <c r="S328" i="20"/>
  <c r="T328" i="20"/>
  <c r="U328" i="20"/>
  <c r="V328" i="20"/>
  <c r="I329" i="20"/>
  <c r="J329" i="20"/>
  <c r="K329" i="20"/>
  <c r="L329" i="20"/>
  <c r="M329" i="20"/>
  <c r="N329" i="20"/>
  <c r="O329" i="20"/>
  <c r="P329" i="20"/>
  <c r="Q329" i="20"/>
  <c r="R329" i="20"/>
  <c r="S329" i="20"/>
  <c r="T329" i="20"/>
  <c r="U329" i="20"/>
  <c r="V329" i="20"/>
  <c r="I330" i="20"/>
  <c r="J330" i="20"/>
  <c r="K330" i="20"/>
  <c r="L330" i="20"/>
  <c r="M330" i="20"/>
  <c r="N330" i="20"/>
  <c r="O330" i="20"/>
  <c r="P330" i="20"/>
  <c r="Q330" i="20"/>
  <c r="R330" i="20"/>
  <c r="S330" i="20"/>
  <c r="T330" i="20"/>
  <c r="U330" i="20"/>
  <c r="V330" i="20"/>
  <c r="I331" i="20"/>
  <c r="J331" i="20"/>
  <c r="K331" i="20"/>
  <c r="L331" i="20"/>
  <c r="M331" i="20"/>
  <c r="N331" i="20"/>
  <c r="O331" i="20"/>
  <c r="P331" i="20"/>
  <c r="Q331" i="20"/>
  <c r="R331" i="20"/>
  <c r="S331" i="20"/>
  <c r="T331" i="20"/>
  <c r="U331" i="20"/>
  <c r="V331" i="20"/>
  <c r="I332" i="20"/>
  <c r="J332" i="20"/>
  <c r="K332" i="20"/>
  <c r="L332" i="20"/>
  <c r="M332" i="20"/>
  <c r="N332" i="20"/>
  <c r="O332" i="20"/>
  <c r="P332" i="20"/>
  <c r="Q332" i="20"/>
  <c r="R332" i="20"/>
  <c r="S332" i="20"/>
  <c r="T332" i="20"/>
  <c r="U332" i="20"/>
  <c r="V332" i="20"/>
  <c r="I333" i="20"/>
  <c r="J333" i="20"/>
  <c r="K333" i="20"/>
  <c r="L333" i="20"/>
  <c r="M333" i="20"/>
  <c r="N333" i="20"/>
  <c r="O333" i="20"/>
  <c r="P333" i="20"/>
  <c r="Q333" i="20"/>
  <c r="R333" i="20"/>
  <c r="S333" i="20"/>
  <c r="T333" i="20"/>
  <c r="U333" i="20"/>
  <c r="V333" i="20"/>
  <c r="I334" i="20"/>
  <c r="J334" i="20"/>
  <c r="K334" i="20"/>
  <c r="L334" i="20"/>
  <c r="M334" i="20"/>
  <c r="N334" i="20"/>
  <c r="O334" i="20"/>
  <c r="P334" i="20"/>
  <c r="Q334" i="20"/>
  <c r="R334" i="20"/>
  <c r="S334" i="20"/>
  <c r="T334" i="20"/>
  <c r="U334" i="20"/>
  <c r="V334" i="20"/>
  <c r="I335" i="20"/>
  <c r="J335" i="20"/>
  <c r="K335" i="20"/>
  <c r="L335" i="20"/>
  <c r="M335" i="20"/>
  <c r="N335" i="20"/>
  <c r="O335" i="20"/>
  <c r="P335" i="20"/>
  <c r="Q335" i="20"/>
  <c r="R335" i="20"/>
  <c r="S335" i="20"/>
  <c r="T335" i="20"/>
  <c r="U335" i="20"/>
  <c r="V335" i="20"/>
  <c r="I336" i="20"/>
  <c r="J336" i="20"/>
  <c r="K336" i="20"/>
  <c r="L336" i="20"/>
  <c r="M336" i="20"/>
  <c r="N336" i="20"/>
  <c r="O336" i="20"/>
  <c r="P336" i="20"/>
  <c r="Q336" i="20"/>
  <c r="R336" i="20"/>
  <c r="S336" i="20"/>
  <c r="T336" i="20"/>
  <c r="U336" i="20"/>
  <c r="V336" i="20"/>
  <c r="I337" i="20"/>
  <c r="J337" i="20"/>
  <c r="K337" i="20"/>
  <c r="L337" i="20"/>
  <c r="M337" i="20"/>
  <c r="N337" i="20"/>
  <c r="O337" i="20"/>
  <c r="P337" i="20"/>
  <c r="Q337" i="20"/>
  <c r="R337" i="20"/>
  <c r="S337" i="20"/>
  <c r="T337" i="20"/>
  <c r="U337" i="20"/>
  <c r="V337" i="20"/>
  <c r="I338" i="20"/>
  <c r="J338" i="20"/>
  <c r="K338" i="20"/>
  <c r="L338" i="20"/>
  <c r="M338" i="20"/>
  <c r="N338" i="20"/>
  <c r="O338" i="20"/>
  <c r="P338" i="20"/>
  <c r="Q338" i="20"/>
  <c r="R338" i="20"/>
  <c r="S338" i="20"/>
  <c r="T338" i="20"/>
  <c r="U338" i="20"/>
  <c r="V338" i="20"/>
  <c r="I339" i="20"/>
  <c r="J339" i="20"/>
  <c r="K339" i="20"/>
  <c r="L339" i="20"/>
  <c r="M339" i="20"/>
  <c r="N339" i="20"/>
  <c r="O339" i="20"/>
  <c r="P339" i="20"/>
  <c r="Q339" i="20"/>
  <c r="R339" i="20"/>
  <c r="S339" i="20"/>
  <c r="T339" i="20"/>
  <c r="U339" i="20"/>
  <c r="V339" i="20"/>
  <c r="I340" i="20"/>
  <c r="J340" i="20"/>
  <c r="K340" i="20"/>
  <c r="L340" i="20"/>
  <c r="M340" i="20"/>
  <c r="N340" i="20"/>
  <c r="O340" i="20"/>
  <c r="P340" i="20"/>
  <c r="Q340" i="20"/>
  <c r="R340" i="20"/>
  <c r="S340" i="20"/>
  <c r="T340" i="20"/>
  <c r="U340" i="20"/>
  <c r="V340" i="20"/>
  <c r="I341" i="20"/>
  <c r="J341" i="20"/>
  <c r="K341" i="20"/>
  <c r="L341" i="20"/>
  <c r="M341" i="20"/>
  <c r="N341" i="20"/>
  <c r="O341" i="20"/>
  <c r="P341" i="20"/>
  <c r="Q341" i="20"/>
  <c r="R341" i="20"/>
  <c r="S341" i="20"/>
  <c r="T341" i="20"/>
  <c r="U341" i="20"/>
  <c r="V341" i="20"/>
  <c r="I342" i="20"/>
  <c r="J342" i="20"/>
  <c r="K342" i="20"/>
  <c r="L342" i="20"/>
  <c r="M342" i="20"/>
  <c r="N342" i="20"/>
  <c r="O342" i="20"/>
  <c r="P342" i="20"/>
  <c r="Q342" i="20"/>
  <c r="R342" i="20"/>
  <c r="S342" i="20"/>
  <c r="T342" i="20"/>
  <c r="U342" i="20"/>
  <c r="V342" i="20"/>
  <c r="I343" i="20"/>
  <c r="J343" i="20"/>
  <c r="K343" i="20"/>
  <c r="L343" i="20"/>
  <c r="M343" i="20"/>
  <c r="N343" i="20"/>
  <c r="O343" i="20"/>
  <c r="P343" i="20"/>
  <c r="Q343" i="20"/>
  <c r="R343" i="20"/>
  <c r="S343" i="20"/>
  <c r="T343" i="20"/>
  <c r="U343" i="20"/>
  <c r="V343" i="20"/>
  <c r="I344" i="20"/>
  <c r="J344" i="20"/>
  <c r="K344" i="20"/>
  <c r="L344" i="20"/>
  <c r="M344" i="20"/>
  <c r="N344" i="20"/>
  <c r="O344" i="20"/>
  <c r="P344" i="20"/>
  <c r="Q344" i="20"/>
  <c r="R344" i="20"/>
  <c r="S344" i="20"/>
  <c r="T344" i="20"/>
  <c r="U344" i="20"/>
  <c r="V344" i="20"/>
  <c r="I345" i="20"/>
  <c r="J345" i="20"/>
  <c r="K345" i="20"/>
  <c r="L345" i="20"/>
  <c r="M345" i="20"/>
  <c r="N345" i="20"/>
  <c r="O345" i="20"/>
  <c r="P345" i="20"/>
  <c r="Q345" i="20"/>
  <c r="R345" i="20"/>
  <c r="S345" i="20"/>
  <c r="T345" i="20"/>
  <c r="U345" i="20"/>
  <c r="V345" i="20"/>
  <c r="I346" i="20"/>
  <c r="J346" i="20"/>
  <c r="K346" i="20"/>
  <c r="L346" i="20"/>
  <c r="M346" i="20"/>
  <c r="N346" i="20"/>
  <c r="O346" i="20"/>
  <c r="P346" i="20"/>
  <c r="Q346" i="20"/>
  <c r="R346" i="20"/>
  <c r="S346" i="20"/>
  <c r="T346" i="20"/>
  <c r="U346" i="20"/>
  <c r="V346" i="20"/>
  <c r="I347" i="20"/>
  <c r="J347" i="20"/>
  <c r="K347" i="20"/>
  <c r="L347" i="20"/>
  <c r="M347" i="20"/>
  <c r="N347" i="20"/>
  <c r="O347" i="20"/>
  <c r="P347" i="20"/>
  <c r="Q347" i="20"/>
  <c r="R347" i="20"/>
  <c r="S347" i="20"/>
  <c r="T347" i="20"/>
  <c r="U347" i="20"/>
  <c r="V347" i="20"/>
  <c r="I348" i="20"/>
  <c r="J348" i="20"/>
  <c r="K348" i="20"/>
  <c r="L348" i="20"/>
  <c r="M348" i="20"/>
  <c r="N348" i="20"/>
  <c r="O348" i="20"/>
  <c r="P348" i="20"/>
  <c r="Q348" i="20"/>
  <c r="R348" i="20"/>
  <c r="S348" i="20"/>
  <c r="T348" i="20"/>
  <c r="U348" i="20"/>
  <c r="V348" i="20"/>
  <c r="I349" i="20"/>
  <c r="J349" i="20"/>
  <c r="K349" i="20"/>
  <c r="L349" i="20"/>
  <c r="M349" i="20"/>
  <c r="N349" i="20"/>
  <c r="O349" i="20"/>
  <c r="P349" i="20"/>
  <c r="Q349" i="20"/>
  <c r="R349" i="20"/>
  <c r="S349" i="20"/>
  <c r="T349" i="20"/>
  <c r="U349" i="20"/>
  <c r="V349" i="20"/>
  <c r="I350" i="20"/>
  <c r="J350" i="20"/>
  <c r="K350" i="20"/>
  <c r="L350" i="20"/>
  <c r="M350" i="20"/>
  <c r="N350" i="20"/>
  <c r="O350" i="20"/>
  <c r="P350" i="20"/>
  <c r="Q350" i="20"/>
  <c r="R350" i="20"/>
  <c r="S350" i="20"/>
  <c r="T350" i="20"/>
  <c r="U350" i="20"/>
  <c r="V350" i="20"/>
  <c r="I351" i="20"/>
  <c r="J351" i="20"/>
  <c r="K351" i="20"/>
  <c r="L351" i="20"/>
  <c r="M351" i="20"/>
  <c r="N351" i="20"/>
  <c r="O351" i="20"/>
  <c r="P351" i="20"/>
  <c r="Q351" i="20"/>
  <c r="R351" i="20"/>
  <c r="S351" i="20"/>
  <c r="T351" i="20"/>
  <c r="U351" i="20"/>
  <c r="V351" i="20"/>
  <c r="I352" i="20"/>
  <c r="J352" i="20"/>
  <c r="K352" i="20"/>
  <c r="L352" i="20"/>
  <c r="M352" i="20"/>
  <c r="N352" i="20"/>
  <c r="O352" i="20"/>
  <c r="P352" i="20"/>
  <c r="Q352" i="20"/>
  <c r="R352" i="20"/>
  <c r="S352" i="20"/>
  <c r="T352" i="20"/>
  <c r="U352" i="20"/>
  <c r="V352" i="20"/>
  <c r="I353" i="20"/>
  <c r="J353" i="20"/>
  <c r="K353" i="20"/>
  <c r="L353" i="20"/>
  <c r="M353" i="20"/>
  <c r="N353" i="20"/>
  <c r="O353" i="20"/>
  <c r="P353" i="20"/>
  <c r="Q353" i="20"/>
  <c r="R353" i="20"/>
  <c r="S353" i="20"/>
  <c r="T353" i="20"/>
  <c r="U353" i="20"/>
  <c r="V353" i="20"/>
  <c r="I354" i="20"/>
  <c r="J354" i="20"/>
  <c r="K354" i="20"/>
  <c r="L354" i="20"/>
  <c r="M354" i="20"/>
  <c r="N354" i="20"/>
  <c r="O354" i="20"/>
  <c r="P354" i="20"/>
  <c r="Q354" i="20"/>
  <c r="R354" i="20"/>
  <c r="S354" i="20"/>
  <c r="T354" i="20"/>
  <c r="U354" i="20"/>
  <c r="V354" i="20"/>
  <c r="I355" i="20"/>
  <c r="J355" i="20"/>
  <c r="K355" i="20"/>
  <c r="L355" i="20"/>
  <c r="M355" i="20"/>
  <c r="N355" i="20"/>
  <c r="O355" i="20"/>
  <c r="P355" i="20"/>
  <c r="Q355" i="20"/>
  <c r="R355" i="20"/>
  <c r="S355" i="20"/>
  <c r="T355" i="20"/>
  <c r="U355" i="20"/>
  <c r="V355" i="20"/>
  <c r="I356" i="20"/>
  <c r="J356" i="20"/>
  <c r="K356" i="20"/>
  <c r="L356" i="20"/>
  <c r="M356" i="20"/>
  <c r="N356" i="20"/>
  <c r="O356" i="20"/>
  <c r="P356" i="20"/>
  <c r="Q356" i="20"/>
  <c r="R356" i="20"/>
  <c r="S356" i="20"/>
  <c r="T356" i="20"/>
  <c r="U356" i="20"/>
  <c r="V356" i="20"/>
  <c r="I357" i="20"/>
  <c r="J357" i="20"/>
  <c r="K357" i="20"/>
  <c r="L357" i="20"/>
  <c r="M357" i="20"/>
  <c r="N357" i="20"/>
  <c r="O357" i="20"/>
  <c r="P357" i="20"/>
  <c r="Q357" i="20"/>
  <c r="R357" i="20"/>
  <c r="S357" i="20"/>
  <c r="T357" i="20"/>
  <c r="U357" i="20"/>
  <c r="V357" i="20"/>
  <c r="I358" i="20"/>
  <c r="J358" i="20"/>
  <c r="K358" i="20"/>
  <c r="L358" i="20"/>
  <c r="M358" i="20"/>
  <c r="N358" i="20"/>
  <c r="O358" i="20"/>
  <c r="P358" i="20"/>
  <c r="Q358" i="20"/>
  <c r="R358" i="20"/>
  <c r="S358" i="20"/>
  <c r="T358" i="20"/>
  <c r="U358" i="20"/>
  <c r="V358" i="20"/>
  <c r="I359" i="20"/>
  <c r="J359" i="20"/>
  <c r="K359" i="20"/>
  <c r="L359" i="20"/>
  <c r="M359" i="20"/>
  <c r="N359" i="20"/>
  <c r="O359" i="20"/>
  <c r="P359" i="20"/>
  <c r="Q359" i="20"/>
  <c r="R359" i="20"/>
  <c r="S359" i="20"/>
  <c r="T359" i="20"/>
  <c r="U359" i="20"/>
  <c r="V359" i="20"/>
  <c r="I360" i="20"/>
  <c r="J360" i="20"/>
  <c r="K360" i="20"/>
  <c r="L360" i="20"/>
  <c r="M360" i="20"/>
  <c r="N360" i="20"/>
  <c r="O360" i="20"/>
  <c r="P360" i="20"/>
  <c r="Q360" i="20"/>
  <c r="R360" i="20"/>
  <c r="S360" i="20"/>
  <c r="T360" i="20"/>
  <c r="U360" i="20"/>
  <c r="V360" i="20"/>
  <c r="I361" i="20"/>
  <c r="J361" i="20"/>
  <c r="K361" i="20"/>
  <c r="L361" i="20"/>
  <c r="M361" i="20"/>
  <c r="N361" i="20"/>
  <c r="O361" i="20"/>
  <c r="P361" i="20"/>
  <c r="Q361" i="20"/>
  <c r="R361" i="20"/>
  <c r="S361" i="20"/>
  <c r="T361" i="20"/>
  <c r="U361" i="20"/>
  <c r="V361" i="20"/>
  <c r="I362" i="20"/>
  <c r="J362" i="20"/>
  <c r="K362" i="20"/>
  <c r="L362" i="20"/>
  <c r="M362" i="20"/>
  <c r="N362" i="20"/>
  <c r="O362" i="20"/>
  <c r="P362" i="20"/>
  <c r="Q362" i="20"/>
  <c r="R362" i="20"/>
  <c r="S362" i="20"/>
  <c r="T362" i="20"/>
  <c r="U362" i="20"/>
  <c r="V362" i="20"/>
  <c r="I363" i="20"/>
  <c r="J363" i="20"/>
  <c r="K363" i="20"/>
  <c r="L363" i="20"/>
  <c r="M363" i="20"/>
  <c r="N363" i="20"/>
  <c r="O363" i="20"/>
  <c r="P363" i="20"/>
  <c r="Q363" i="20"/>
  <c r="R363" i="20"/>
  <c r="S363" i="20"/>
  <c r="T363" i="20"/>
  <c r="U363" i="20"/>
  <c r="V363" i="20"/>
  <c r="I364" i="20"/>
  <c r="J364" i="20"/>
  <c r="K364" i="20"/>
  <c r="L364" i="20"/>
  <c r="M364" i="20"/>
  <c r="N364" i="20"/>
  <c r="O364" i="20"/>
  <c r="P364" i="20"/>
  <c r="Q364" i="20"/>
  <c r="R364" i="20"/>
  <c r="S364" i="20"/>
  <c r="T364" i="20"/>
  <c r="U364" i="20"/>
  <c r="V364" i="20"/>
  <c r="I365" i="20"/>
  <c r="J365" i="20"/>
  <c r="K365" i="20"/>
  <c r="L365" i="20"/>
  <c r="M365" i="20"/>
  <c r="N365" i="20"/>
  <c r="O365" i="20"/>
  <c r="P365" i="20"/>
  <c r="Q365" i="20"/>
  <c r="R365" i="20"/>
  <c r="S365" i="20"/>
  <c r="T365" i="20"/>
  <c r="U365" i="20"/>
  <c r="V365" i="20"/>
  <c r="I366" i="20"/>
  <c r="J366" i="20"/>
  <c r="K366" i="20"/>
  <c r="L366" i="20"/>
  <c r="M366" i="20"/>
  <c r="N366" i="20"/>
  <c r="O366" i="20"/>
  <c r="P366" i="20"/>
  <c r="Q366" i="20"/>
  <c r="R366" i="20"/>
  <c r="S366" i="20"/>
  <c r="T366" i="20"/>
  <c r="U366" i="20"/>
  <c r="V366" i="20"/>
  <c r="I367" i="20"/>
  <c r="J367" i="20"/>
  <c r="K367" i="20"/>
  <c r="L367" i="20"/>
  <c r="M367" i="20"/>
  <c r="N367" i="20"/>
  <c r="O367" i="20"/>
  <c r="P367" i="20"/>
  <c r="Q367" i="20"/>
  <c r="R367" i="20"/>
  <c r="S367" i="20"/>
  <c r="T367" i="20"/>
  <c r="U367" i="20"/>
  <c r="V367" i="20"/>
  <c r="I368" i="20"/>
  <c r="J368" i="20"/>
  <c r="K368" i="20"/>
  <c r="L368" i="20"/>
  <c r="M368" i="20"/>
  <c r="N368" i="20"/>
  <c r="O368" i="20"/>
  <c r="P368" i="20"/>
  <c r="Q368" i="20"/>
  <c r="R368" i="20"/>
  <c r="S368" i="20"/>
  <c r="T368" i="20"/>
  <c r="U368" i="20"/>
  <c r="V368" i="20"/>
  <c r="I369" i="20"/>
  <c r="J369" i="20"/>
  <c r="K369" i="20"/>
  <c r="L369" i="20"/>
  <c r="M369" i="20"/>
  <c r="N369" i="20"/>
  <c r="O369" i="20"/>
  <c r="P369" i="20"/>
  <c r="Q369" i="20"/>
  <c r="R369" i="20"/>
  <c r="S369" i="20"/>
  <c r="T369" i="20"/>
  <c r="U369" i="20"/>
  <c r="V369" i="20"/>
  <c r="I370" i="20"/>
  <c r="J370" i="20"/>
  <c r="K370" i="20"/>
  <c r="L370" i="20"/>
  <c r="M370" i="20"/>
  <c r="N370" i="20"/>
  <c r="O370" i="20"/>
  <c r="P370" i="20"/>
  <c r="Q370" i="20"/>
  <c r="R370" i="20"/>
  <c r="S370" i="20"/>
  <c r="T370" i="20"/>
  <c r="U370" i="20"/>
  <c r="V370" i="20"/>
  <c r="I371" i="20"/>
  <c r="J371" i="20"/>
  <c r="K371" i="20"/>
  <c r="L371" i="20"/>
  <c r="M371" i="20"/>
  <c r="N371" i="20"/>
  <c r="O371" i="20"/>
  <c r="P371" i="20"/>
  <c r="Q371" i="20"/>
  <c r="R371" i="20"/>
  <c r="S371" i="20"/>
  <c r="T371" i="20"/>
  <c r="U371" i="20"/>
  <c r="V371" i="20"/>
  <c r="I372" i="20"/>
  <c r="J372" i="20"/>
  <c r="K372" i="20"/>
  <c r="L372" i="20"/>
  <c r="M372" i="20"/>
  <c r="N372" i="20"/>
  <c r="O372" i="20"/>
  <c r="P372" i="20"/>
  <c r="Q372" i="20"/>
  <c r="R372" i="20"/>
  <c r="S372" i="20"/>
  <c r="T372" i="20"/>
  <c r="U372" i="20"/>
  <c r="V372" i="20"/>
  <c r="I373" i="20"/>
  <c r="J373" i="20"/>
  <c r="K373" i="20"/>
  <c r="L373" i="20"/>
  <c r="M373" i="20"/>
  <c r="N373" i="20"/>
  <c r="O373" i="20"/>
  <c r="P373" i="20"/>
  <c r="Q373" i="20"/>
  <c r="R373" i="20"/>
  <c r="S373" i="20"/>
  <c r="T373" i="20"/>
  <c r="U373" i="20"/>
  <c r="V373" i="20"/>
  <c r="I374" i="20"/>
  <c r="J374" i="20"/>
  <c r="K374" i="20"/>
  <c r="L374" i="20"/>
  <c r="M374" i="20"/>
  <c r="N374" i="20"/>
  <c r="O374" i="20"/>
  <c r="P374" i="20"/>
  <c r="Q374" i="20"/>
  <c r="R374" i="20"/>
  <c r="S374" i="20"/>
  <c r="T374" i="20"/>
  <c r="U374" i="20"/>
  <c r="V374" i="20"/>
  <c r="I375" i="20"/>
  <c r="J375" i="20"/>
  <c r="K375" i="20"/>
  <c r="L375" i="20"/>
  <c r="M375" i="20"/>
  <c r="N375" i="20"/>
  <c r="O375" i="20"/>
  <c r="P375" i="20"/>
  <c r="Q375" i="20"/>
  <c r="R375" i="20"/>
  <c r="S375" i="20"/>
  <c r="T375" i="20"/>
  <c r="U375" i="20"/>
  <c r="V375" i="20"/>
  <c r="I376" i="20"/>
  <c r="J376" i="20"/>
  <c r="K376" i="20"/>
  <c r="L376" i="20"/>
  <c r="M376" i="20"/>
  <c r="N376" i="20"/>
  <c r="O376" i="20"/>
  <c r="P376" i="20"/>
  <c r="Q376" i="20"/>
  <c r="R376" i="20"/>
  <c r="S376" i="20"/>
  <c r="T376" i="20"/>
  <c r="U376" i="20"/>
  <c r="V376" i="20"/>
  <c r="I377" i="20"/>
  <c r="J377" i="20"/>
  <c r="K377" i="20"/>
  <c r="L377" i="20"/>
  <c r="M377" i="20"/>
  <c r="N377" i="20"/>
  <c r="O377" i="20"/>
  <c r="P377" i="20"/>
  <c r="Q377" i="20"/>
  <c r="R377" i="20"/>
  <c r="S377" i="20"/>
  <c r="T377" i="20"/>
  <c r="U377" i="20"/>
  <c r="V377" i="20"/>
  <c r="I378" i="20"/>
  <c r="J378" i="20"/>
  <c r="K378" i="20"/>
  <c r="L378" i="20"/>
  <c r="M378" i="20"/>
  <c r="N378" i="20"/>
  <c r="O378" i="20"/>
  <c r="P378" i="20"/>
  <c r="Q378" i="20"/>
  <c r="R378" i="20"/>
  <c r="S378" i="20"/>
  <c r="T378" i="20"/>
  <c r="U378" i="20"/>
  <c r="V378" i="20"/>
  <c r="I379" i="20"/>
  <c r="J379" i="20"/>
  <c r="K379" i="20"/>
  <c r="L379" i="20"/>
  <c r="M379" i="20"/>
  <c r="N379" i="20"/>
  <c r="O379" i="20"/>
  <c r="P379" i="20"/>
  <c r="Q379" i="20"/>
  <c r="R379" i="20"/>
  <c r="S379" i="20"/>
  <c r="T379" i="20"/>
  <c r="U379" i="20"/>
  <c r="V379" i="20"/>
  <c r="I380" i="20"/>
  <c r="J380" i="20"/>
  <c r="K380" i="20"/>
  <c r="L380" i="20"/>
  <c r="M380" i="20"/>
  <c r="N380" i="20"/>
  <c r="O380" i="20"/>
  <c r="P380" i="20"/>
  <c r="Q380" i="20"/>
  <c r="R380" i="20"/>
  <c r="S380" i="20"/>
  <c r="T380" i="20"/>
  <c r="U380" i="20"/>
  <c r="V380" i="20"/>
  <c r="I381" i="20"/>
  <c r="J381" i="20"/>
  <c r="K381" i="20"/>
  <c r="L381" i="20"/>
  <c r="M381" i="20"/>
  <c r="N381" i="20"/>
  <c r="O381" i="20"/>
  <c r="P381" i="20"/>
  <c r="Q381" i="20"/>
  <c r="R381" i="20"/>
  <c r="S381" i="20"/>
  <c r="T381" i="20"/>
  <c r="U381" i="20"/>
  <c r="V381" i="20"/>
  <c r="I382" i="20"/>
  <c r="J382" i="20"/>
  <c r="K382" i="20"/>
  <c r="L382" i="20"/>
  <c r="M382" i="20"/>
  <c r="N382" i="20"/>
  <c r="O382" i="20"/>
  <c r="P382" i="20"/>
  <c r="Q382" i="20"/>
  <c r="R382" i="20"/>
  <c r="S382" i="20"/>
  <c r="T382" i="20"/>
  <c r="U382" i="20"/>
  <c r="V382" i="20"/>
  <c r="I383" i="20"/>
  <c r="J383" i="20"/>
  <c r="K383" i="20"/>
  <c r="L383" i="20"/>
  <c r="M383" i="20"/>
  <c r="N383" i="20"/>
  <c r="O383" i="20"/>
  <c r="P383" i="20"/>
  <c r="Q383" i="20"/>
  <c r="R383" i="20"/>
  <c r="S383" i="20"/>
  <c r="T383" i="20"/>
  <c r="U383" i="20"/>
  <c r="V383" i="20"/>
  <c r="I384" i="20"/>
  <c r="J384" i="20"/>
  <c r="K384" i="20"/>
  <c r="L384" i="20"/>
  <c r="M384" i="20"/>
  <c r="N384" i="20"/>
  <c r="O384" i="20"/>
  <c r="P384" i="20"/>
  <c r="Q384" i="20"/>
  <c r="R384" i="20"/>
  <c r="S384" i="20"/>
  <c r="T384" i="20"/>
  <c r="U384" i="20"/>
  <c r="V384" i="20"/>
  <c r="I385" i="20"/>
  <c r="J385" i="20"/>
  <c r="K385" i="20"/>
  <c r="L385" i="20"/>
  <c r="M385" i="20"/>
  <c r="N385" i="20"/>
  <c r="O385" i="20"/>
  <c r="P385" i="20"/>
  <c r="Q385" i="20"/>
  <c r="R385" i="20"/>
  <c r="S385" i="20"/>
  <c r="T385" i="20"/>
  <c r="U385" i="20"/>
  <c r="V385" i="20"/>
  <c r="I386" i="20"/>
  <c r="J386" i="20"/>
  <c r="K386" i="20"/>
  <c r="L386" i="20"/>
  <c r="M386" i="20"/>
  <c r="N386" i="20"/>
  <c r="O386" i="20"/>
  <c r="P386" i="20"/>
  <c r="Q386" i="20"/>
  <c r="R386" i="20"/>
  <c r="S386" i="20"/>
  <c r="T386" i="20"/>
  <c r="U386" i="20"/>
  <c r="V386" i="20"/>
  <c r="I387" i="20"/>
  <c r="J387" i="20"/>
  <c r="K387" i="20"/>
  <c r="L387" i="20"/>
  <c r="M387" i="20"/>
  <c r="N387" i="20"/>
  <c r="O387" i="20"/>
  <c r="P387" i="20"/>
  <c r="Q387" i="20"/>
  <c r="R387" i="20"/>
  <c r="S387" i="20"/>
  <c r="T387" i="20"/>
  <c r="U387" i="20"/>
  <c r="V387" i="20"/>
  <c r="I388" i="20"/>
  <c r="J388" i="20"/>
  <c r="K388" i="20"/>
  <c r="L388" i="20"/>
  <c r="M388" i="20"/>
  <c r="N388" i="20"/>
  <c r="O388" i="20"/>
  <c r="P388" i="20"/>
  <c r="Q388" i="20"/>
  <c r="R388" i="20"/>
  <c r="S388" i="20"/>
  <c r="T388" i="20"/>
  <c r="U388" i="20"/>
  <c r="V388" i="20"/>
  <c r="I389" i="20"/>
  <c r="J389" i="20"/>
  <c r="K389" i="20"/>
  <c r="L389" i="20"/>
  <c r="M389" i="20"/>
  <c r="N389" i="20"/>
  <c r="O389" i="20"/>
  <c r="P389" i="20"/>
  <c r="Q389" i="20"/>
  <c r="R389" i="20"/>
  <c r="S389" i="20"/>
  <c r="T389" i="20"/>
  <c r="U389" i="20"/>
  <c r="V389" i="20"/>
  <c r="I390" i="20"/>
  <c r="J390" i="20"/>
  <c r="K390" i="20"/>
  <c r="L390" i="20"/>
  <c r="M390" i="20"/>
  <c r="N390" i="20"/>
  <c r="O390" i="20"/>
  <c r="P390" i="20"/>
  <c r="Q390" i="20"/>
  <c r="R390" i="20"/>
  <c r="S390" i="20"/>
  <c r="T390" i="20"/>
  <c r="U390" i="20"/>
  <c r="V390" i="20"/>
  <c r="I391" i="20"/>
  <c r="J391" i="20"/>
  <c r="K391" i="20"/>
  <c r="L391" i="20"/>
  <c r="M391" i="20"/>
  <c r="N391" i="20"/>
  <c r="O391" i="20"/>
  <c r="P391" i="20"/>
  <c r="Q391" i="20"/>
  <c r="R391" i="20"/>
  <c r="S391" i="20"/>
  <c r="T391" i="20"/>
  <c r="U391" i="20"/>
  <c r="V391" i="20"/>
  <c r="I392" i="20"/>
  <c r="J392" i="20"/>
  <c r="K392" i="20"/>
  <c r="L392" i="20"/>
  <c r="M392" i="20"/>
  <c r="N392" i="20"/>
  <c r="O392" i="20"/>
  <c r="P392" i="20"/>
  <c r="Q392" i="20"/>
  <c r="R392" i="20"/>
  <c r="S392" i="20"/>
  <c r="T392" i="20"/>
  <c r="U392" i="20"/>
  <c r="V392" i="20"/>
  <c r="I393" i="20"/>
  <c r="J393" i="20"/>
  <c r="K393" i="20"/>
  <c r="L393" i="20"/>
  <c r="M393" i="20"/>
  <c r="N393" i="20"/>
  <c r="O393" i="20"/>
  <c r="P393" i="20"/>
  <c r="Q393" i="20"/>
  <c r="R393" i="20"/>
  <c r="S393" i="20"/>
  <c r="T393" i="20"/>
  <c r="U393" i="20"/>
  <c r="V393" i="20"/>
  <c r="I394" i="20"/>
  <c r="J394" i="20"/>
  <c r="K394" i="20"/>
  <c r="L394" i="20"/>
  <c r="M394" i="20"/>
  <c r="N394" i="20"/>
  <c r="O394" i="20"/>
  <c r="P394" i="20"/>
  <c r="Q394" i="20"/>
  <c r="R394" i="20"/>
  <c r="S394" i="20"/>
  <c r="T394" i="20"/>
  <c r="U394" i="20"/>
  <c r="V394" i="20"/>
  <c r="I395" i="20"/>
  <c r="J395" i="20"/>
  <c r="K395" i="20"/>
  <c r="L395" i="20"/>
  <c r="M395" i="20"/>
  <c r="N395" i="20"/>
  <c r="O395" i="20"/>
  <c r="P395" i="20"/>
  <c r="Q395" i="20"/>
  <c r="R395" i="20"/>
  <c r="S395" i="20"/>
  <c r="T395" i="20"/>
  <c r="U395" i="20"/>
  <c r="V395" i="20"/>
  <c r="I396" i="20"/>
  <c r="J396" i="20"/>
  <c r="K396" i="20"/>
  <c r="L396" i="20"/>
  <c r="M396" i="20"/>
  <c r="N396" i="20"/>
  <c r="O396" i="20"/>
  <c r="P396" i="20"/>
  <c r="Q396" i="20"/>
  <c r="R396" i="20"/>
  <c r="S396" i="20"/>
  <c r="T396" i="20"/>
  <c r="U396" i="20"/>
  <c r="V396" i="20"/>
  <c r="I397" i="20"/>
  <c r="J397" i="20"/>
  <c r="K397" i="20"/>
  <c r="L397" i="20"/>
  <c r="M397" i="20"/>
  <c r="N397" i="20"/>
  <c r="O397" i="20"/>
  <c r="P397" i="20"/>
  <c r="Q397" i="20"/>
  <c r="R397" i="20"/>
  <c r="S397" i="20"/>
  <c r="T397" i="20"/>
  <c r="U397" i="20"/>
  <c r="V397" i="20"/>
  <c r="I398" i="20"/>
  <c r="J398" i="20"/>
  <c r="K398" i="20"/>
  <c r="L398" i="20"/>
  <c r="M398" i="20"/>
  <c r="N398" i="20"/>
  <c r="O398" i="20"/>
  <c r="P398" i="20"/>
  <c r="Q398" i="20"/>
  <c r="R398" i="20"/>
  <c r="S398" i="20"/>
  <c r="T398" i="20"/>
  <c r="U398" i="20"/>
  <c r="V398" i="20"/>
  <c r="I399" i="20"/>
  <c r="J399" i="20"/>
  <c r="K399" i="20"/>
  <c r="L399" i="20"/>
  <c r="M399" i="20"/>
  <c r="N399" i="20"/>
  <c r="O399" i="20"/>
  <c r="P399" i="20"/>
  <c r="Q399" i="20"/>
  <c r="R399" i="20"/>
  <c r="S399" i="20"/>
  <c r="T399" i="20"/>
  <c r="U399" i="20"/>
  <c r="V399" i="20"/>
  <c r="I400" i="20"/>
  <c r="J400" i="20"/>
  <c r="K400" i="20"/>
  <c r="L400" i="20"/>
  <c r="M400" i="20"/>
  <c r="N400" i="20"/>
  <c r="O400" i="20"/>
  <c r="P400" i="20"/>
  <c r="Q400" i="20"/>
  <c r="R400" i="20"/>
  <c r="S400" i="20"/>
  <c r="T400" i="20"/>
  <c r="U400" i="20"/>
  <c r="V400" i="20"/>
  <c r="I401" i="20"/>
  <c r="J401" i="20"/>
  <c r="K401" i="20"/>
  <c r="L401" i="20"/>
  <c r="M401" i="20"/>
  <c r="N401" i="20"/>
  <c r="O401" i="20"/>
  <c r="P401" i="20"/>
  <c r="Q401" i="20"/>
  <c r="R401" i="20"/>
  <c r="S401" i="20"/>
  <c r="T401" i="20"/>
  <c r="U401" i="20"/>
  <c r="V401" i="20"/>
  <c r="I402" i="20"/>
  <c r="J402" i="20"/>
  <c r="K402" i="20"/>
  <c r="L402" i="20"/>
  <c r="M402" i="20"/>
  <c r="N402" i="20"/>
  <c r="O402" i="20"/>
  <c r="P402" i="20"/>
  <c r="Q402" i="20"/>
  <c r="R402" i="20"/>
  <c r="S402" i="20"/>
  <c r="T402" i="20"/>
  <c r="U402" i="20"/>
  <c r="V402" i="20"/>
  <c r="I403" i="20"/>
  <c r="J403" i="20"/>
  <c r="K403" i="20"/>
  <c r="L403" i="20"/>
  <c r="M403" i="20"/>
  <c r="N403" i="20"/>
  <c r="O403" i="20"/>
  <c r="P403" i="20"/>
  <c r="Q403" i="20"/>
  <c r="R403" i="20"/>
  <c r="S403" i="20"/>
  <c r="T403" i="20"/>
  <c r="U403" i="20"/>
  <c r="V403" i="20"/>
  <c r="I404" i="20"/>
  <c r="J404" i="20"/>
  <c r="K404" i="20"/>
  <c r="L404" i="20"/>
  <c r="M404" i="20"/>
  <c r="N404" i="20"/>
  <c r="O404" i="20"/>
  <c r="P404" i="20"/>
  <c r="Q404" i="20"/>
  <c r="R404" i="20"/>
  <c r="S404" i="20"/>
  <c r="T404" i="20"/>
  <c r="U404" i="20"/>
  <c r="V404" i="20"/>
  <c r="I405" i="20"/>
  <c r="J405" i="20"/>
  <c r="K405" i="20"/>
  <c r="L405" i="20"/>
  <c r="M405" i="20"/>
  <c r="N405" i="20"/>
  <c r="O405" i="20"/>
  <c r="P405" i="20"/>
  <c r="Q405" i="20"/>
  <c r="R405" i="20"/>
  <c r="S405" i="20"/>
  <c r="T405" i="20"/>
  <c r="U405" i="20"/>
  <c r="V405" i="20"/>
  <c r="I406" i="20"/>
  <c r="J406" i="20"/>
  <c r="K406" i="20"/>
  <c r="L406" i="20"/>
  <c r="M406" i="20"/>
  <c r="N406" i="20"/>
  <c r="O406" i="20"/>
  <c r="P406" i="20"/>
  <c r="Q406" i="20"/>
  <c r="R406" i="20"/>
  <c r="S406" i="20"/>
  <c r="T406" i="20"/>
  <c r="U406" i="20"/>
  <c r="V406" i="20"/>
  <c r="I407" i="20"/>
  <c r="J407" i="20"/>
  <c r="K407" i="20"/>
  <c r="L407" i="20"/>
  <c r="M407" i="20"/>
  <c r="N407" i="20"/>
  <c r="O407" i="20"/>
  <c r="P407" i="20"/>
  <c r="Q407" i="20"/>
  <c r="R407" i="20"/>
  <c r="S407" i="20"/>
  <c r="T407" i="20"/>
  <c r="U407" i="20"/>
  <c r="V407" i="20"/>
  <c r="I408" i="20"/>
  <c r="J408" i="20"/>
  <c r="K408" i="20"/>
  <c r="L408" i="20"/>
  <c r="M408" i="20"/>
  <c r="N408" i="20"/>
  <c r="O408" i="20"/>
  <c r="P408" i="20"/>
  <c r="Q408" i="20"/>
  <c r="R408" i="20"/>
  <c r="S408" i="20"/>
  <c r="T408" i="20"/>
  <c r="U408" i="20"/>
  <c r="V408" i="20"/>
  <c r="I409" i="20"/>
  <c r="J409" i="20"/>
  <c r="K409" i="20"/>
  <c r="L409" i="20"/>
  <c r="M409" i="20"/>
  <c r="N409" i="20"/>
  <c r="O409" i="20"/>
  <c r="P409" i="20"/>
  <c r="Q409" i="20"/>
  <c r="R409" i="20"/>
  <c r="S409" i="20"/>
  <c r="T409" i="20"/>
  <c r="U409" i="20"/>
  <c r="V409" i="20"/>
  <c r="I410" i="20"/>
  <c r="J410" i="20"/>
  <c r="K410" i="20"/>
  <c r="L410" i="20"/>
  <c r="M410" i="20"/>
  <c r="N410" i="20"/>
  <c r="O410" i="20"/>
  <c r="P410" i="20"/>
  <c r="Q410" i="20"/>
  <c r="R410" i="20"/>
  <c r="S410" i="20"/>
  <c r="T410" i="20"/>
  <c r="U410" i="20"/>
  <c r="V410" i="20"/>
  <c r="I411" i="20"/>
  <c r="J411" i="20"/>
  <c r="K411" i="20"/>
  <c r="L411" i="20"/>
  <c r="M411" i="20"/>
  <c r="N411" i="20"/>
  <c r="O411" i="20"/>
  <c r="P411" i="20"/>
  <c r="Q411" i="20"/>
  <c r="R411" i="20"/>
  <c r="S411" i="20"/>
  <c r="T411" i="20"/>
  <c r="U411" i="20"/>
  <c r="V411" i="20"/>
  <c r="I412" i="20"/>
  <c r="J412" i="20"/>
  <c r="K412" i="20"/>
  <c r="L412" i="20"/>
  <c r="M412" i="20"/>
  <c r="N412" i="20"/>
  <c r="O412" i="20"/>
  <c r="P412" i="20"/>
  <c r="Q412" i="20"/>
  <c r="R412" i="20"/>
  <c r="S412" i="20"/>
  <c r="T412" i="20"/>
  <c r="U412" i="20"/>
  <c r="V412" i="20"/>
  <c r="I413" i="20"/>
  <c r="J413" i="20"/>
  <c r="K413" i="20"/>
  <c r="L413" i="20"/>
  <c r="M413" i="20"/>
  <c r="N413" i="20"/>
  <c r="O413" i="20"/>
  <c r="P413" i="20"/>
  <c r="Q413" i="20"/>
  <c r="R413" i="20"/>
  <c r="S413" i="20"/>
  <c r="T413" i="20"/>
  <c r="U413" i="20"/>
  <c r="V413" i="20"/>
  <c r="I414" i="20"/>
  <c r="J414" i="20"/>
  <c r="K414" i="20"/>
  <c r="L414" i="20"/>
  <c r="M414" i="20"/>
  <c r="N414" i="20"/>
  <c r="O414" i="20"/>
  <c r="P414" i="20"/>
  <c r="Q414" i="20"/>
  <c r="R414" i="20"/>
  <c r="S414" i="20"/>
  <c r="T414" i="20"/>
  <c r="U414" i="20"/>
  <c r="V414" i="20"/>
  <c r="I415" i="20"/>
  <c r="J415" i="20"/>
  <c r="K415" i="20"/>
  <c r="L415" i="20"/>
  <c r="M415" i="20"/>
  <c r="N415" i="20"/>
  <c r="O415" i="20"/>
  <c r="P415" i="20"/>
  <c r="Q415" i="20"/>
  <c r="R415" i="20"/>
  <c r="S415" i="20"/>
  <c r="T415" i="20"/>
  <c r="U415" i="20"/>
  <c r="V415" i="20"/>
  <c r="I416" i="20"/>
  <c r="J416" i="20"/>
  <c r="K416" i="20"/>
  <c r="L416" i="20"/>
  <c r="M416" i="20"/>
  <c r="N416" i="20"/>
  <c r="O416" i="20"/>
  <c r="P416" i="20"/>
  <c r="Q416" i="20"/>
  <c r="R416" i="20"/>
  <c r="S416" i="20"/>
  <c r="T416" i="20"/>
  <c r="U416" i="20"/>
  <c r="V416" i="20"/>
  <c r="I417" i="20"/>
  <c r="J417" i="20"/>
  <c r="K417" i="20"/>
  <c r="L417" i="20"/>
  <c r="M417" i="20"/>
  <c r="N417" i="20"/>
  <c r="O417" i="20"/>
  <c r="P417" i="20"/>
  <c r="Q417" i="20"/>
  <c r="R417" i="20"/>
  <c r="S417" i="20"/>
  <c r="T417" i="20"/>
  <c r="U417" i="20"/>
  <c r="V417" i="20"/>
  <c r="I418" i="20"/>
  <c r="J418" i="20"/>
  <c r="K418" i="20"/>
  <c r="L418" i="20"/>
  <c r="M418" i="20"/>
  <c r="N418" i="20"/>
  <c r="O418" i="20"/>
  <c r="P418" i="20"/>
  <c r="Q418" i="20"/>
  <c r="R418" i="20"/>
  <c r="S418" i="20"/>
  <c r="T418" i="20"/>
  <c r="U418" i="20"/>
  <c r="V418" i="20"/>
  <c r="I419" i="20"/>
  <c r="J419" i="20"/>
  <c r="K419" i="20"/>
  <c r="L419" i="20"/>
  <c r="M419" i="20"/>
  <c r="N419" i="20"/>
  <c r="O419" i="20"/>
  <c r="P419" i="20"/>
  <c r="Q419" i="20"/>
  <c r="R419" i="20"/>
  <c r="S419" i="20"/>
  <c r="T419" i="20"/>
  <c r="U419" i="20"/>
  <c r="V419" i="20"/>
  <c r="I420" i="20"/>
  <c r="J420" i="20"/>
  <c r="K420" i="20"/>
  <c r="L420" i="20"/>
  <c r="M420" i="20"/>
  <c r="N420" i="20"/>
  <c r="O420" i="20"/>
  <c r="P420" i="20"/>
  <c r="Q420" i="20"/>
  <c r="R420" i="20"/>
  <c r="S420" i="20"/>
  <c r="T420" i="20"/>
  <c r="U420" i="20"/>
  <c r="V420" i="20"/>
  <c r="I421" i="20"/>
  <c r="J421" i="20"/>
  <c r="K421" i="20"/>
  <c r="L421" i="20"/>
  <c r="M421" i="20"/>
  <c r="N421" i="20"/>
  <c r="O421" i="20"/>
  <c r="P421" i="20"/>
  <c r="Q421" i="20"/>
  <c r="R421" i="20"/>
  <c r="S421" i="20"/>
  <c r="T421" i="20"/>
  <c r="U421" i="20"/>
  <c r="V421" i="20"/>
  <c r="I422" i="20"/>
  <c r="J422" i="20"/>
  <c r="K422" i="20"/>
  <c r="L422" i="20"/>
  <c r="M422" i="20"/>
  <c r="N422" i="20"/>
  <c r="O422" i="20"/>
  <c r="P422" i="20"/>
  <c r="Q422" i="20"/>
  <c r="R422" i="20"/>
  <c r="S422" i="20"/>
  <c r="T422" i="20"/>
  <c r="U422" i="20"/>
  <c r="V422" i="20"/>
  <c r="I423" i="20"/>
  <c r="J423" i="20"/>
  <c r="K423" i="20"/>
  <c r="L423" i="20"/>
  <c r="M423" i="20"/>
  <c r="N423" i="20"/>
  <c r="O423" i="20"/>
  <c r="P423" i="20"/>
  <c r="Q423" i="20"/>
  <c r="R423" i="20"/>
  <c r="S423" i="20"/>
  <c r="T423" i="20"/>
  <c r="U423" i="20"/>
  <c r="V423" i="20"/>
  <c r="I424" i="20"/>
  <c r="J424" i="20"/>
  <c r="K424" i="20"/>
  <c r="L424" i="20"/>
  <c r="M424" i="20"/>
  <c r="N424" i="20"/>
  <c r="O424" i="20"/>
  <c r="P424" i="20"/>
  <c r="Q424" i="20"/>
  <c r="R424" i="20"/>
  <c r="S424" i="20"/>
  <c r="T424" i="20"/>
  <c r="U424" i="20"/>
  <c r="V424" i="20"/>
  <c r="I425" i="20"/>
  <c r="J425" i="20"/>
  <c r="K425" i="20"/>
  <c r="L425" i="20"/>
  <c r="M425" i="20"/>
  <c r="N425" i="20"/>
  <c r="O425" i="20"/>
  <c r="P425" i="20"/>
  <c r="Q425" i="20"/>
  <c r="R425" i="20"/>
  <c r="S425" i="20"/>
  <c r="T425" i="20"/>
  <c r="U425" i="20"/>
  <c r="V425" i="20"/>
  <c r="I426" i="20"/>
  <c r="J426" i="20"/>
  <c r="K426" i="20"/>
  <c r="L426" i="20"/>
  <c r="M426" i="20"/>
  <c r="N426" i="20"/>
  <c r="O426" i="20"/>
  <c r="P426" i="20"/>
  <c r="Q426" i="20"/>
  <c r="R426" i="20"/>
  <c r="S426" i="20"/>
  <c r="T426" i="20"/>
  <c r="U426" i="20"/>
  <c r="V426" i="20"/>
  <c r="I427" i="20"/>
  <c r="J427" i="20"/>
  <c r="K427" i="20"/>
  <c r="L427" i="20"/>
  <c r="M427" i="20"/>
  <c r="N427" i="20"/>
  <c r="O427" i="20"/>
  <c r="P427" i="20"/>
  <c r="Q427" i="20"/>
  <c r="R427" i="20"/>
  <c r="S427" i="20"/>
  <c r="T427" i="20"/>
  <c r="U427" i="20"/>
  <c r="V427" i="20"/>
  <c r="I428" i="20"/>
  <c r="J428" i="20"/>
  <c r="K428" i="20"/>
  <c r="L428" i="20"/>
  <c r="M428" i="20"/>
  <c r="N428" i="20"/>
  <c r="O428" i="20"/>
  <c r="P428" i="20"/>
  <c r="Q428" i="20"/>
  <c r="R428" i="20"/>
  <c r="S428" i="20"/>
  <c r="T428" i="20"/>
  <c r="U428" i="20"/>
  <c r="V428" i="20"/>
  <c r="I429" i="20"/>
  <c r="J429" i="20"/>
  <c r="K429" i="20"/>
  <c r="L429" i="20"/>
  <c r="M429" i="20"/>
  <c r="N429" i="20"/>
  <c r="O429" i="20"/>
  <c r="P429" i="20"/>
  <c r="Q429" i="20"/>
  <c r="R429" i="20"/>
  <c r="S429" i="20"/>
  <c r="T429" i="20"/>
  <c r="U429" i="20"/>
  <c r="V429" i="20"/>
  <c r="I430" i="20"/>
  <c r="J430" i="20"/>
  <c r="K430" i="20"/>
  <c r="L430" i="20"/>
  <c r="M430" i="20"/>
  <c r="N430" i="20"/>
  <c r="O430" i="20"/>
  <c r="P430" i="20"/>
  <c r="Q430" i="20"/>
  <c r="R430" i="20"/>
  <c r="S430" i="20"/>
  <c r="T430" i="20"/>
  <c r="U430" i="20"/>
  <c r="V430" i="20"/>
  <c r="I431" i="20"/>
  <c r="J431" i="20"/>
  <c r="K431" i="20"/>
  <c r="L431" i="20"/>
  <c r="M431" i="20"/>
  <c r="N431" i="20"/>
  <c r="O431" i="20"/>
  <c r="P431" i="20"/>
  <c r="Q431" i="20"/>
  <c r="R431" i="20"/>
  <c r="S431" i="20"/>
  <c r="T431" i="20"/>
  <c r="U431" i="20"/>
  <c r="V431" i="20"/>
  <c r="I432" i="20"/>
  <c r="J432" i="20"/>
  <c r="K432" i="20"/>
  <c r="L432" i="20"/>
  <c r="M432" i="20"/>
  <c r="N432" i="20"/>
  <c r="O432" i="20"/>
  <c r="P432" i="20"/>
  <c r="Q432" i="20"/>
  <c r="R432" i="20"/>
  <c r="S432" i="20"/>
  <c r="T432" i="20"/>
  <c r="U432" i="20"/>
  <c r="V432" i="20"/>
  <c r="I433" i="20"/>
  <c r="J433" i="20"/>
  <c r="K433" i="20"/>
  <c r="L433" i="20"/>
  <c r="M433" i="20"/>
  <c r="N433" i="20"/>
  <c r="O433" i="20"/>
  <c r="P433" i="20"/>
  <c r="Q433" i="20"/>
  <c r="R433" i="20"/>
  <c r="S433" i="20"/>
  <c r="T433" i="20"/>
  <c r="U433" i="20"/>
  <c r="V433" i="20"/>
  <c r="I434" i="20"/>
  <c r="J434" i="20"/>
  <c r="K434" i="20"/>
  <c r="L434" i="20"/>
  <c r="M434" i="20"/>
  <c r="N434" i="20"/>
  <c r="O434" i="20"/>
  <c r="P434" i="20"/>
  <c r="Q434" i="20"/>
  <c r="R434" i="20"/>
  <c r="S434" i="20"/>
  <c r="T434" i="20"/>
  <c r="U434" i="20"/>
  <c r="V434" i="20"/>
  <c r="I435" i="20"/>
  <c r="J435" i="20"/>
  <c r="K435" i="20"/>
  <c r="L435" i="20"/>
  <c r="M435" i="20"/>
  <c r="N435" i="20"/>
  <c r="O435" i="20"/>
  <c r="P435" i="20"/>
  <c r="Q435" i="20"/>
  <c r="R435" i="20"/>
  <c r="S435" i="20"/>
  <c r="T435" i="20"/>
  <c r="U435" i="20"/>
  <c r="V435" i="20"/>
  <c r="I436" i="20"/>
  <c r="J436" i="20"/>
  <c r="K436" i="20"/>
  <c r="L436" i="20"/>
  <c r="M436" i="20"/>
  <c r="N436" i="20"/>
  <c r="O436" i="20"/>
  <c r="P436" i="20"/>
  <c r="Q436" i="20"/>
  <c r="R436" i="20"/>
  <c r="S436" i="20"/>
  <c r="T436" i="20"/>
  <c r="U436" i="20"/>
  <c r="V436" i="20"/>
  <c r="I437" i="20"/>
  <c r="J437" i="20"/>
  <c r="K437" i="20"/>
  <c r="L437" i="20"/>
  <c r="M437" i="20"/>
  <c r="N437" i="20"/>
  <c r="O437" i="20"/>
  <c r="P437" i="20"/>
  <c r="Q437" i="20"/>
  <c r="R437" i="20"/>
  <c r="S437" i="20"/>
  <c r="T437" i="20"/>
  <c r="U437" i="20"/>
  <c r="V437" i="20"/>
  <c r="I438" i="20"/>
  <c r="J438" i="20"/>
  <c r="K438" i="20"/>
  <c r="L438" i="20"/>
  <c r="M438" i="20"/>
  <c r="N438" i="20"/>
  <c r="O438" i="20"/>
  <c r="P438" i="20"/>
  <c r="Q438" i="20"/>
  <c r="R438" i="20"/>
  <c r="S438" i="20"/>
  <c r="T438" i="20"/>
  <c r="U438" i="20"/>
  <c r="V438" i="20"/>
  <c r="I439" i="20"/>
  <c r="J439" i="20"/>
  <c r="K439" i="20"/>
  <c r="L439" i="20"/>
  <c r="M439" i="20"/>
  <c r="N439" i="20"/>
  <c r="O439" i="20"/>
  <c r="P439" i="20"/>
  <c r="Q439" i="20"/>
  <c r="R439" i="20"/>
  <c r="S439" i="20"/>
  <c r="T439" i="20"/>
  <c r="U439" i="20"/>
  <c r="V439" i="20"/>
  <c r="I440" i="20"/>
  <c r="J440" i="20"/>
  <c r="K440" i="20"/>
  <c r="L440" i="20"/>
  <c r="M440" i="20"/>
  <c r="N440" i="20"/>
  <c r="O440" i="20"/>
  <c r="P440" i="20"/>
  <c r="Q440" i="20"/>
  <c r="R440" i="20"/>
  <c r="S440" i="20"/>
  <c r="T440" i="20"/>
  <c r="U440" i="20"/>
  <c r="V440" i="20"/>
  <c r="I441" i="20"/>
  <c r="J441" i="20"/>
  <c r="K441" i="20"/>
  <c r="L441" i="20"/>
  <c r="M441" i="20"/>
  <c r="N441" i="20"/>
  <c r="O441" i="20"/>
  <c r="P441" i="20"/>
  <c r="Q441" i="20"/>
  <c r="R441" i="20"/>
  <c r="S441" i="20"/>
  <c r="T441" i="20"/>
  <c r="U441" i="20"/>
  <c r="V441" i="20"/>
  <c r="I442" i="20"/>
  <c r="J442" i="20"/>
  <c r="K442" i="20"/>
  <c r="L442" i="20"/>
  <c r="M442" i="20"/>
  <c r="N442" i="20"/>
  <c r="O442" i="20"/>
  <c r="P442" i="20"/>
  <c r="Q442" i="20"/>
  <c r="R442" i="20"/>
  <c r="S442" i="20"/>
  <c r="T442" i="20"/>
  <c r="U442" i="20"/>
  <c r="V442" i="20"/>
  <c r="I443" i="20"/>
  <c r="J443" i="20"/>
  <c r="K443" i="20"/>
  <c r="L443" i="20"/>
  <c r="M443" i="20"/>
  <c r="N443" i="20"/>
  <c r="O443" i="20"/>
  <c r="P443" i="20"/>
  <c r="Q443" i="20"/>
  <c r="R443" i="20"/>
  <c r="S443" i="20"/>
  <c r="T443" i="20"/>
  <c r="U443" i="20"/>
  <c r="V443" i="20"/>
  <c r="I444" i="20"/>
  <c r="J444" i="20"/>
  <c r="K444" i="20"/>
  <c r="L444" i="20"/>
  <c r="M444" i="20"/>
  <c r="N444" i="20"/>
  <c r="O444" i="20"/>
  <c r="P444" i="20"/>
  <c r="Q444" i="20"/>
  <c r="R444" i="20"/>
  <c r="S444" i="20"/>
  <c r="T444" i="20"/>
  <c r="U444" i="20"/>
  <c r="V444" i="20"/>
  <c r="I445" i="20"/>
  <c r="J445" i="20"/>
  <c r="K445" i="20"/>
  <c r="L445" i="20"/>
  <c r="M445" i="20"/>
  <c r="N445" i="20"/>
  <c r="O445" i="20"/>
  <c r="P445" i="20"/>
  <c r="Q445" i="20"/>
  <c r="R445" i="20"/>
  <c r="S445" i="20"/>
  <c r="T445" i="20"/>
  <c r="U445" i="20"/>
  <c r="V445" i="20"/>
  <c r="I446" i="20"/>
  <c r="J446" i="20"/>
  <c r="K446" i="20"/>
  <c r="L446" i="20"/>
  <c r="M446" i="20"/>
  <c r="N446" i="20"/>
  <c r="O446" i="20"/>
  <c r="P446" i="20"/>
  <c r="Q446" i="20"/>
  <c r="R446" i="20"/>
  <c r="S446" i="20"/>
  <c r="T446" i="20"/>
  <c r="U446" i="20"/>
  <c r="V446" i="20"/>
  <c r="I447" i="20"/>
  <c r="J447" i="20"/>
  <c r="K447" i="20"/>
  <c r="L447" i="20"/>
  <c r="M447" i="20"/>
  <c r="N447" i="20"/>
  <c r="O447" i="20"/>
  <c r="P447" i="20"/>
  <c r="Q447" i="20"/>
  <c r="R447" i="20"/>
  <c r="S447" i="20"/>
  <c r="T447" i="20"/>
  <c r="U447" i="20"/>
  <c r="V447" i="20"/>
  <c r="I448" i="20"/>
  <c r="J448" i="20"/>
  <c r="K448" i="20"/>
  <c r="L448" i="20"/>
  <c r="M448" i="20"/>
  <c r="N448" i="20"/>
  <c r="O448" i="20"/>
  <c r="P448" i="20"/>
  <c r="Q448" i="20"/>
  <c r="R448" i="20"/>
  <c r="S448" i="20"/>
  <c r="T448" i="20"/>
  <c r="U448" i="20"/>
  <c r="V448" i="20"/>
  <c r="I449" i="20"/>
  <c r="J449" i="20"/>
  <c r="K449" i="20"/>
  <c r="L449" i="20"/>
  <c r="M449" i="20"/>
  <c r="N449" i="20"/>
  <c r="O449" i="20"/>
  <c r="P449" i="20"/>
  <c r="Q449" i="20"/>
  <c r="R449" i="20"/>
  <c r="S449" i="20"/>
  <c r="T449" i="20"/>
  <c r="U449" i="20"/>
  <c r="V449" i="20"/>
  <c r="I450" i="20"/>
  <c r="J450" i="20"/>
  <c r="K450" i="20"/>
  <c r="L450" i="20"/>
  <c r="M450" i="20"/>
  <c r="N450" i="20"/>
  <c r="O450" i="20"/>
  <c r="P450" i="20"/>
  <c r="Q450" i="20"/>
  <c r="R450" i="20"/>
  <c r="S450" i="20"/>
  <c r="T450" i="20"/>
  <c r="U450" i="20"/>
  <c r="V450" i="20"/>
  <c r="I451" i="20"/>
  <c r="J451" i="20"/>
  <c r="K451" i="20"/>
  <c r="L451" i="20"/>
  <c r="M451" i="20"/>
  <c r="N451" i="20"/>
  <c r="O451" i="20"/>
  <c r="P451" i="20"/>
  <c r="Q451" i="20"/>
  <c r="R451" i="20"/>
  <c r="S451" i="20"/>
  <c r="T451" i="20"/>
  <c r="U451" i="20"/>
  <c r="V451" i="20"/>
  <c r="I452" i="20"/>
  <c r="J452" i="20"/>
  <c r="K452" i="20"/>
  <c r="L452" i="20"/>
  <c r="M452" i="20"/>
  <c r="N452" i="20"/>
  <c r="O452" i="20"/>
  <c r="P452" i="20"/>
  <c r="Q452" i="20"/>
  <c r="R452" i="20"/>
  <c r="S452" i="20"/>
  <c r="T452" i="20"/>
  <c r="U452" i="20"/>
  <c r="V452" i="20"/>
  <c r="I453" i="20"/>
  <c r="J453" i="20"/>
  <c r="K453" i="20"/>
  <c r="L453" i="20"/>
  <c r="M453" i="20"/>
  <c r="N453" i="20"/>
  <c r="O453" i="20"/>
  <c r="P453" i="20"/>
  <c r="Q453" i="20"/>
  <c r="R453" i="20"/>
  <c r="S453" i="20"/>
  <c r="T453" i="20"/>
  <c r="U453" i="20"/>
  <c r="V453" i="20"/>
  <c r="I454" i="20"/>
  <c r="J454" i="20"/>
  <c r="K454" i="20"/>
  <c r="L454" i="20"/>
  <c r="M454" i="20"/>
  <c r="N454" i="20"/>
  <c r="O454" i="20"/>
  <c r="P454" i="20"/>
  <c r="Q454" i="20"/>
  <c r="R454" i="20"/>
  <c r="S454" i="20"/>
  <c r="T454" i="20"/>
  <c r="U454" i="20"/>
  <c r="V454" i="20"/>
  <c r="I455" i="20"/>
  <c r="J455" i="20"/>
  <c r="K455" i="20"/>
  <c r="L455" i="20"/>
  <c r="M455" i="20"/>
  <c r="N455" i="20"/>
  <c r="O455" i="20"/>
  <c r="P455" i="20"/>
  <c r="Q455" i="20"/>
  <c r="R455" i="20"/>
  <c r="S455" i="20"/>
  <c r="T455" i="20"/>
  <c r="U455" i="20"/>
  <c r="V455" i="20"/>
  <c r="I456" i="20"/>
  <c r="J456" i="20"/>
  <c r="K456" i="20"/>
  <c r="L456" i="20"/>
  <c r="M456" i="20"/>
  <c r="N456" i="20"/>
  <c r="O456" i="20"/>
  <c r="P456" i="20"/>
  <c r="Q456" i="20"/>
  <c r="R456" i="20"/>
  <c r="S456" i="20"/>
  <c r="T456" i="20"/>
  <c r="U456" i="20"/>
  <c r="V456" i="20"/>
  <c r="I457" i="20"/>
  <c r="J457" i="20"/>
  <c r="K457" i="20"/>
  <c r="L457" i="20"/>
  <c r="M457" i="20"/>
  <c r="N457" i="20"/>
  <c r="O457" i="20"/>
  <c r="P457" i="20"/>
  <c r="Q457" i="20"/>
  <c r="R457" i="20"/>
  <c r="S457" i="20"/>
  <c r="T457" i="20"/>
  <c r="U457" i="20"/>
  <c r="V457" i="20"/>
  <c r="I458" i="20"/>
  <c r="J458" i="20"/>
  <c r="K458" i="20"/>
  <c r="L458" i="20"/>
  <c r="M458" i="20"/>
  <c r="N458" i="20"/>
  <c r="O458" i="20"/>
  <c r="P458" i="20"/>
  <c r="Q458" i="20"/>
  <c r="R458" i="20"/>
  <c r="S458" i="20"/>
  <c r="T458" i="20"/>
  <c r="U458" i="20"/>
  <c r="V458" i="20"/>
  <c r="I459" i="20"/>
  <c r="J459" i="20"/>
  <c r="K459" i="20"/>
  <c r="L459" i="20"/>
  <c r="M459" i="20"/>
  <c r="N459" i="20"/>
  <c r="O459" i="20"/>
  <c r="P459" i="20"/>
  <c r="Q459" i="20"/>
  <c r="R459" i="20"/>
  <c r="S459" i="20"/>
  <c r="T459" i="20"/>
  <c r="U459" i="20"/>
  <c r="V459" i="20"/>
  <c r="I460" i="20"/>
  <c r="J460" i="20"/>
  <c r="K460" i="20"/>
  <c r="L460" i="20"/>
  <c r="M460" i="20"/>
  <c r="N460" i="20"/>
  <c r="O460" i="20"/>
  <c r="P460" i="20"/>
  <c r="Q460" i="20"/>
  <c r="R460" i="20"/>
  <c r="S460" i="20"/>
  <c r="T460" i="20"/>
  <c r="U460" i="20"/>
  <c r="V460" i="20"/>
  <c r="I461" i="20"/>
  <c r="J461" i="20"/>
  <c r="K461" i="20"/>
  <c r="L461" i="20"/>
  <c r="M461" i="20"/>
  <c r="N461" i="20"/>
  <c r="O461" i="20"/>
  <c r="P461" i="20"/>
  <c r="Q461" i="20"/>
  <c r="R461" i="20"/>
  <c r="S461" i="20"/>
  <c r="T461" i="20"/>
  <c r="U461" i="20"/>
  <c r="V461" i="20"/>
  <c r="I462" i="20"/>
  <c r="J462" i="20"/>
  <c r="K462" i="20"/>
  <c r="L462" i="20"/>
  <c r="M462" i="20"/>
  <c r="N462" i="20"/>
  <c r="O462" i="20"/>
  <c r="P462" i="20"/>
  <c r="Q462" i="20"/>
  <c r="R462" i="20"/>
  <c r="S462" i="20"/>
  <c r="T462" i="20"/>
  <c r="U462" i="20"/>
  <c r="V462" i="20"/>
  <c r="I463" i="20"/>
  <c r="J463" i="20"/>
  <c r="K463" i="20"/>
  <c r="L463" i="20"/>
  <c r="M463" i="20"/>
  <c r="N463" i="20"/>
  <c r="O463" i="20"/>
  <c r="P463" i="20"/>
  <c r="Q463" i="20"/>
  <c r="R463" i="20"/>
  <c r="S463" i="20"/>
  <c r="T463" i="20"/>
  <c r="U463" i="20"/>
  <c r="V463" i="20"/>
  <c r="I464" i="20"/>
  <c r="J464" i="20"/>
  <c r="K464" i="20"/>
  <c r="L464" i="20"/>
  <c r="M464" i="20"/>
  <c r="N464" i="20"/>
  <c r="O464" i="20"/>
  <c r="P464" i="20"/>
  <c r="Q464" i="20"/>
  <c r="R464" i="20"/>
  <c r="S464" i="20"/>
  <c r="T464" i="20"/>
  <c r="U464" i="20"/>
  <c r="V464" i="20"/>
  <c r="I465" i="20"/>
  <c r="J465" i="20"/>
  <c r="K465" i="20"/>
  <c r="L465" i="20"/>
  <c r="M465" i="20"/>
  <c r="N465" i="20"/>
  <c r="O465" i="20"/>
  <c r="P465" i="20"/>
  <c r="Q465" i="20"/>
  <c r="R465" i="20"/>
  <c r="S465" i="20"/>
  <c r="T465" i="20"/>
  <c r="U465" i="20"/>
  <c r="V465" i="20"/>
  <c r="I466" i="20"/>
  <c r="J466" i="20"/>
  <c r="K466" i="20"/>
  <c r="L466" i="20"/>
  <c r="M466" i="20"/>
  <c r="N466" i="20"/>
  <c r="O466" i="20"/>
  <c r="P466" i="20"/>
  <c r="Q466" i="20"/>
  <c r="R466" i="20"/>
  <c r="S466" i="20"/>
  <c r="T466" i="20"/>
  <c r="U466" i="20"/>
  <c r="V466" i="20"/>
  <c r="I467" i="20"/>
  <c r="J467" i="20"/>
  <c r="K467" i="20"/>
  <c r="L467" i="20"/>
  <c r="M467" i="20"/>
  <c r="N467" i="20"/>
  <c r="O467" i="20"/>
  <c r="P467" i="20"/>
  <c r="Q467" i="20"/>
  <c r="R467" i="20"/>
  <c r="S467" i="20"/>
  <c r="T467" i="20"/>
  <c r="U467" i="20"/>
  <c r="V467" i="20"/>
  <c r="I468" i="20"/>
  <c r="J468" i="20"/>
  <c r="K468" i="20"/>
  <c r="L468" i="20"/>
  <c r="M468" i="20"/>
  <c r="N468" i="20"/>
  <c r="O468" i="20"/>
  <c r="P468" i="20"/>
  <c r="Q468" i="20"/>
  <c r="R468" i="20"/>
  <c r="S468" i="20"/>
  <c r="T468" i="20"/>
  <c r="U468" i="20"/>
  <c r="V468" i="20"/>
  <c r="I469" i="20"/>
  <c r="J469" i="20"/>
  <c r="K469" i="20"/>
  <c r="L469" i="20"/>
  <c r="M469" i="20"/>
  <c r="N469" i="20"/>
  <c r="O469" i="20"/>
  <c r="P469" i="20"/>
  <c r="Q469" i="20"/>
  <c r="R469" i="20"/>
  <c r="S469" i="20"/>
  <c r="T469" i="20"/>
  <c r="U469" i="20"/>
  <c r="V469" i="20"/>
  <c r="I470" i="20"/>
  <c r="J470" i="20"/>
  <c r="K470" i="20"/>
  <c r="L470" i="20"/>
  <c r="M470" i="20"/>
  <c r="N470" i="20"/>
  <c r="O470" i="20"/>
  <c r="P470" i="20"/>
  <c r="Q470" i="20"/>
  <c r="R470" i="20"/>
  <c r="S470" i="20"/>
  <c r="T470" i="20"/>
  <c r="U470" i="20"/>
  <c r="V470" i="20"/>
  <c r="I471" i="20"/>
  <c r="J471" i="20"/>
  <c r="K471" i="20"/>
  <c r="L471" i="20"/>
  <c r="M471" i="20"/>
  <c r="N471" i="20"/>
  <c r="O471" i="20"/>
  <c r="P471" i="20"/>
  <c r="Q471" i="20"/>
  <c r="R471" i="20"/>
  <c r="S471" i="20"/>
  <c r="T471" i="20"/>
  <c r="U471" i="20"/>
  <c r="V471" i="20"/>
  <c r="I472" i="20"/>
  <c r="J472" i="20"/>
  <c r="K472" i="20"/>
  <c r="L472" i="20"/>
  <c r="M472" i="20"/>
  <c r="N472" i="20"/>
  <c r="O472" i="20"/>
  <c r="P472" i="20"/>
  <c r="Q472" i="20"/>
  <c r="R472" i="20"/>
  <c r="S472" i="20"/>
  <c r="T472" i="20"/>
  <c r="U472" i="20"/>
  <c r="V472" i="20"/>
  <c r="I473" i="20"/>
  <c r="J473" i="20"/>
  <c r="K473" i="20"/>
  <c r="L473" i="20"/>
  <c r="M473" i="20"/>
  <c r="N473" i="20"/>
  <c r="O473" i="20"/>
  <c r="P473" i="20"/>
  <c r="Q473" i="20"/>
  <c r="R473" i="20"/>
  <c r="S473" i="20"/>
  <c r="T473" i="20"/>
  <c r="U473" i="20"/>
  <c r="V473" i="20"/>
  <c r="I474" i="20"/>
  <c r="J474" i="20"/>
  <c r="K474" i="20"/>
  <c r="L474" i="20"/>
  <c r="M474" i="20"/>
  <c r="N474" i="20"/>
  <c r="O474" i="20"/>
  <c r="P474" i="20"/>
  <c r="Q474" i="20"/>
  <c r="R474" i="20"/>
  <c r="S474" i="20"/>
  <c r="T474" i="20"/>
  <c r="U474" i="20"/>
  <c r="V474" i="20"/>
  <c r="I475" i="20"/>
  <c r="J475" i="20"/>
  <c r="K475" i="20"/>
  <c r="L475" i="20"/>
  <c r="M475" i="20"/>
  <c r="N475" i="20"/>
  <c r="O475" i="20"/>
  <c r="P475" i="20"/>
  <c r="Q475" i="20"/>
  <c r="R475" i="20"/>
  <c r="S475" i="20"/>
  <c r="T475" i="20"/>
  <c r="U475" i="20"/>
  <c r="V475" i="20"/>
  <c r="I476" i="20"/>
  <c r="J476" i="20"/>
  <c r="K476" i="20"/>
  <c r="L476" i="20"/>
  <c r="M476" i="20"/>
  <c r="N476" i="20"/>
  <c r="O476" i="20"/>
  <c r="P476" i="20"/>
  <c r="Q476" i="20"/>
  <c r="R476" i="20"/>
  <c r="S476" i="20"/>
  <c r="T476" i="20"/>
  <c r="U476" i="20"/>
  <c r="V476" i="20"/>
  <c r="I477" i="20"/>
  <c r="J477" i="20"/>
  <c r="K477" i="20"/>
  <c r="L477" i="20"/>
  <c r="M477" i="20"/>
  <c r="N477" i="20"/>
  <c r="O477" i="20"/>
  <c r="P477" i="20"/>
  <c r="Q477" i="20"/>
  <c r="R477" i="20"/>
  <c r="S477" i="20"/>
  <c r="T477" i="20"/>
  <c r="U477" i="20"/>
  <c r="V477" i="20"/>
  <c r="I478" i="20"/>
  <c r="J478" i="20"/>
  <c r="K478" i="20"/>
  <c r="L478" i="20"/>
  <c r="M478" i="20"/>
  <c r="N478" i="20"/>
  <c r="O478" i="20"/>
  <c r="P478" i="20"/>
  <c r="Q478" i="20"/>
  <c r="R478" i="20"/>
  <c r="S478" i="20"/>
  <c r="T478" i="20"/>
  <c r="U478" i="20"/>
  <c r="V478" i="20"/>
  <c r="I479" i="20"/>
  <c r="J479" i="20"/>
  <c r="K479" i="20"/>
  <c r="L479" i="20"/>
  <c r="M479" i="20"/>
  <c r="N479" i="20"/>
  <c r="O479" i="20"/>
  <c r="P479" i="20"/>
  <c r="Q479" i="20"/>
  <c r="R479" i="20"/>
  <c r="S479" i="20"/>
  <c r="T479" i="20"/>
  <c r="U479" i="20"/>
  <c r="V479" i="20"/>
  <c r="I480" i="20"/>
  <c r="J480" i="20"/>
  <c r="K480" i="20"/>
  <c r="L480" i="20"/>
  <c r="M480" i="20"/>
  <c r="N480" i="20"/>
  <c r="O480" i="20"/>
  <c r="P480" i="20"/>
  <c r="Q480" i="20"/>
  <c r="R480" i="20"/>
  <c r="S480" i="20"/>
  <c r="T480" i="20"/>
  <c r="U480" i="20"/>
  <c r="V480" i="20"/>
  <c r="I481" i="20"/>
  <c r="J481" i="20"/>
  <c r="K481" i="20"/>
  <c r="L481" i="20"/>
  <c r="M481" i="20"/>
  <c r="N481" i="20"/>
  <c r="O481" i="20"/>
  <c r="P481" i="20"/>
  <c r="Q481" i="20"/>
  <c r="R481" i="20"/>
  <c r="S481" i="20"/>
  <c r="T481" i="20"/>
  <c r="U481" i="20"/>
  <c r="V481" i="20"/>
  <c r="I482" i="20"/>
  <c r="J482" i="20"/>
  <c r="K482" i="20"/>
  <c r="L482" i="20"/>
  <c r="M482" i="20"/>
  <c r="N482" i="20"/>
  <c r="O482" i="20"/>
  <c r="P482" i="20"/>
  <c r="Q482" i="20"/>
  <c r="R482" i="20"/>
  <c r="S482" i="20"/>
  <c r="T482" i="20"/>
  <c r="U482" i="20"/>
  <c r="V482" i="20"/>
  <c r="I483" i="20"/>
  <c r="J483" i="20"/>
  <c r="K483" i="20"/>
  <c r="L483" i="20"/>
  <c r="M483" i="20"/>
  <c r="N483" i="20"/>
  <c r="O483" i="20"/>
  <c r="P483" i="20"/>
  <c r="Q483" i="20"/>
  <c r="R483" i="20"/>
  <c r="S483" i="20"/>
  <c r="T483" i="20"/>
  <c r="U483" i="20"/>
  <c r="V483" i="20"/>
  <c r="I484" i="20"/>
  <c r="J484" i="20"/>
  <c r="K484" i="20"/>
  <c r="L484" i="20"/>
  <c r="M484" i="20"/>
  <c r="N484" i="20"/>
  <c r="O484" i="20"/>
  <c r="P484" i="20"/>
  <c r="Q484" i="20"/>
  <c r="R484" i="20"/>
  <c r="S484" i="20"/>
  <c r="T484" i="20"/>
  <c r="U484" i="20"/>
  <c r="V484" i="20"/>
  <c r="I485" i="20"/>
  <c r="J485" i="20"/>
  <c r="K485" i="20"/>
  <c r="L485" i="20"/>
  <c r="M485" i="20"/>
  <c r="N485" i="20"/>
  <c r="O485" i="20"/>
  <c r="P485" i="20"/>
  <c r="Q485" i="20"/>
  <c r="R485" i="20"/>
  <c r="S485" i="20"/>
  <c r="T485" i="20"/>
  <c r="U485" i="20"/>
  <c r="V485" i="20"/>
  <c r="I486" i="20"/>
  <c r="J486" i="20"/>
  <c r="K486" i="20"/>
  <c r="L486" i="20"/>
  <c r="M486" i="20"/>
  <c r="N486" i="20"/>
  <c r="O486" i="20"/>
  <c r="P486" i="20"/>
  <c r="Q486" i="20"/>
  <c r="R486" i="20"/>
  <c r="S486" i="20"/>
  <c r="T486" i="20"/>
  <c r="U486" i="20"/>
  <c r="V486" i="20"/>
  <c r="I487" i="20"/>
  <c r="J487" i="20"/>
  <c r="K487" i="20"/>
  <c r="L487" i="20"/>
  <c r="M487" i="20"/>
  <c r="N487" i="20"/>
  <c r="O487" i="20"/>
  <c r="P487" i="20"/>
  <c r="Q487" i="20"/>
  <c r="R487" i="20"/>
  <c r="S487" i="20"/>
  <c r="T487" i="20"/>
  <c r="U487" i="20"/>
  <c r="V487" i="20"/>
  <c r="I488" i="20"/>
  <c r="J488" i="20"/>
  <c r="K488" i="20"/>
  <c r="L488" i="20"/>
  <c r="M488" i="20"/>
  <c r="N488" i="20"/>
  <c r="O488" i="20"/>
  <c r="P488" i="20"/>
  <c r="Q488" i="20"/>
  <c r="R488" i="20"/>
  <c r="S488" i="20"/>
  <c r="T488" i="20"/>
  <c r="U488" i="20"/>
  <c r="V488" i="20"/>
  <c r="I489" i="20"/>
  <c r="J489" i="20"/>
  <c r="K489" i="20"/>
  <c r="L489" i="20"/>
  <c r="M489" i="20"/>
  <c r="N489" i="20"/>
  <c r="O489" i="20"/>
  <c r="P489" i="20"/>
  <c r="Q489" i="20"/>
  <c r="R489" i="20"/>
  <c r="S489" i="20"/>
  <c r="T489" i="20"/>
  <c r="U489" i="20"/>
  <c r="V489" i="20"/>
  <c r="I490" i="20"/>
  <c r="J490" i="20"/>
  <c r="K490" i="20"/>
  <c r="L490" i="20"/>
  <c r="M490" i="20"/>
  <c r="N490" i="20"/>
  <c r="O490" i="20"/>
  <c r="P490" i="20"/>
  <c r="Q490" i="20"/>
  <c r="R490" i="20"/>
  <c r="S490" i="20"/>
  <c r="T490" i="20"/>
  <c r="U490" i="20"/>
  <c r="V490" i="20"/>
  <c r="I491" i="20"/>
  <c r="J491" i="20"/>
  <c r="K491" i="20"/>
  <c r="L491" i="20"/>
  <c r="M491" i="20"/>
  <c r="N491" i="20"/>
  <c r="O491" i="20"/>
  <c r="P491" i="20"/>
  <c r="Q491" i="20"/>
  <c r="R491" i="20"/>
  <c r="S491" i="20"/>
  <c r="T491" i="20"/>
  <c r="U491" i="20"/>
  <c r="V491" i="20"/>
  <c r="I492" i="20"/>
  <c r="J492" i="20"/>
  <c r="K492" i="20"/>
  <c r="L492" i="20"/>
  <c r="M492" i="20"/>
  <c r="N492" i="20"/>
  <c r="O492" i="20"/>
  <c r="P492" i="20"/>
  <c r="Q492" i="20"/>
  <c r="R492" i="20"/>
  <c r="S492" i="20"/>
  <c r="T492" i="20"/>
  <c r="U492" i="20"/>
  <c r="V492" i="20"/>
  <c r="I493" i="20"/>
  <c r="J493" i="20"/>
  <c r="K493" i="20"/>
  <c r="L493" i="20"/>
  <c r="M493" i="20"/>
  <c r="N493" i="20"/>
  <c r="O493" i="20"/>
  <c r="P493" i="20"/>
  <c r="Q493" i="20"/>
  <c r="R493" i="20"/>
  <c r="S493" i="20"/>
  <c r="T493" i="20"/>
  <c r="U493" i="20"/>
  <c r="V493" i="20"/>
  <c r="I494" i="20"/>
  <c r="J494" i="20"/>
  <c r="K494" i="20"/>
  <c r="L494" i="20"/>
  <c r="M494" i="20"/>
  <c r="N494" i="20"/>
  <c r="O494" i="20"/>
  <c r="P494" i="20"/>
  <c r="Q494" i="20"/>
  <c r="R494" i="20"/>
  <c r="S494" i="20"/>
  <c r="T494" i="20"/>
  <c r="U494" i="20"/>
  <c r="V494" i="20"/>
  <c r="I495" i="20"/>
  <c r="J495" i="20"/>
  <c r="K495" i="20"/>
  <c r="L495" i="20"/>
  <c r="M495" i="20"/>
  <c r="N495" i="20"/>
  <c r="O495" i="20"/>
  <c r="P495" i="20"/>
  <c r="Q495" i="20"/>
  <c r="R495" i="20"/>
  <c r="S495" i="20"/>
  <c r="T495" i="20"/>
  <c r="U495" i="20"/>
  <c r="V495" i="20"/>
  <c r="I496" i="20"/>
  <c r="J496" i="20"/>
  <c r="K496" i="20"/>
  <c r="L496" i="20"/>
  <c r="M496" i="20"/>
  <c r="N496" i="20"/>
  <c r="O496" i="20"/>
  <c r="P496" i="20"/>
  <c r="Q496" i="20"/>
  <c r="R496" i="20"/>
  <c r="S496" i="20"/>
  <c r="T496" i="20"/>
  <c r="U496" i="20"/>
  <c r="V496" i="20"/>
  <c r="I497" i="20"/>
  <c r="J497" i="20"/>
  <c r="K497" i="20"/>
  <c r="L497" i="20"/>
  <c r="M497" i="20"/>
  <c r="N497" i="20"/>
  <c r="O497" i="20"/>
  <c r="P497" i="20"/>
  <c r="Q497" i="20"/>
  <c r="R497" i="20"/>
  <c r="S497" i="20"/>
  <c r="T497" i="20"/>
  <c r="U497" i="20"/>
  <c r="V497" i="20"/>
  <c r="I498" i="20"/>
  <c r="J498" i="20"/>
  <c r="K498" i="20"/>
  <c r="L498" i="20"/>
  <c r="M498" i="20"/>
  <c r="N498" i="20"/>
  <c r="O498" i="20"/>
  <c r="P498" i="20"/>
  <c r="Q498" i="20"/>
  <c r="R498" i="20"/>
  <c r="S498" i="20"/>
  <c r="T498" i="20"/>
  <c r="U498" i="20"/>
  <c r="V498" i="20"/>
  <c r="I499" i="20"/>
  <c r="J499" i="20"/>
  <c r="K499" i="20"/>
  <c r="L499" i="20"/>
  <c r="M499" i="20"/>
  <c r="N499" i="20"/>
  <c r="O499" i="20"/>
  <c r="P499" i="20"/>
  <c r="Q499" i="20"/>
  <c r="R499" i="20"/>
  <c r="S499" i="20"/>
  <c r="T499" i="20"/>
  <c r="U499" i="20"/>
  <c r="V499" i="20"/>
  <c r="I500" i="20"/>
  <c r="J500" i="20"/>
  <c r="K500" i="20"/>
  <c r="L500" i="20"/>
  <c r="M500" i="20"/>
  <c r="N500" i="20"/>
  <c r="O500" i="20"/>
  <c r="P500" i="20"/>
  <c r="Q500" i="20"/>
  <c r="R500" i="20"/>
  <c r="S500" i="20"/>
  <c r="T500" i="20"/>
  <c r="U500" i="20"/>
  <c r="V500" i="20"/>
  <c r="I99" i="20"/>
  <c r="J99" i="20"/>
  <c r="K99" i="20"/>
  <c r="L99" i="20"/>
  <c r="M99" i="20"/>
  <c r="N99" i="20"/>
  <c r="O99" i="20"/>
  <c r="P99" i="20"/>
  <c r="Q99" i="20"/>
  <c r="R99" i="20"/>
  <c r="S99" i="20"/>
  <c r="T99" i="20"/>
  <c r="U99" i="20"/>
  <c r="V99" i="20"/>
  <c r="I100" i="20"/>
  <c r="J100" i="20"/>
  <c r="K100" i="20"/>
  <c r="L100" i="20"/>
  <c r="M100" i="20"/>
  <c r="N100" i="20"/>
  <c r="O100" i="20"/>
  <c r="P100" i="20"/>
  <c r="Q100" i="20"/>
  <c r="R100" i="20"/>
  <c r="S100" i="20"/>
  <c r="T100" i="20"/>
  <c r="U100" i="20"/>
  <c r="V100" i="20"/>
  <c r="I5" i="20"/>
  <c r="J5" i="20"/>
  <c r="K5" i="20"/>
  <c r="L5" i="20"/>
  <c r="M5" i="20"/>
  <c r="N5" i="20"/>
  <c r="O5" i="20"/>
  <c r="P5" i="20"/>
  <c r="Q5" i="20"/>
  <c r="R5" i="20"/>
  <c r="S5" i="20"/>
  <c r="T5" i="20"/>
  <c r="U5" i="20"/>
  <c r="V5" i="20"/>
  <c r="I6" i="20"/>
  <c r="J6" i="20"/>
  <c r="K6" i="20"/>
  <c r="L6" i="20"/>
  <c r="M6" i="20"/>
  <c r="N6" i="20"/>
  <c r="O6" i="20"/>
  <c r="P6" i="20"/>
  <c r="Q6" i="20"/>
  <c r="R6" i="20"/>
  <c r="S6" i="20"/>
  <c r="T6" i="20"/>
  <c r="U6" i="20"/>
  <c r="V6" i="20"/>
  <c r="I7" i="20"/>
  <c r="J7" i="20"/>
  <c r="K7" i="20"/>
  <c r="L7" i="20"/>
  <c r="M7" i="20"/>
  <c r="N7" i="20"/>
  <c r="O7" i="20"/>
  <c r="P7" i="20"/>
  <c r="Q7" i="20"/>
  <c r="R7" i="20"/>
  <c r="S7" i="20"/>
  <c r="T7" i="20"/>
  <c r="U7" i="20"/>
  <c r="V7" i="20"/>
  <c r="I8" i="20"/>
  <c r="J8" i="20"/>
  <c r="K8" i="20"/>
  <c r="L8" i="20"/>
  <c r="M8" i="20"/>
  <c r="N8" i="20"/>
  <c r="O8" i="20"/>
  <c r="P8" i="20"/>
  <c r="Q8" i="20"/>
  <c r="R8" i="20"/>
  <c r="S8" i="20"/>
  <c r="T8" i="20"/>
  <c r="U8" i="20"/>
  <c r="V8" i="20"/>
  <c r="I9" i="20"/>
  <c r="J9" i="20"/>
  <c r="K9" i="20"/>
  <c r="L9" i="20"/>
  <c r="M9" i="20"/>
  <c r="N9" i="20"/>
  <c r="O9" i="20"/>
  <c r="P9" i="20"/>
  <c r="Q9" i="20"/>
  <c r="R9" i="20"/>
  <c r="S9" i="20"/>
  <c r="T9" i="20"/>
  <c r="U9" i="20"/>
  <c r="V9" i="20"/>
  <c r="I10" i="20"/>
  <c r="J10" i="20"/>
  <c r="K10" i="20"/>
  <c r="L10" i="20"/>
  <c r="M10" i="20"/>
  <c r="N10" i="20"/>
  <c r="O10" i="20"/>
  <c r="P10" i="20"/>
  <c r="Q10" i="20"/>
  <c r="R10" i="20"/>
  <c r="S10" i="20"/>
  <c r="T10" i="20"/>
  <c r="U10" i="20"/>
  <c r="V10" i="20"/>
  <c r="I11" i="20"/>
  <c r="J11" i="20"/>
  <c r="K11" i="20"/>
  <c r="L11" i="20"/>
  <c r="M11" i="20"/>
  <c r="N11" i="20"/>
  <c r="O11" i="20"/>
  <c r="P11" i="20"/>
  <c r="Q11" i="20"/>
  <c r="R11" i="20"/>
  <c r="S11" i="20"/>
  <c r="T11" i="20"/>
  <c r="U11" i="20"/>
  <c r="V11" i="20"/>
  <c r="I12" i="20"/>
  <c r="J12" i="20"/>
  <c r="K12" i="20"/>
  <c r="L12" i="20"/>
  <c r="M12" i="20"/>
  <c r="N12" i="20"/>
  <c r="O12" i="20"/>
  <c r="P12" i="20"/>
  <c r="Q12" i="20"/>
  <c r="R12" i="20"/>
  <c r="S12" i="20"/>
  <c r="T12" i="20"/>
  <c r="U12" i="20"/>
  <c r="V12" i="20"/>
  <c r="I13" i="20"/>
  <c r="J13" i="20"/>
  <c r="K13" i="20"/>
  <c r="L13" i="20"/>
  <c r="M13" i="20"/>
  <c r="N13" i="20"/>
  <c r="O13" i="20"/>
  <c r="P13" i="20"/>
  <c r="Q13" i="20"/>
  <c r="R13" i="20"/>
  <c r="S13" i="20"/>
  <c r="T13" i="20"/>
  <c r="U13" i="20"/>
  <c r="V13" i="20"/>
  <c r="I14" i="20"/>
  <c r="J14" i="20"/>
  <c r="K14" i="20"/>
  <c r="L14" i="20"/>
  <c r="M14" i="20"/>
  <c r="N14" i="20"/>
  <c r="O14" i="20"/>
  <c r="P14" i="20"/>
  <c r="Q14" i="20"/>
  <c r="R14" i="20"/>
  <c r="S14" i="20"/>
  <c r="T14" i="20"/>
  <c r="U14" i="20"/>
  <c r="V14" i="20"/>
  <c r="I15" i="20"/>
  <c r="J15" i="20"/>
  <c r="K15" i="20"/>
  <c r="L15" i="20"/>
  <c r="M15" i="20"/>
  <c r="N15" i="20"/>
  <c r="O15" i="20"/>
  <c r="P15" i="20"/>
  <c r="Q15" i="20"/>
  <c r="R15" i="20"/>
  <c r="S15" i="20"/>
  <c r="T15" i="20"/>
  <c r="U15" i="20"/>
  <c r="V15" i="20"/>
  <c r="I16" i="20"/>
  <c r="J16" i="20"/>
  <c r="K16" i="20"/>
  <c r="L16" i="20"/>
  <c r="M16" i="20"/>
  <c r="N16" i="20"/>
  <c r="O16" i="20"/>
  <c r="P16" i="20"/>
  <c r="Q16" i="20"/>
  <c r="R16" i="20"/>
  <c r="S16" i="20"/>
  <c r="T16" i="20"/>
  <c r="U16" i="20"/>
  <c r="V16" i="20"/>
  <c r="I17" i="20"/>
  <c r="J17" i="20"/>
  <c r="K17" i="20"/>
  <c r="L17" i="20"/>
  <c r="M17" i="20"/>
  <c r="N17" i="20"/>
  <c r="O17" i="20"/>
  <c r="P17" i="20"/>
  <c r="Q17" i="20"/>
  <c r="R17" i="20"/>
  <c r="S17" i="20"/>
  <c r="T17" i="20"/>
  <c r="U17" i="20"/>
  <c r="V17" i="20"/>
  <c r="I18" i="20"/>
  <c r="J18" i="20"/>
  <c r="K18" i="20"/>
  <c r="L18" i="20"/>
  <c r="M18" i="20"/>
  <c r="N18" i="20"/>
  <c r="O18" i="20"/>
  <c r="P18" i="20"/>
  <c r="Q18" i="20"/>
  <c r="R18" i="20"/>
  <c r="S18" i="20"/>
  <c r="T18" i="20"/>
  <c r="U18" i="20"/>
  <c r="V18" i="20"/>
  <c r="I19" i="20"/>
  <c r="J19" i="20"/>
  <c r="K19" i="20"/>
  <c r="L19" i="20"/>
  <c r="M19" i="20"/>
  <c r="N19" i="20"/>
  <c r="O19" i="20"/>
  <c r="P19" i="20"/>
  <c r="Q19" i="20"/>
  <c r="R19" i="20"/>
  <c r="S19" i="20"/>
  <c r="T19" i="20"/>
  <c r="U19" i="20"/>
  <c r="V19" i="20"/>
  <c r="I20" i="20"/>
  <c r="J20" i="20"/>
  <c r="K20" i="20"/>
  <c r="L20" i="20"/>
  <c r="M20" i="20"/>
  <c r="N20" i="20"/>
  <c r="O20" i="20"/>
  <c r="P20" i="20"/>
  <c r="Q20" i="20"/>
  <c r="R20" i="20"/>
  <c r="S20" i="20"/>
  <c r="T20" i="20"/>
  <c r="U20" i="20"/>
  <c r="V20" i="20"/>
  <c r="I21" i="20"/>
  <c r="J21" i="20"/>
  <c r="K21" i="20"/>
  <c r="L21" i="20"/>
  <c r="M21" i="20"/>
  <c r="N21" i="20"/>
  <c r="O21" i="20"/>
  <c r="P21" i="20"/>
  <c r="Q21" i="20"/>
  <c r="R21" i="20"/>
  <c r="S21" i="20"/>
  <c r="T21" i="20"/>
  <c r="U21" i="20"/>
  <c r="V21" i="20"/>
  <c r="I22" i="20"/>
  <c r="J22" i="20"/>
  <c r="K22" i="20"/>
  <c r="L22" i="20"/>
  <c r="M22" i="20"/>
  <c r="N22" i="20"/>
  <c r="O22" i="20"/>
  <c r="P22" i="20"/>
  <c r="Q22" i="20"/>
  <c r="R22" i="20"/>
  <c r="S22" i="20"/>
  <c r="T22" i="20"/>
  <c r="U22" i="20"/>
  <c r="V22" i="20"/>
  <c r="I23" i="20"/>
  <c r="J23" i="20"/>
  <c r="K23" i="20"/>
  <c r="L23" i="20"/>
  <c r="M23" i="20"/>
  <c r="N23" i="20"/>
  <c r="O23" i="20"/>
  <c r="P23" i="20"/>
  <c r="Q23" i="20"/>
  <c r="R23" i="20"/>
  <c r="S23" i="20"/>
  <c r="T23" i="20"/>
  <c r="U23" i="20"/>
  <c r="V23" i="20"/>
  <c r="I24" i="20"/>
  <c r="J24" i="20"/>
  <c r="K24" i="20"/>
  <c r="L24" i="20"/>
  <c r="M24" i="20"/>
  <c r="N24" i="20"/>
  <c r="O24" i="20"/>
  <c r="P24" i="20"/>
  <c r="Q24" i="20"/>
  <c r="R24" i="20"/>
  <c r="S24" i="20"/>
  <c r="T24" i="20"/>
  <c r="U24" i="20"/>
  <c r="V24" i="20"/>
  <c r="I25" i="20"/>
  <c r="J25" i="20"/>
  <c r="K25" i="20"/>
  <c r="L25" i="20"/>
  <c r="M25" i="20"/>
  <c r="N25" i="20"/>
  <c r="O25" i="20"/>
  <c r="P25" i="20"/>
  <c r="Q25" i="20"/>
  <c r="R25" i="20"/>
  <c r="S25" i="20"/>
  <c r="T25" i="20"/>
  <c r="U25" i="20"/>
  <c r="V25" i="20"/>
  <c r="I26" i="20"/>
  <c r="J26" i="20"/>
  <c r="K26" i="20"/>
  <c r="L26" i="20"/>
  <c r="M26" i="20"/>
  <c r="N26" i="20"/>
  <c r="O26" i="20"/>
  <c r="P26" i="20"/>
  <c r="Q26" i="20"/>
  <c r="R26" i="20"/>
  <c r="S26" i="20"/>
  <c r="T26" i="20"/>
  <c r="U26" i="20"/>
  <c r="V26" i="20"/>
  <c r="I27" i="20"/>
  <c r="J27" i="20"/>
  <c r="K27" i="20"/>
  <c r="L27" i="20"/>
  <c r="M27" i="20"/>
  <c r="N27" i="20"/>
  <c r="O27" i="20"/>
  <c r="P27" i="20"/>
  <c r="Q27" i="20"/>
  <c r="R27" i="20"/>
  <c r="S27" i="20"/>
  <c r="T27" i="20"/>
  <c r="U27" i="20"/>
  <c r="V27" i="20"/>
  <c r="I28" i="20"/>
  <c r="J28" i="20"/>
  <c r="K28" i="20"/>
  <c r="L28" i="20"/>
  <c r="M28" i="20"/>
  <c r="N28" i="20"/>
  <c r="O28" i="20"/>
  <c r="P28" i="20"/>
  <c r="Q28" i="20"/>
  <c r="R28" i="20"/>
  <c r="S28" i="20"/>
  <c r="T28" i="20"/>
  <c r="U28" i="20"/>
  <c r="V28" i="20"/>
  <c r="I29" i="20"/>
  <c r="J29" i="20"/>
  <c r="K29" i="20"/>
  <c r="L29" i="20"/>
  <c r="M29" i="20"/>
  <c r="N29" i="20"/>
  <c r="O29" i="20"/>
  <c r="P29" i="20"/>
  <c r="Q29" i="20"/>
  <c r="R29" i="20"/>
  <c r="S29" i="20"/>
  <c r="T29" i="20"/>
  <c r="U29" i="20"/>
  <c r="V29" i="20"/>
  <c r="I30" i="20"/>
  <c r="J30" i="20"/>
  <c r="K30" i="20"/>
  <c r="L30" i="20"/>
  <c r="M30" i="20"/>
  <c r="N30" i="20"/>
  <c r="O30" i="20"/>
  <c r="P30" i="20"/>
  <c r="Q30" i="20"/>
  <c r="R30" i="20"/>
  <c r="S30" i="20"/>
  <c r="T30" i="20"/>
  <c r="U30" i="20"/>
  <c r="V30" i="20"/>
  <c r="I31" i="20"/>
  <c r="J31" i="20"/>
  <c r="K31" i="20"/>
  <c r="L31" i="20"/>
  <c r="M31" i="20"/>
  <c r="N31" i="20"/>
  <c r="O31" i="20"/>
  <c r="P31" i="20"/>
  <c r="Q31" i="20"/>
  <c r="R31" i="20"/>
  <c r="S31" i="20"/>
  <c r="T31" i="20"/>
  <c r="U31" i="20"/>
  <c r="V31" i="20"/>
  <c r="I32" i="20"/>
  <c r="J32" i="20"/>
  <c r="K32" i="20"/>
  <c r="L32" i="20"/>
  <c r="M32" i="20"/>
  <c r="N32" i="20"/>
  <c r="O32" i="20"/>
  <c r="P32" i="20"/>
  <c r="Q32" i="20"/>
  <c r="R32" i="20"/>
  <c r="S32" i="20"/>
  <c r="T32" i="20"/>
  <c r="U32" i="20"/>
  <c r="V32" i="20"/>
  <c r="I33" i="20"/>
  <c r="J33" i="20"/>
  <c r="K33" i="20"/>
  <c r="L33" i="20"/>
  <c r="M33" i="20"/>
  <c r="N33" i="20"/>
  <c r="O33" i="20"/>
  <c r="P33" i="20"/>
  <c r="Q33" i="20"/>
  <c r="R33" i="20"/>
  <c r="S33" i="20"/>
  <c r="T33" i="20"/>
  <c r="U33" i="20"/>
  <c r="V33" i="20"/>
  <c r="I34" i="20"/>
  <c r="J34" i="20"/>
  <c r="K34" i="20"/>
  <c r="L34" i="20"/>
  <c r="M34" i="20"/>
  <c r="N34" i="20"/>
  <c r="O34" i="20"/>
  <c r="P34" i="20"/>
  <c r="Q34" i="20"/>
  <c r="R34" i="20"/>
  <c r="S34" i="20"/>
  <c r="T34" i="20"/>
  <c r="U34" i="20"/>
  <c r="V34" i="20"/>
  <c r="I35" i="20"/>
  <c r="J35" i="20"/>
  <c r="K35" i="20"/>
  <c r="L35" i="20"/>
  <c r="M35" i="20"/>
  <c r="N35" i="20"/>
  <c r="O35" i="20"/>
  <c r="P35" i="20"/>
  <c r="Q35" i="20"/>
  <c r="R35" i="20"/>
  <c r="S35" i="20"/>
  <c r="T35" i="20"/>
  <c r="U35" i="20"/>
  <c r="V35" i="20"/>
  <c r="I36" i="20"/>
  <c r="J36" i="20"/>
  <c r="K36" i="20"/>
  <c r="L36" i="20"/>
  <c r="M36" i="20"/>
  <c r="N36" i="20"/>
  <c r="O36" i="20"/>
  <c r="P36" i="20"/>
  <c r="Q36" i="20"/>
  <c r="R36" i="20"/>
  <c r="S36" i="20"/>
  <c r="T36" i="20"/>
  <c r="U36" i="20"/>
  <c r="V36" i="20"/>
  <c r="I37" i="20"/>
  <c r="J37" i="20"/>
  <c r="K37" i="20"/>
  <c r="L37" i="20"/>
  <c r="M37" i="20"/>
  <c r="N37" i="20"/>
  <c r="O37" i="20"/>
  <c r="P37" i="20"/>
  <c r="Q37" i="20"/>
  <c r="R37" i="20"/>
  <c r="S37" i="20"/>
  <c r="T37" i="20"/>
  <c r="U37" i="20"/>
  <c r="V37" i="20"/>
  <c r="I38" i="20"/>
  <c r="J38" i="20"/>
  <c r="K38" i="20"/>
  <c r="L38" i="20"/>
  <c r="M38" i="20"/>
  <c r="N38" i="20"/>
  <c r="O38" i="20"/>
  <c r="P38" i="20"/>
  <c r="Q38" i="20"/>
  <c r="R38" i="20"/>
  <c r="S38" i="20"/>
  <c r="T38" i="20"/>
  <c r="U38" i="20"/>
  <c r="V38" i="20"/>
  <c r="I39" i="20"/>
  <c r="J39" i="20"/>
  <c r="K39" i="20"/>
  <c r="L39" i="20"/>
  <c r="M39" i="20"/>
  <c r="N39" i="20"/>
  <c r="O39" i="20"/>
  <c r="P39" i="20"/>
  <c r="Q39" i="20"/>
  <c r="R39" i="20"/>
  <c r="S39" i="20"/>
  <c r="T39" i="20"/>
  <c r="U39" i="20"/>
  <c r="V39" i="20"/>
  <c r="I40" i="20"/>
  <c r="J40" i="20"/>
  <c r="K40" i="20"/>
  <c r="L40" i="20"/>
  <c r="M40" i="20"/>
  <c r="N40" i="20"/>
  <c r="O40" i="20"/>
  <c r="P40" i="20"/>
  <c r="Q40" i="20"/>
  <c r="R40" i="20"/>
  <c r="S40" i="20"/>
  <c r="T40" i="20"/>
  <c r="U40" i="20"/>
  <c r="V40" i="20"/>
  <c r="I41" i="20"/>
  <c r="J41" i="20"/>
  <c r="K41" i="20"/>
  <c r="L41" i="20"/>
  <c r="M41" i="20"/>
  <c r="N41" i="20"/>
  <c r="O41" i="20"/>
  <c r="P41" i="20"/>
  <c r="Q41" i="20"/>
  <c r="R41" i="20"/>
  <c r="S41" i="20"/>
  <c r="T41" i="20"/>
  <c r="U41" i="20"/>
  <c r="V41" i="20"/>
  <c r="I42" i="20"/>
  <c r="J42" i="20"/>
  <c r="K42" i="20"/>
  <c r="L42" i="20"/>
  <c r="M42" i="20"/>
  <c r="N42" i="20"/>
  <c r="O42" i="20"/>
  <c r="P42" i="20"/>
  <c r="Q42" i="20"/>
  <c r="R42" i="20"/>
  <c r="S42" i="20"/>
  <c r="T42" i="20"/>
  <c r="U42" i="20"/>
  <c r="V42" i="20"/>
  <c r="I43" i="20"/>
  <c r="J43" i="20"/>
  <c r="K43" i="20"/>
  <c r="L43" i="20"/>
  <c r="M43" i="20"/>
  <c r="N43" i="20"/>
  <c r="O43" i="20"/>
  <c r="P43" i="20"/>
  <c r="Q43" i="20"/>
  <c r="R43" i="20"/>
  <c r="S43" i="20"/>
  <c r="T43" i="20"/>
  <c r="U43" i="20"/>
  <c r="V43" i="20"/>
  <c r="I44" i="20"/>
  <c r="J44" i="20"/>
  <c r="K44" i="20"/>
  <c r="L44" i="20"/>
  <c r="M44" i="20"/>
  <c r="N44" i="20"/>
  <c r="O44" i="20"/>
  <c r="P44" i="20"/>
  <c r="Q44" i="20"/>
  <c r="R44" i="20"/>
  <c r="S44" i="20"/>
  <c r="T44" i="20"/>
  <c r="U44" i="20"/>
  <c r="V44" i="20"/>
  <c r="I45" i="20"/>
  <c r="J45" i="20"/>
  <c r="K45" i="20"/>
  <c r="L45" i="20"/>
  <c r="M45" i="20"/>
  <c r="N45" i="20"/>
  <c r="O45" i="20"/>
  <c r="P45" i="20"/>
  <c r="Q45" i="20"/>
  <c r="R45" i="20"/>
  <c r="S45" i="20"/>
  <c r="T45" i="20"/>
  <c r="U45" i="20"/>
  <c r="V45" i="20"/>
  <c r="I46" i="20"/>
  <c r="J46" i="20"/>
  <c r="K46" i="20"/>
  <c r="L46" i="20"/>
  <c r="M46" i="20"/>
  <c r="N46" i="20"/>
  <c r="O46" i="20"/>
  <c r="P46" i="20"/>
  <c r="Q46" i="20"/>
  <c r="R46" i="20"/>
  <c r="S46" i="20"/>
  <c r="T46" i="20"/>
  <c r="U46" i="20"/>
  <c r="V46" i="20"/>
  <c r="I47" i="20"/>
  <c r="J47" i="20"/>
  <c r="K47" i="20"/>
  <c r="L47" i="20"/>
  <c r="M47" i="20"/>
  <c r="N47" i="20"/>
  <c r="O47" i="20"/>
  <c r="P47" i="20"/>
  <c r="Q47" i="20"/>
  <c r="R47" i="20"/>
  <c r="S47" i="20"/>
  <c r="T47" i="20"/>
  <c r="U47" i="20"/>
  <c r="V47" i="20"/>
  <c r="I48" i="20"/>
  <c r="J48" i="20"/>
  <c r="K48" i="20"/>
  <c r="L48" i="20"/>
  <c r="M48" i="20"/>
  <c r="N48" i="20"/>
  <c r="O48" i="20"/>
  <c r="P48" i="20"/>
  <c r="Q48" i="20"/>
  <c r="R48" i="20"/>
  <c r="S48" i="20"/>
  <c r="T48" i="20"/>
  <c r="U48" i="20"/>
  <c r="V48" i="20"/>
  <c r="I49" i="20"/>
  <c r="J49" i="20"/>
  <c r="K49" i="20"/>
  <c r="L49" i="20"/>
  <c r="M49" i="20"/>
  <c r="N49" i="20"/>
  <c r="O49" i="20"/>
  <c r="P49" i="20"/>
  <c r="Q49" i="20"/>
  <c r="R49" i="20"/>
  <c r="S49" i="20"/>
  <c r="T49" i="20"/>
  <c r="U49" i="20"/>
  <c r="V49" i="20"/>
  <c r="I50" i="20"/>
  <c r="J50" i="20"/>
  <c r="K50" i="20"/>
  <c r="L50" i="20"/>
  <c r="M50" i="20"/>
  <c r="N50" i="20"/>
  <c r="O50" i="20"/>
  <c r="P50" i="20"/>
  <c r="Q50" i="20"/>
  <c r="R50" i="20"/>
  <c r="S50" i="20"/>
  <c r="T50" i="20"/>
  <c r="U50" i="20"/>
  <c r="V50" i="20"/>
  <c r="I51" i="20"/>
  <c r="J51" i="20"/>
  <c r="K51" i="20"/>
  <c r="L51" i="20"/>
  <c r="M51" i="20"/>
  <c r="N51" i="20"/>
  <c r="O51" i="20"/>
  <c r="P51" i="20"/>
  <c r="Q51" i="20"/>
  <c r="R51" i="20"/>
  <c r="S51" i="20"/>
  <c r="T51" i="20"/>
  <c r="U51" i="20"/>
  <c r="V51" i="20"/>
  <c r="I52" i="20"/>
  <c r="J52" i="20"/>
  <c r="K52" i="20"/>
  <c r="L52" i="20"/>
  <c r="M52" i="20"/>
  <c r="N52" i="20"/>
  <c r="O52" i="20"/>
  <c r="P52" i="20"/>
  <c r="Q52" i="20"/>
  <c r="R52" i="20"/>
  <c r="S52" i="20"/>
  <c r="T52" i="20"/>
  <c r="U52" i="20"/>
  <c r="V52" i="20"/>
  <c r="I53" i="20"/>
  <c r="J53" i="20"/>
  <c r="K53" i="20"/>
  <c r="L53" i="20"/>
  <c r="M53" i="20"/>
  <c r="N53" i="20"/>
  <c r="O53" i="20"/>
  <c r="P53" i="20"/>
  <c r="Q53" i="20"/>
  <c r="R53" i="20"/>
  <c r="S53" i="20"/>
  <c r="T53" i="20"/>
  <c r="U53" i="20"/>
  <c r="V53" i="20"/>
  <c r="I54" i="20"/>
  <c r="J54" i="20"/>
  <c r="K54" i="20"/>
  <c r="L54" i="20"/>
  <c r="M54" i="20"/>
  <c r="N54" i="20"/>
  <c r="O54" i="20"/>
  <c r="P54" i="20"/>
  <c r="Q54" i="20"/>
  <c r="R54" i="20"/>
  <c r="S54" i="20"/>
  <c r="T54" i="20"/>
  <c r="U54" i="20"/>
  <c r="V54" i="20"/>
  <c r="I55" i="20"/>
  <c r="J55" i="20"/>
  <c r="K55" i="20"/>
  <c r="L55" i="20"/>
  <c r="M55" i="20"/>
  <c r="N55" i="20"/>
  <c r="O55" i="20"/>
  <c r="P55" i="20"/>
  <c r="Q55" i="20"/>
  <c r="R55" i="20"/>
  <c r="S55" i="20"/>
  <c r="T55" i="20"/>
  <c r="U55" i="20"/>
  <c r="V55" i="20"/>
  <c r="I56" i="20"/>
  <c r="J56" i="20"/>
  <c r="K56" i="20"/>
  <c r="L56" i="20"/>
  <c r="M56" i="20"/>
  <c r="N56" i="20"/>
  <c r="O56" i="20"/>
  <c r="P56" i="20"/>
  <c r="Q56" i="20"/>
  <c r="R56" i="20"/>
  <c r="S56" i="20"/>
  <c r="T56" i="20"/>
  <c r="U56" i="20"/>
  <c r="V56" i="20"/>
  <c r="I57" i="20"/>
  <c r="J57" i="20"/>
  <c r="K57" i="20"/>
  <c r="L57" i="20"/>
  <c r="M57" i="20"/>
  <c r="N57" i="20"/>
  <c r="O57" i="20"/>
  <c r="P57" i="20"/>
  <c r="Q57" i="20"/>
  <c r="R57" i="20"/>
  <c r="S57" i="20"/>
  <c r="T57" i="20"/>
  <c r="U57" i="20"/>
  <c r="V57" i="20"/>
  <c r="I58" i="20"/>
  <c r="J58" i="20"/>
  <c r="K58" i="20"/>
  <c r="L58" i="20"/>
  <c r="M58" i="20"/>
  <c r="N58" i="20"/>
  <c r="O58" i="20"/>
  <c r="P58" i="20"/>
  <c r="Q58" i="20"/>
  <c r="R58" i="20"/>
  <c r="S58" i="20"/>
  <c r="T58" i="20"/>
  <c r="U58" i="20"/>
  <c r="V58" i="20"/>
  <c r="I59" i="20"/>
  <c r="J59" i="20"/>
  <c r="K59" i="20"/>
  <c r="L59" i="20"/>
  <c r="M59" i="20"/>
  <c r="N59" i="20"/>
  <c r="O59" i="20"/>
  <c r="P59" i="20"/>
  <c r="Q59" i="20"/>
  <c r="R59" i="20"/>
  <c r="S59" i="20"/>
  <c r="T59" i="20"/>
  <c r="U59" i="20"/>
  <c r="V59" i="20"/>
  <c r="I60" i="20"/>
  <c r="J60" i="20"/>
  <c r="K60" i="20"/>
  <c r="L60" i="20"/>
  <c r="M60" i="20"/>
  <c r="N60" i="20"/>
  <c r="O60" i="20"/>
  <c r="P60" i="20"/>
  <c r="Q60" i="20"/>
  <c r="R60" i="20"/>
  <c r="S60" i="20"/>
  <c r="T60" i="20"/>
  <c r="U60" i="20"/>
  <c r="V60" i="20"/>
  <c r="I61" i="20"/>
  <c r="J61" i="20"/>
  <c r="K61" i="20"/>
  <c r="L61" i="20"/>
  <c r="M61" i="20"/>
  <c r="N61" i="20"/>
  <c r="O61" i="20"/>
  <c r="P61" i="20"/>
  <c r="Q61" i="20"/>
  <c r="R61" i="20"/>
  <c r="S61" i="20"/>
  <c r="T61" i="20"/>
  <c r="U61" i="20"/>
  <c r="V61" i="20"/>
  <c r="I62" i="20"/>
  <c r="J62" i="20"/>
  <c r="K62" i="20"/>
  <c r="L62" i="20"/>
  <c r="M62" i="20"/>
  <c r="N62" i="20"/>
  <c r="O62" i="20"/>
  <c r="P62" i="20"/>
  <c r="Q62" i="20"/>
  <c r="R62" i="20"/>
  <c r="S62" i="20"/>
  <c r="T62" i="20"/>
  <c r="U62" i="20"/>
  <c r="V62" i="20"/>
  <c r="I63" i="20"/>
  <c r="J63" i="20"/>
  <c r="K63" i="20"/>
  <c r="L63" i="20"/>
  <c r="M63" i="20"/>
  <c r="N63" i="20"/>
  <c r="O63" i="20"/>
  <c r="P63" i="20"/>
  <c r="Q63" i="20"/>
  <c r="R63" i="20"/>
  <c r="S63" i="20"/>
  <c r="T63" i="20"/>
  <c r="U63" i="20"/>
  <c r="V63" i="20"/>
  <c r="I64" i="20"/>
  <c r="J64" i="20"/>
  <c r="K64" i="20"/>
  <c r="L64" i="20"/>
  <c r="M64" i="20"/>
  <c r="N64" i="20"/>
  <c r="O64" i="20"/>
  <c r="P64" i="20"/>
  <c r="Q64" i="20"/>
  <c r="R64" i="20"/>
  <c r="S64" i="20"/>
  <c r="T64" i="20"/>
  <c r="U64" i="20"/>
  <c r="V64" i="20"/>
  <c r="I65" i="20"/>
  <c r="J65" i="20"/>
  <c r="K65" i="20"/>
  <c r="L65" i="20"/>
  <c r="M65" i="20"/>
  <c r="N65" i="20"/>
  <c r="O65" i="20"/>
  <c r="P65" i="20"/>
  <c r="Q65" i="20"/>
  <c r="R65" i="20"/>
  <c r="S65" i="20"/>
  <c r="T65" i="20"/>
  <c r="U65" i="20"/>
  <c r="V65" i="20"/>
  <c r="I66" i="20"/>
  <c r="J66" i="20"/>
  <c r="K66" i="20"/>
  <c r="L66" i="20"/>
  <c r="M66" i="20"/>
  <c r="N66" i="20"/>
  <c r="O66" i="20"/>
  <c r="P66" i="20"/>
  <c r="Q66" i="20"/>
  <c r="R66" i="20"/>
  <c r="S66" i="20"/>
  <c r="T66" i="20"/>
  <c r="U66" i="20"/>
  <c r="V66" i="20"/>
  <c r="I67" i="20"/>
  <c r="J67" i="20"/>
  <c r="K67" i="20"/>
  <c r="L67" i="20"/>
  <c r="M67" i="20"/>
  <c r="N67" i="20"/>
  <c r="O67" i="20"/>
  <c r="P67" i="20"/>
  <c r="Q67" i="20"/>
  <c r="R67" i="20"/>
  <c r="S67" i="20"/>
  <c r="T67" i="20"/>
  <c r="U67" i="20"/>
  <c r="V67" i="20"/>
  <c r="I68" i="20"/>
  <c r="J68" i="20"/>
  <c r="K68" i="20"/>
  <c r="L68" i="20"/>
  <c r="M68" i="20"/>
  <c r="N68" i="20"/>
  <c r="O68" i="20"/>
  <c r="P68" i="20"/>
  <c r="Q68" i="20"/>
  <c r="R68" i="20"/>
  <c r="S68" i="20"/>
  <c r="T68" i="20"/>
  <c r="U68" i="20"/>
  <c r="V68" i="20"/>
  <c r="I69" i="20"/>
  <c r="J69" i="20"/>
  <c r="K69" i="20"/>
  <c r="L69" i="20"/>
  <c r="M69" i="20"/>
  <c r="N69" i="20"/>
  <c r="O69" i="20"/>
  <c r="P69" i="20"/>
  <c r="Q69" i="20"/>
  <c r="R69" i="20"/>
  <c r="S69" i="20"/>
  <c r="T69" i="20"/>
  <c r="U69" i="20"/>
  <c r="V69" i="20"/>
  <c r="I70" i="20"/>
  <c r="J70" i="20"/>
  <c r="K70" i="20"/>
  <c r="L70" i="20"/>
  <c r="M70" i="20"/>
  <c r="N70" i="20"/>
  <c r="O70" i="20"/>
  <c r="P70" i="20"/>
  <c r="Q70" i="20"/>
  <c r="R70" i="20"/>
  <c r="S70" i="20"/>
  <c r="T70" i="20"/>
  <c r="U70" i="20"/>
  <c r="V70" i="20"/>
  <c r="I71" i="20"/>
  <c r="J71" i="20"/>
  <c r="K71" i="20"/>
  <c r="L71" i="20"/>
  <c r="M71" i="20"/>
  <c r="N71" i="20"/>
  <c r="O71" i="20"/>
  <c r="P71" i="20"/>
  <c r="Q71" i="20"/>
  <c r="R71" i="20"/>
  <c r="S71" i="20"/>
  <c r="T71" i="20"/>
  <c r="U71" i="20"/>
  <c r="V71" i="20"/>
  <c r="I72" i="20"/>
  <c r="J72" i="20"/>
  <c r="K72" i="20"/>
  <c r="L72" i="20"/>
  <c r="M72" i="20"/>
  <c r="N72" i="20"/>
  <c r="O72" i="20"/>
  <c r="P72" i="20"/>
  <c r="Q72" i="20"/>
  <c r="R72" i="20"/>
  <c r="S72" i="20"/>
  <c r="T72" i="20"/>
  <c r="U72" i="20"/>
  <c r="V72" i="20"/>
  <c r="I73" i="20"/>
  <c r="J73" i="20"/>
  <c r="K73" i="20"/>
  <c r="L73" i="20"/>
  <c r="M73" i="20"/>
  <c r="N73" i="20"/>
  <c r="O73" i="20"/>
  <c r="P73" i="20"/>
  <c r="Q73" i="20"/>
  <c r="R73" i="20"/>
  <c r="S73" i="20"/>
  <c r="T73" i="20"/>
  <c r="U73" i="20"/>
  <c r="V73" i="20"/>
  <c r="I74" i="20"/>
  <c r="J74" i="20"/>
  <c r="K74" i="20"/>
  <c r="L74" i="20"/>
  <c r="M74" i="20"/>
  <c r="N74" i="20"/>
  <c r="O74" i="20"/>
  <c r="P74" i="20"/>
  <c r="Q74" i="20"/>
  <c r="R74" i="20"/>
  <c r="S74" i="20"/>
  <c r="T74" i="20"/>
  <c r="U74" i="20"/>
  <c r="V74" i="20"/>
  <c r="I75" i="20"/>
  <c r="J75" i="20"/>
  <c r="K75" i="20"/>
  <c r="L75" i="20"/>
  <c r="M75" i="20"/>
  <c r="N75" i="20"/>
  <c r="O75" i="20"/>
  <c r="P75" i="20"/>
  <c r="Q75" i="20"/>
  <c r="R75" i="20"/>
  <c r="S75" i="20"/>
  <c r="T75" i="20"/>
  <c r="U75" i="20"/>
  <c r="V75" i="20"/>
  <c r="I76" i="20"/>
  <c r="J76" i="20"/>
  <c r="K76" i="20"/>
  <c r="L76" i="20"/>
  <c r="M76" i="20"/>
  <c r="N76" i="20"/>
  <c r="O76" i="20"/>
  <c r="P76" i="20"/>
  <c r="Q76" i="20"/>
  <c r="R76" i="20"/>
  <c r="S76" i="20"/>
  <c r="T76" i="20"/>
  <c r="U76" i="20"/>
  <c r="V76" i="20"/>
  <c r="I77" i="20"/>
  <c r="J77" i="20"/>
  <c r="K77" i="20"/>
  <c r="L77" i="20"/>
  <c r="M77" i="20"/>
  <c r="N77" i="20"/>
  <c r="O77" i="20"/>
  <c r="P77" i="20"/>
  <c r="Q77" i="20"/>
  <c r="R77" i="20"/>
  <c r="S77" i="20"/>
  <c r="T77" i="20"/>
  <c r="U77" i="20"/>
  <c r="V77" i="20"/>
  <c r="I78" i="20"/>
  <c r="J78" i="20"/>
  <c r="K78" i="20"/>
  <c r="L78" i="20"/>
  <c r="M78" i="20"/>
  <c r="N78" i="20"/>
  <c r="O78" i="20"/>
  <c r="P78" i="20"/>
  <c r="Q78" i="20"/>
  <c r="R78" i="20"/>
  <c r="S78" i="20"/>
  <c r="T78" i="20"/>
  <c r="U78" i="20"/>
  <c r="V78" i="20"/>
  <c r="I79" i="20"/>
  <c r="J79" i="20"/>
  <c r="K79" i="20"/>
  <c r="L79" i="20"/>
  <c r="M79" i="20"/>
  <c r="N79" i="20"/>
  <c r="O79" i="20"/>
  <c r="P79" i="20"/>
  <c r="Q79" i="20"/>
  <c r="R79" i="20"/>
  <c r="S79" i="20"/>
  <c r="T79" i="20"/>
  <c r="U79" i="20"/>
  <c r="V79" i="20"/>
  <c r="I80" i="20"/>
  <c r="J80" i="20"/>
  <c r="K80" i="20"/>
  <c r="L80" i="20"/>
  <c r="M80" i="20"/>
  <c r="N80" i="20"/>
  <c r="O80" i="20"/>
  <c r="P80" i="20"/>
  <c r="Q80" i="20"/>
  <c r="R80" i="20"/>
  <c r="S80" i="20"/>
  <c r="T80" i="20"/>
  <c r="U80" i="20"/>
  <c r="V80" i="20"/>
  <c r="I81" i="20"/>
  <c r="J81" i="20"/>
  <c r="K81" i="20"/>
  <c r="L81" i="20"/>
  <c r="M81" i="20"/>
  <c r="N81" i="20"/>
  <c r="O81" i="20"/>
  <c r="P81" i="20"/>
  <c r="Q81" i="20"/>
  <c r="R81" i="20"/>
  <c r="S81" i="20"/>
  <c r="T81" i="20"/>
  <c r="U81" i="20"/>
  <c r="V81" i="20"/>
  <c r="I82" i="20"/>
  <c r="J82" i="20"/>
  <c r="K82" i="20"/>
  <c r="L82" i="20"/>
  <c r="M82" i="20"/>
  <c r="N82" i="20"/>
  <c r="O82" i="20"/>
  <c r="P82" i="20"/>
  <c r="Q82" i="20"/>
  <c r="R82" i="20"/>
  <c r="S82" i="20"/>
  <c r="T82" i="20"/>
  <c r="U82" i="20"/>
  <c r="V82" i="20"/>
  <c r="I83" i="20"/>
  <c r="J83" i="20"/>
  <c r="K83" i="20"/>
  <c r="L83" i="20"/>
  <c r="M83" i="20"/>
  <c r="N83" i="20"/>
  <c r="O83" i="20"/>
  <c r="P83" i="20"/>
  <c r="Q83" i="20"/>
  <c r="R83" i="20"/>
  <c r="S83" i="20"/>
  <c r="T83" i="20"/>
  <c r="U83" i="20"/>
  <c r="V83" i="20"/>
  <c r="I84" i="20"/>
  <c r="J84" i="20"/>
  <c r="K84" i="20"/>
  <c r="L84" i="20"/>
  <c r="M84" i="20"/>
  <c r="N84" i="20"/>
  <c r="O84" i="20"/>
  <c r="P84" i="20"/>
  <c r="Q84" i="20"/>
  <c r="R84" i="20"/>
  <c r="S84" i="20"/>
  <c r="T84" i="20"/>
  <c r="U84" i="20"/>
  <c r="V84" i="20"/>
  <c r="I85" i="20"/>
  <c r="J85" i="20"/>
  <c r="K85" i="20"/>
  <c r="L85" i="20"/>
  <c r="M85" i="20"/>
  <c r="N85" i="20"/>
  <c r="O85" i="20"/>
  <c r="P85" i="20"/>
  <c r="Q85" i="20"/>
  <c r="R85" i="20"/>
  <c r="S85" i="20"/>
  <c r="T85" i="20"/>
  <c r="U85" i="20"/>
  <c r="V85" i="20"/>
  <c r="I86" i="20"/>
  <c r="J86" i="20"/>
  <c r="K86" i="20"/>
  <c r="L86" i="20"/>
  <c r="M86" i="20"/>
  <c r="N86" i="20"/>
  <c r="O86" i="20"/>
  <c r="P86" i="20"/>
  <c r="Q86" i="20"/>
  <c r="R86" i="20"/>
  <c r="S86" i="20"/>
  <c r="T86" i="20"/>
  <c r="U86" i="20"/>
  <c r="V86" i="20"/>
  <c r="I87" i="20"/>
  <c r="J87" i="20"/>
  <c r="K87" i="20"/>
  <c r="L87" i="20"/>
  <c r="M87" i="20"/>
  <c r="N87" i="20"/>
  <c r="O87" i="20"/>
  <c r="P87" i="20"/>
  <c r="Q87" i="20"/>
  <c r="R87" i="20"/>
  <c r="S87" i="20"/>
  <c r="T87" i="20"/>
  <c r="U87" i="20"/>
  <c r="V87" i="20"/>
  <c r="I88" i="20"/>
  <c r="J88" i="20"/>
  <c r="K88" i="20"/>
  <c r="L88" i="20"/>
  <c r="M88" i="20"/>
  <c r="N88" i="20"/>
  <c r="O88" i="20"/>
  <c r="P88" i="20"/>
  <c r="Q88" i="20"/>
  <c r="R88" i="20"/>
  <c r="S88" i="20"/>
  <c r="T88" i="20"/>
  <c r="U88" i="20"/>
  <c r="V88" i="20"/>
  <c r="I89" i="20"/>
  <c r="J89" i="20"/>
  <c r="K89" i="20"/>
  <c r="L89" i="20"/>
  <c r="M89" i="20"/>
  <c r="N89" i="20"/>
  <c r="O89" i="20"/>
  <c r="P89" i="20"/>
  <c r="Q89" i="20"/>
  <c r="R89" i="20"/>
  <c r="S89" i="20"/>
  <c r="T89" i="20"/>
  <c r="U89" i="20"/>
  <c r="V89" i="20"/>
  <c r="I90" i="20"/>
  <c r="J90" i="20"/>
  <c r="K90" i="20"/>
  <c r="L90" i="20"/>
  <c r="M90" i="20"/>
  <c r="N90" i="20"/>
  <c r="O90" i="20"/>
  <c r="P90" i="20"/>
  <c r="Q90" i="20"/>
  <c r="R90" i="20"/>
  <c r="S90" i="20"/>
  <c r="T90" i="20"/>
  <c r="U90" i="20"/>
  <c r="V90" i="20"/>
  <c r="I91" i="20"/>
  <c r="J91" i="20"/>
  <c r="K91" i="20"/>
  <c r="L91" i="20"/>
  <c r="M91" i="20"/>
  <c r="N91" i="20"/>
  <c r="O91" i="20"/>
  <c r="P91" i="20"/>
  <c r="Q91" i="20"/>
  <c r="R91" i="20"/>
  <c r="S91" i="20"/>
  <c r="T91" i="20"/>
  <c r="U91" i="20"/>
  <c r="V91" i="20"/>
  <c r="I92" i="20"/>
  <c r="J92" i="20"/>
  <c r="K92" i="20"/>
  <c r="L92" i="20"/>
  <c r="M92" i="20"/>
  <c r="N92" i="20"/>
  <c r="O92" i="20"/>
  <c r="P92" i="20"/>
  <c r="Q92" i="20"/>
  <c r="R92" i="20"/>
  <c r="S92" i="20"/>
  <c r="T92" i="20"/>
  <c r="U92" i="20"/>
  <c r="V92" i="20"/>
  <c r="I93" i="20"/>
  <c r="J93" i="20"/>
  <c r="K93" i="20"/>
  <c r="L93" i="20"/>
  <c r="M93" i="20"/>
  <c r="N93" i="20"/>
  <c r="O93" i="20"/>
  <c r="P93" i="20"/>
  <c r="Q93" i="20"/>
  <c r="R93" i="20"/>
  <c r="S93" i="20"/>
  <c r="T93" i="20"/>
  <c r="U93" i="20"/>
  <c r="V93" i="20"/>
  <c r="I94" i="20"/>
  <c r="J94" i="20"/>
  <c r="K94" i="20"/>
  <c r="L94" i="20"/>
  <c r="M94" i="20"/>
  <c r="N94" i="20"/>
  <c r="O94" i="20"/>
  <c r="P94" i="20"/>
  <c r="Q94" i="20"/>
  <c r="R94" i="20"/>
  <c r="S94" i="20"/>
  <c r="T94" i="20"/>
  <c r="U94" i="20"/>
  <c r="V94" i="20"/>
  <c r="I95" i="20"/>
  <c r="J95" i="20"/>
  <c r="K95" i="20"/>
  <c r="L95" i="20"/>
  <c r="M95" i="20"/>
  <c r="N95" i="20"/>
  <c r="O95" i="20"/>
  <c r="P95" i="20"/>
  <c r="Q95" i="20"/>
  <c r="R95" i="20"/>
  <c r="S95" i="20"/>
  <c r="T95" i="20"/>
  <c r="U95" i="20"/>
  <c r="V95" i="20"/>
  <c r="I96" i="20"/>
  <c r="J96" i="20"/>
  <c r="K96" i="20"/>
  <c r="L96" i="20"/>
  <c r="M96" i="20"/>
  <c r="N96" i="20"/>
  <c r="O96" i="20"/>
  <c r="P96" i="20"/>
  <c r="Q96" i="20"/>
  <c r="R96" i="20"/>
  <c r="S96" i="20"/>
  <c r="T96" i="20"/>
  <c r="U96" i="20"/>
  <c r="V96" i="20"/>
  <c r="I97" i="20"/>
  <c r="J97" i="20"/>
  <c r="K97" i="20"/>
  <c r="L97" i="20"/>
  <c r="M97" i="20"/>
  <c r="N97" i="20"/>
  <c r="O97" i="20"/>
  <c r="P97" i="20"/>
  <c r="Q97" i="20"/>
  <c r="R97" i="20"/>
  <c r="S97" i="20"/>
  <c r="T97" i="20"/>
  <c r="U97" i="20"/>
  <c r="V97" i="20"/>
  <c r="I98" i="20"/>
  <c r="J98" i="20"/>
  <c r="K98" i="20"/>
  <c r="L98" i="20"/>
  <c r="M98" i="20"/>
  <c r="N98" i="20"/>
  <c r="O98" i="20"/>
  <c r="P98" i="20"/>
  <c r="Q98" i="20"/>
  <c r="R98" i="20"/>
  <c r="S98" i="20"/>
  <c r="T98" i="20"/>
  <c r="U98" i="20"/>
  <c r="V98" i="20"/>
  <c r="G2" i="23" l="1"/>
  <c r="J2" i="23"/>
  <c r="V2" i="23"/>
  <c r="P2" i="23"/>
  <c r="R2" i="23"/>
  <c r="L2" i="23"/>
  <c r="T2" i="23"/>
  <c r="N2" i="23"/>
  <c r="O2" i="23"/>
  <c r="M2" i="23"/>
  <c r="U2" i="23"/>
  <c r="I2" i="23"/>
  <c r="Q2" i="23"/>
  <c r="K2" i="23"/>
  <c r="S2" i="23"/>
  <c r="G10" i="23"/>
  <c r="G11" i="23" s="1"/>
  <c r="C7" i="21"/>
  <c r="J7" i="21"/>
  <c r="C15" i="21"/>
  <c r="J4" i="21"/>
  <c r="J3" i="21"/>
  <c r="C3" i="21"/>
  <c r="J4" i="20"/>
  <c r="J2" i="20" s="1"/>
  <c r="D10" i="4" s="1"/>
  <c r="G22" i="4" s="1"/>
  <c r="V4" i="20"/>
  <c r="V2" i="20" s="1"/>
  <c r="D23" i="4" s="1"/>
  <c r="U4" i="20"/>
  <c r="U2" i="20" s="1"/>
  <c r="D22" i="4" s="1"/>
  <c r="T4" i="20"/>
  <c r="T2" i="20" s="1"/>
  <c r="D21" i="4" s="1"/>
  <c r="F21" i="4" s="1"/>
  <c r="S4" i="20"/>
  <c r="S2" i="20" s="1"/>
  <c r="D20" i="4" s="1"/>
  <c r="F20" i="4" s="1"/>
  <c r="R4" i="20"/>
  <c r="R2" i="20" s="1"/>
  <c r="D19" i="4" s="1"/>
  <c r="Q4" i="20"/>
  <c r="Q2" i="20" s="1"/>
  <c r="D18" i="4" s="1"/>
  <c r="P4" i="20"/>
  <c r="P2" i="20" s="1"/>
  <c r="D17" i="4" s="1"/>
  <c r="O4" i="20"/>
  <c r="O2" i="20" s="1"/>
  <c r="D16" i="4" s="1"/>
  <c r="N4" i="20"/>
  <c r="N2" i="20" s="1"/>
  <c r="D14" i="4" s="1"/>
  <c r="M4" i="20"/>
  <c r="M2" i="20" s="1"/>
  <c r="D13" i="4" s="1"/>
  <c r="L4" i="20"/>
  <c r="L2" i="20" s="1"/>
  <c r="D12" i="4" s="1"/>
  <c r="F12" i="4" s="1"/>
  <c r="K4" i="20"/>
  <c r="K2" i="20" s="1"/>
  <c r="D11" i="4" s="1"/>
  <c r="I4" i="20"/>
  <c r="I2" i="20" s="1"/>
  <c r="D9" i="4" s="1"/>
  <c r="F2" i="20"/>
  <c r="E2" i="20"/>
  <c r="G5" i="20"/>
  <c r="G6" i="20" s="1"/>
  <c r="G7" i="20" s="1"/>
  <c r="I4" i="7"/>
  <c r="J4" i="7" s="1"/>
  <c r="K4" i="7" s="1"/>
  <c r="V4" i="7"/>
  <c r="V5" i="7"/>
  <c r="V6" i="7"/>
  <c r="V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110" i="7"/>
  <c r="V111" i="7"/>
  <c r="V112" i="7"/>
  <c r="V113" i="7"/>
  <c r="V114" i="7"/>
  <c r="V115" i="7"/>
  <c r="V116" i="7"/>
  <c r="V117" i="7"/>
  <c r="V118" i="7"/>
  <c r="V119" i="7"/>
  <c r="V120" i="7"/>
  <c r="V121" i="7"/>
  <c r="V122" i="7"/>
  <c r="V123" i="7"/>
  <c r="V124" i="7"/>
  <c r="V125" i="7"/>
  <c r="V126" i="7"/>
  <c r="V127" i="7"/>
  <c r="V128" i="7"/>
  <c r="V129" i="7"/>
  <c r="V130" i="7"/>
  <c r="V131" i="7"/>
  <c r="V132" i="7"/>
  <c r="V133" i="7"/>
  <c r="V134" i="7"/>
  <c r="V135" i="7"/>
  <c r="V136" i="7"/>
  <c r="V137" i="7"/>
  <c r="V138" i="7"/>
  <c r="V139" i="7"/>
  <c r="V140" i="7"/>
  <c r="V141" i="7"/>
  <c r="V142" i="7"/>
  <c r="V143" i="7"/>
  <c r="V144" i="7"/>
  <c r="V145" i="7"/>
  <c r="V146" i="7"/>
  <c r="V147" i="7"/>
  <c r="V148" i="7"/>
  <c r="V149" i="7"/>
  <c r="V150" i="7"/>
  <c r="V151" i="7"/>
  <c r="V152" i="7"/>
  <c r="V153" i="7"/>
  <c r="V154" i="7"/>
  <c r="V155" i="7"/>
  <c r="V156" i="7"/>
  <c r="V157" i="7"/>
  <c r="V158" i="7"/>
  <c r="V159" i="7"/>
  <c r="V160" i="7"/>
  <c r="V161" i="7"/>
  <c r="V162" i="7"/>
  <c r="V163" i="7"/>
  <c r="V164" i="7"/>
  <c r="V165" i="7"/>
  <c r="V166" i="7"/>
  <c r="V167" i="7"/>
  <c r="V168" i="7"/>
  <c r="V169" i="7"/>
  <c r="V170" i="7"/>
  <c r="V171" i="7"/>
  <c r="V172" i="7"/>
  <c r="V173" i="7"/>
  <c r="V174" i="7"/>
  <c r="V175" i="7"/>
  <c r="V176" i="7"/>
  <c r="V177" i="7"/>
  <c r="V178" i="7"/>
  <c r="V179" i="7"/>
  <c r="V180" i="7"/>
  <c r="V181" i="7"/>
  <c r="V182" i="7"/>
  <c r="V183" i="7"/>
  <c r="V184" i="7"/>
  <c r="V185" i="7"/>
  <c r="V186" i="7"/>
  <c r="V187" i="7"/>
  <c r="V188" i="7"/>
  <c r="V189" i="7"/>
  <c r="V190" i="7"/>
  <c r="V191" i="7"/>
  <c r="V192" i="7"/>
  <c r="V193" i="7"/>
  <c r="V194" i="7"/>
  <c r="V195" i="7"/>
  <c r="V196" i="7"/>
  <c r="V197" i="7"/>
  <c r="V198" i="7"/>
  <c r="V199" i="7"/>
  <c r="V200" i="7"/>
  <c r="V201" i="7"/>
  <c r="V202" i="7"/>
  <c r="V203" i="7"/>
  <c r="V204" i="7"/>
  <c r="V205" i="7"/>
  <c r="V206" i="7"/>
  <c r="V207" i="7"/>
  <c r="V208" i="7"/>
  <c r="V209" i="7"/>
  <c r="V210" i="7"/>
  <c r="V211" i="7"/>
  <c r="V212" i="7"/>
  <c r="V213" i="7"/>
  <c r="V214" i="7"/>
  <c r="V215" i="7"/>
  <c r="V216" i="7"/>
  <c r="V217" i="7"/>
  <c r="V218" i="7"/>
  <c r="V219" i="7"/>
  <c r="V220" i="7"/>
  <c r="V221" i="7"/>
  <c r="V222" i="7"/>
  <c r="V223" i="7"/>
  <c r="V224" i="7"/>
  <c r="V225" i="7"/>
  <c r="V226" i="7"/>
  <c r="V227" i="7"/>
  <c r="V228" i="7"/>
  <c r="V229" i="7"/>
  <c r="V230" i="7"/>
  <c r="V231" i="7"/>
  <c r="V232" i="7"/>
  <c r="V233" i="7"/>
  <c r="V234" i="7"/>
  <c r="V235" i="7"/>
  <c r="V236" i="7"/>
  <c r="V237" i="7"/>
  <c r="V238" i="7"/>
  <c r="V239" i="7"/>
  <c r="V240" i="7"/>
  <c r="V241" i="7"/>
  <c r="V242" i="7"/>
  <c r="V243" i="7"/>
  <c r="V244" i="7"/>
  <c r="V245" i="7"/>
  <c r="V246" i="7"/>
  <c r="V247" i="7"/>
  <c r="V248" i="7"/>
  <c r="V249" i="7"/>
  <c r="V250" i="7"/>
  <c r="V251" i="7"/>
  <c r="V252" i="7"/>
  <c r="V253" i="7"/>
  <c r="V254" i="7"/>
  <c r="V255" i="7"/>
  <c r="V256" i="7"/>
  <c r="V257" i="7"/>
  <c r="V258" i="7"/>
  <c r="V259" i="7"/>
  <c r="V260" i="7"/>
  <c r="V261" i="7"/>
  <c r="V262" i="7"/>
  <c r="V263" i="7"/>
  <c r="V264" i="7"/>
  <c r="V265" i="7"/>
  <c r="V266" i="7"/>
  <c r="V267" i="7"/>
  <c r="V268" i="7"/>
  <c r="V269" i="7"/>
  <c r="V270" i="7"/>
  <c r="V271" i="7"/>
  <c r="V272" i="7"/>
  <c r="V273" i="7"/>
  <c r="U4" i="7"/>
  <c r="T4" i="7"/>
  <c r="S4" i="7"/>
  <c r="R4" i="7"/>
  <c r="Q4" i="7"/>
  <c r="P4" i="7"/>
  <c r="O4" i="7"/>
  <c r="N4" i="7"/>
  <c r="M4" i="7"/>
  <c r="L4" i="7"/>
  <c r="T4" i="17"/>
  <c r="I12" i="8"/>
  <c r="I13" i="8"/>
  <c r="I14" i="8"/>
  <c r="I15" i="8"/>
  <c r="I16" i="8"/>
  <c r="I17" i="8"/>
  <c r="I18" i="8"/>
  <c r="J12" i="8"/>
  <c r="J13" i="8"/>
  <c r="J14" i="8"/>
  <c r="J15" i="8"/>
  <c r="J16" i="8"/>
  <c r="J17" i="8"/>
  <c r="J18" i="8"/>
  <c r="K12" i="8"/>
  <c r="K13" i="8"/>
  <c r="K14" i="8"/>
  <c r="K15" i="8"/>
  <c r="K16" i="8"/>
  <c r="K17" i="8"/>
  <c r="K18" i="8"/>
  <c r="L12" i="8"/>
  <c r="L13" i="8"/>
  <c r="L14" i="8"/>
  <c r="L15" i="8"/>
  <c r="L16" i="8"/>
  <c r="L17" i="8"/>
  <c r="L18" i="8"/>
  <c r="M12" i="8"/>
  <c r="M13" i="8"/>
  <c r="M14" i="8"/>
  <c r="M15" i="8"/>
  <c r="M16" i="8"/>
  <c r="M17" i="8"/>
  <c r="M18" i="8"/>
  <c r="N12" i="8"/>
  <c r="N13" i="8"/>
  <c r="N14" i="8"/>
  <c r="N15" i="8"/>
  <c r="N16" i="8"/>
  <c r="N17" i="8"/>
  <c r="N18" i="8"/>
  <c r="O12" i="8"/>
  <c r="O13" i="8"/>
  <c r="O14" i="8"/>
  <c r="O15" i="8"/>
  <c r="O16" i="8"/>
  <c r="O17" i="8"/>
  <c r="O18" i="8"/>
  <c r="P12" i="8"/>
  <c r="P13" i="8"/>
  <c r="P14" i="8"/>
  <c r="P15" i="8"/>
  <c r="P16" i="8"/>
  <c r="P17" i="8"/>
  <c r="P18" i="8"/>
  <c r="Q12" i="8"/>
  <c r="Q13" i="8"/>
  <c r="Q14" i="8"/>
  <c r="Q15" i="8"/>
  <c r="Q16" i="8"/>
  <c r="Q17" i="8"/>
  <c r="Q18" i="8"/>
  <c r="R12" i="8"/>
  <c r="R13" i="8"/>
  <c r="R14" i="8"/>
  <c r="R15" i="8"/>
  <c r="R16" i="8"/>
  <c r="R17" i="8"/>
  <c r="R18" i="8"/>
  <c r="S12" i="8"/>
  <c r="S13" i="8"/>
  <c r="S14" i="8"/>
  <c r="S15" i="8"/>
  <c r="S16" i="8"/>
  <c r="S17" i="8"/>
  <c r="S18" i="8"/>
  <c r="T12" i="8"/>
  <c r="T13" i="8"/>
  <c r="T14" i="8"/>
  <c r="T15" i="8"/>
  <c r="T16" i="8"/>
  <c r="T17" i="8"/>
  <c r="T18" i="8"/>
  <c r="I8" i="8"/>
  <c r="I9" i="8"/>
  <c r="I10" i="8"/>
  <c r="I11" i="8"/>
  <c r="J8" i="8"/>
  <c r="J9" i="8"/>
  <c r="J10" i="8"/>
  <c r="J11" i="8"/>
  <c r="K8" i="8"/>
  <c r="K9" i="8"/>
  <c r="K10" i="8"/>
  <c r="K11" i="8"/>
  <c r="L8" i="8"/>
  <c r="L9" i="8"/>
  <c r="L10" i="8"/>
  <c r="L11" i="8"/>
  <c r="M8" i="8"/>
  <c r="M9" i="8"/>
  <c r="M10" i="8"/>
  <c r="M11" i="8"/>
  <c r="N8" i="8"/>
  <c r="N9" i="8"/>
  <c r="N10" i="8"/>
  <c r="N11" i="8"/>
  <c r="O8" i="8"/>
  <c r="O9" i="8"/>
  <c r="O10" i="8"/>
  <c r="O11" i="8"/>
  <c r="P8" i="8"/>
  <c r="P9" i="8"/>
  <c r="P10" i="8"/>
  <c r="P11" i="8"/>
  <c r="Q8" i="8"/>
  <c r="Q9" i="8"/>
  <c r="Q10" i="8"/>
  <c r="Q11" i="8"/>
  <c r="R8" i="8"/>
  <c r="R9" i="8"/>
  <c r="R10" i="8"/>
  <c r="R11" i="8"/>
  <c r="S8" i="8"/>
  <c r="S9" i="8"/>
  <c r="S10" i="8"/>
  <c r="S11" i="8"/>
  <c r="T8" i="8"/>
  <c r="T9" i="8"/>
  <c r="T10" i="8"/>
  <c r="T11" i="8"/>
  <c r="J77" i="6"/>
  <c r="J78" i="6"/>
  <c r="V51" i="6"/>
  <c r="V4" i="12"/>
  <c r="V5" i="12"/>
  <c r="V6" i="12"/>
  <c r="V7" i="12"/>
  <c r="V8" i="12"/>
  <c r="V9" i="12"/>
  <c r="V10" i="12"/>
  <c r="V11" i="12"/>
  <c r="V12"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V71" i="12"/>
  <c r="V72" i="12"/>
  <c r="V73" i="12"/>
  <c r="V74" i="12"/>
  <c r="V75" i="12"/>
  <c r="V76" i="12"/>
  <c r="V77" i="12"/>
  <c r="V78" i="12"/>
  <c r="V79" i="12"/>
  <c r="V80" i="12"/>
  <c r="V81" i="12"/>
  <c r="V82" i="12"/>
  <c r="V83" i="12"/>
  <c r="V84" i="12"/>
  <c r="V85" i="12"/>
  <c r="V86" i="12"/>
  <c r="V87" i="12"/>
  <c r="V88" i="12"/>
  <c r="V89" i="12"/>
  <c r="V90" i="12"/>
  <c r="V91" i="12"/>
  <c r="V92" i="12"/>
  <c r="V93" i="12"/>
  <c r="V94" i="12"/>
  <c r="V95" i="12"/>
  <c r="V96" i="12"/>
  <c r="V97" i="12"/>
  <c r="V98" i="12"/>
  <c r="V99" i="12"/>
  <c r="V100" i="12"/>
  <c r="F2" i="12"/>
  <c r="E2" i="12"/>
  <c r="V4" i="11"/>
  <c r="V5" i="11"/>
  <c r="V6" i="11"/>
  <c r="V7" i="11"/>
  <c r="V8" i="11"/>
  <c r="V9" i="1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55" i="11"/>
  <c r="V56" i="11"/>
  <c r="V57" i="11"/>
  <c r="V58" i="11"/>
  <c r="V59" i="11"/>
  <c r="V60" i="11"/>
  <c r="V61" i="11"/>
  <c r="V62" i="11"/>
  <c r="V63" i="11"/>
  <c r="V64" i="11"/>
  <c r="V65" i="11"/>
  <c r="V66" i="11"/>
  <c r="V67" i="11"/>
  <c r="V68" i="11"/>
  <c r="V69" i="11"/>
  <c r="V70" i="11"/>
  <c r="V71" i="11"/>
  <c r="V72" i="11"/>
  <c r="V73" i="11"/>
  <c r="V74" i="11"/>
  <c r="V75" i="11"/>
  <c r="V76" i="11"/>
  <c r="V77" i="11"/>
  <c r="V78" i="11"/>
  <c r="V79" i="11"/>
  <c r="V80" i="11"/>
  <c r="V81" i="11"/>
  <c r="V82" i="11"/>
  <c r="V83" i="11"/>
  <c r="V84" i="11"/>
  <c r="V85" i="11"/>
  <c r="V86" i="11"/>
  <c r="V87" i="11"/>
  <c r="V88" i="11"/>
  <c r="V89" i="11"/>
  <c r="V90" i="11"/>
  <c r="V91" i="11"/>
  <c r="V92" i="11"/>
  <c r="V93" i="11"/>
  <c r="V94" i="11"/>
  <c r="V95" i="11"/>
  <c r="V96" i="11"/>
  <c r="V97" i="11"/>
  <c r="V98" i="11"/>
  <c r="V99" i="11"/>
  <c r="V100" i="11"/>
  <c r="F2" i="11"/>
  <c r="E2" i="11"/>
  <c r="F2" i="9"/>
  <c r="E2" i="9"/>
  <c r="U100" i="10"/>
  <c r="U99" i="10"/>
  <c r="U98" i="10"/>
  <c r="U97" i="10"/>
  <c r="U96" i="10"/>
  <c r="U95" i="10"/>
  <c r="U94" i="10"/>
  <c r="U93" i="10"/>
  <c r="U92" i="10"/>
  <c r="U91" i="10"/>
  <c r="U90" i="10"/>
  <c r="U89" i="10"/>
  <c r="U88" i="10"/>
  <c r="U87" i="10"/>
  <c r="U86" i="10"/>
  <c r="U85" i="10"/>
  <c r="U84" i="10"/>
  <c r="U83" i="10"/>
  <c r="U82" i="10"/>
  <c r="U81" i="10"/>
  <c r="U80" i="10"/>
  <c r="U79" i="10"/>
  <c r="U78" i="10"/>
  <c r="U77" i="10"/>
  <c r="U76" i="10"/>
  <c r="U75" i="10"/>
  <c r="U74" i="10"/>
  <c r="U73" i="10"/>
  <c r="U72" i="10"/>
  <c r="U71" i="10"/>
  <c r="U70" i="10"/>
  <c r="U69" i="10"/>
  <c r="U68" i="10"/>
  <c r="U67" i="10"/>
  <c r="U66" i="10"/>
  <c r="U65" i="10"/>
  <c r="U64" i="10"/>
  <c r="U63" i="10"/>
  <c r="U62" i="10"/>
  <c r="U61" i="10"/>
  <c r="U60" i="10"/>
  <c r="U59" i="10"/>
  <c r="U58" i="10"/>
  <c r="U57" i="10"/>
  <c r="U56" i="10"/>
  <c r="U55" i="10"/>
  <c r="U54" i="10"/>
  <c r="U53" i="10"/>
  <c r="U52" i="10"/>
  <c r="U51" i="10"/>
  <c r="U50" i="10"/>
  <c r="U49" i="10"/>
  <c r="U48" i="10"/>
  <c r="U47" i="10"/>
  <c r="U46" i="10"/>
  <c r="U45" i="10"/>
  <c r="U44" i="10"/>
  <c r="U43" i="10"/>
  <c r="U42" i="10"/>
  <c r="U41" i="10"/>
  <c r="U40" i="10"/>
  <c r="U39" i="10"/>
  <c r="U38" i="10"/>
  <c r="U37" i="10"/>
  <c r="U36" i="10"/>
  <c r="U35" i="10"/>
  <c r="U34" i="10"/>
  <c r="U33" i="10"/>
  <c r="U32" i="10"/>
  <c r="U31" i="10"/>
  <c r="U30" i="10"/>
  <c r="U29" i="10"/>
  <c r="U28" i="10"/>
  <c r="U27" i="10"/>
  <c r="U26" i="10"/>
  <c r="U25" i="10"/>
  <c r="U24" i="10"/>
  <c r="U23" i="10"/>
  <c r="U22" i="10"/>
  <c r="U21" i="10"/>
  <c r="U20" i="10"/>
  <c r="U19" i="10"/>
  <c r="U18" i="10"/>
  <c r="U17" i="10"/>
  <c r="U16" i="10"/>
  <c r="U15" i="10"/>
  <c r="U14" i="10"/>
  <c r="U13" i="10"/>
  <c r="U12" i="10"/>
  <c r="U11" i="10"/>
  <c r="U10" i="10"/>
  <c r="U9" i="10"/>
  <c r="U8" i="10"/>
  <c r="U7" i="10"/>
  <c r="U6" i="10"/>
  <c r="U5" i="10"/>
  <c r="U4" i="10"/>
  <c r="F2" i="10"/>
  <c r="E2" i="10"/>
  <c r="V273" i="10"/>
  <c r="V272" i="10"/>
  <c r="V271" i="10"/>
  <c r="V270" i="10"/>
  <c r="V269" i="10"/>
  <c r="V268" i="10"/>
  <c r="V267" i="10"/>
  <c r="V266" i="10"/>
  <c r="V265" i="10"/>
  <c r="V264" i="10"/>
  <c r="V263" i="10"/>
  <c r="V262" i="10"/>
  <c r="V261" i="10"/>
  <c r="V260" i="10"/>
  <c r="V259" i="10"/>
  <c r="V258" i="10"/>
  <c r="V257" i="10"/>
  <c r="V256" i="10"/>
  <c r="V255" i="10"/>
  <c r="V254" i="10"/>
  <c r="V253" i="10"/>
  <c r="V252" i="10"/>
  <c r="V251" i="10"/>
  <c r="V250" i="10"/>
  <c r="V249" i="10"/>
  <c r="V248" i="10"/>
  <c r="V247" i="10"/>
  <c r="V246" i="10"/>
  <c r="V245" i="10"/>
  <c r="V244" i="10"/>
  <c r="V243" i="10"/>
  <c r="V242" i="10"/>
  <c r="V241" i="10"/>
  <c r="V240" i="10"/>
  <c r="V239" i="10"/>
  <c r="V238" i="10"/>
  <c r="V237" i="10"/>
  <c r="V236" i="10"/>
  <c r="V235" i="10"/>
  <c r="V234" i="10"/>
  <c r="V233" i="10"/>
  <c r="V232" i="10"/>
  <c r="V231" i="10"/>
  <c r="V230" i="10"/>
  <c r="V229" i="10"/>
  <c r="V228" i="10"/>
  <c r="V227" i="10"/>
  <c r="V226" i="10"/>
  <c r="V225" i="10"/>
  <c r="V224" i="10"/>
  <c r="V223" i="10"/>
  <c r="V222" i="10"/>
  <c r="V221" i="10"/>
  <c r="V220" i="10"/>
  <c r="V219" i="10"/>
  <c r="V218" i="10"/>
  <c r="V217" i="10"/>
  <c r="V216" i="10"/>
  <c r="V215" i="10"/>
  <c r="V214" i="10"/>
  <c r="V213" i="10"/>
  <c r="V212" i="10"/>
  <c r="V211" i="10"/>
  <c r="V210" i="10"/>
  <c r="V209" i="10"/>
  <c r="V208" i="10"/>
  <c r="V207" i="10"/>
  <c r="V206" i="10"/>
  <c r="V205" i="10"/>
  <c r="V204" i="10"/>
  <c r="V203" i="10"/>
  <c r="V202" i="10"/>
  <c r="V201" i="10"/>
  <c r="V200" i="10"/>
  <c r="V199" i="10"/>
  <c r="V198" i="10"/>
  <c r="V197" i="10"/>
  <c r="V196" i="10"/>
  <c r="V195" i="10"/>
  <c r="V194" i="10"/>
  <c r="V193" i="10"/>
  <c r="V192" i="10"/>
  <c r="V191" i="10"/>
  <c r="V190" i="10"/>
  <c r="V189" i="10"/>
  <c r="V188" i="10"/>
  <c r="V187" i="10"/>
  <c r="V186" i="10"/>
  <c r="V185" i="10"/>
  <c r="V184" i="10"/>
  <c r="V183" i="10"/>
  <c r="V182" i="10"/>
  <c r="V181" i="10"/>
  <c r="V180" i="10"/>
  <c r="V179" i="10"/>
  <c r="V178" i="10"/>
  <c r="V177" i="10"/>
  <c r="V176" i="10"/>
  <c r="V175" i="10"/>
  <c r="V174" i="10"/>
  <c r="V173" i="10"/>
  <c r="V172" i="10"/>
  <c r="V171" i="10"/>
  <c r="V170" i="10"/>
  <c r="V169" i="10"/>
  <c r="V168" i="10"/>
  <c r="V167" i="10"/>
  <c r="V166" i="10"/>
  <c r="V165" i="10"/>
  <c r="V164" i="10"/>
  <c r="V163" i="10"/>
  <c r="V162" i="10"/>
  <c r="V161" i="10"/>
  <c r="V160" i="10"/>
  <c r="V159" i="10"/>
  <c r="V158" i="10"/>
  <c r="V157" i="10"/>
  <c r="V156" i="10"/>
  <c r="V155" i="10"/>
  <c r="V154" i="10"/>
  <c r="V153" i="10"/>
  <c r="V152" i="10"/>
  <c r="V151" i="10"/>
  <c r="V150" i="10"/>
  <c r="V149" i="10"/>
  <c r="V148" i="10"/>
  <c r="V147" i="10"/>
  <c r="V146" i="10"/>
  <c r="V145" i="10"/>
  <c r="V144" i="10"/>
  <c r="V143" i="10"/>
  <c r="V142" i="10"/>
  <c r="V141" i="10"/>
  <c r="V140" i="10"/>
  <c r="V139" i="10"/>
  <c r="V138" i="10"/>
  <c r="V137" i="10"/>
  <c r="V136" i="10"/>
  <c r="V135" i="10"/>
  <c r="V134" i="10"/>
  <c r="V133" i="10"/>
  <c r="V132" i="10"/>
  <c r="V131" i="10"/>
  <c r="V130" i="10"/>
  <c r="V129" i="10"/>
  <c r="V128" i="10"/>
  <c r="V127" i="10"/>
  <c r="V126" i="10"/>
  <c r="V125" i="10"/>
  <c r="V124" i="10"/>
  <c r="V123" i="10"/>
  <c r="V122" i="10"/>
  <c r="V121" i="10"/>
  <c r="V120" i="10"/>
  <c r="V119" i="10"/>
  <c r="V118" i="10"/>
  <c r="V117" i="10"/>
  <c r="V116" i="10"/>
  <c r="V115" i="10"/>
  <c r="V114" i="10"/>
  <c r="V113" i="10"/>
  <c r="V112" i="10"/>
  <c r="V111" i="10"/>
  <c r="V110" i="10"/>
  <c r="V109" i="10"/>
  <c r="V108" i="10"/>
  <c r="V107" i="10"/>
  <c r="V106" i="10"/>
  <c r="V105" i="10"/>
  <c r="V104" i="10"/>
  <c r="V103" i="10"/>
  <c r="V102" i="10"/>
  <c r="V101" i="10"/>
  <c r="F2" i="8"/>
  <c r="E2" i="8"/>
  <c r="F2" i="7"/>
  <c r="E2" i="7"/>
  <c r="P14" i="18"/>
  <c r="O14" i="18"/>
  <c r="N14" i="18"/>
  <c r="M14" i="18"/>
  <c r="L14" i="18"/>
  <c r="K14" i="18"/>
  <c r="J14" i="18"/>
  <c r="H14" i="18"/>
  <c r="F14" i="18"/>
  <c r="E14" i="18"/>
  <c r="F25" i="18"/>
  <c r="F24" i="18"/>
  <c r="F18" i="18"/>
  <c r="F40" i="18" s="1"/>
  <c r="I4" i="6"/>
  <c r="J4" i="6"/>
  <c r="K4" i="6"/>
  <c r="L4" i="6"/>
  <c r="M4" i="6"/>
  <c r="N4" i="6"/>
  <c r="O4" i="6"/>
  <c r="P4" i="6"/>
  <c r="Q4" i="6"/>
  <c r="R4" i="6"/>
  <c r="S4" i="6"/>
  <c r="T4" i="6"/>
  <c r="U4" i="6"/>
  <c r="V4" i="6"/>
  <c r="F2" i="17"/>
  <c r="E2" i="17"/>
  <c r="V2" i="16"/>
  <c r="F2" i="16"/>
  <c r="E2" i="16"/>
  <c r="V2" i="15"/>
  <c r="F2" i="15"/>
  <c r="E2" i="15"/>
  <c r="V2" i="14"/>
  <c r="F2" i="14"/>
  <c r="E2" i="14"/>
  <c r="V2" i="13"/>
  <c r="F2" i="13"/>
  <c r="E2" i="13"/>
  <c r="F2" i="6"/>
  <c r="E2" i="6"/>
  <c r="I4" i="17"/>
  <c r="U4" i="17" s="1"/>
  <c r="J4" i="17"/>
  <c r="K4" i="17"/>
  <c r="L4" i="17"/>
  <c r="M4" i="17"/>
  <c r="N4" i="17"/>
  <c r="O4" i="17"/>
  <c r="P4" i="17"/>
  <c r="Q4" i="17"/>
  <c r="R4" i="17"/>
  <c r="S4" i="17"/>
  <c r="I5" i="17"/>
  <c r="J5" i="17"/>
  <c r="K5" i="17"/>
  <c r="L5" i="17"/>
  <c r="M5" i="17"/>
  <c r="N5" i="17"/>
  <c r="O5" i="17"/>
  <c r="P5" i="17"/>
  <c r="Q5" i="17"/>
  <c r="R5" i="17"/>
  <c r="S5" i="17"/>
  <c r="T5" i="17"/>
  <c r="U5" i="17"/>
  <c r="I6" i="17"/>
  <c r="J6" i="17"/>
  <c r="K6" i="17"/>
  <c r="L6" i="17"/>
  <c r="M6" i="17"/>
  <c r="N6" i="17"/>
  <c r="O6" i="17"/>
  <c r="P6" i="17"/>
  <c r="Q6" i="17"/>
  <c r="R6" i="17"/>
  <c r="S6" i="17"/>
  <c r="T6" i="17"/>
  <c r="U6" i="17"/>
  <c r="I7" i="17"/>
  <c r="J7" i="17"/>
  <c r="K7" i="17"/>
  <c r="L7" i="17"/>
  <c r="M7" i="17"/>
  <c r="N7" i="17"/>
  <c r="O7" i="17"/>
  <c r="P7" i="17"/>
  <c r="Q7" i="17"/>
  <c r="R7" i="17"/>
  <c r="S7" i="17"/>
  <c r="T7" i="17"/>
  <c r="U7" i="17"/>
  <c r="I8" i="17"/>
  <c r="J8" i="17"/>
  <c r="K8" i="17"/>
  <c r="L8" i="17"/>
  <c r="M8" i="17"/>
  <c r="N8" i="17"/>
  <c r="O8" i="17"/>
  <c r="P8" i="17"/>
  <c r="Q8" i="17"/>
  <c r="R8" i="17"/>
  <c r="S8" i="17"/>
  <c r="T8" i="17"/>
  <c r="U8" i="17"/>
  <c r="I9" i="17"/>
  <c r="J9" i="17"/>
  <c r="K9" i="17"/>
  <c r="L9" i="17"/>
  <c r="M9" i="17"/>
  <c r="N9" i="17"/>
  <c r="O9" i="17"/>
  <c r="P9" i="17"/>
  <c r="Q9" i="17"/>
  <c r="R9" i="17"/>
  <c r="S9" i="17"/>
  <c r="T9" i="17"/>
  <c r="U9" i="17"/>
  <c r="I10" i="17"/>
  <c r="J10" i="17"/>
  <c r="K10" i="17"/>
  <c r="L10" i="17"/>
  <c r="M10" i="17"/>
  <c r="N10" i="17"/>
  <c r="O10" i="17"/>
  <c r="P10" i="17"/>
  <c r="Q10" i="17"/>
  <c r="R10" i="17"/>
  <c r="S10" i="17"/>
  <c r="T10" i="17"/>
  <c r="U10" i="17"/>
  <c r="I11" i="17"/>
  <c r="J11" i="17"/>
  <c r="K11" i="17"/>
  <c r="L11" i="17"/>
  <c r="M11" i="17"/>
  <c r="N11" i="17"/>
  <c r="O11" i="17"/>
  <c r="P11" i="17"/>
  <c r="Q11" i="17"/>
  <c r="R11" i="17"/>
  <c r="S11" i="17"/>
  <c r="T11" i="17"/>
  <c r="U11" i="17"/>
  <c r="I12" i="17"/>
  <c r="J12" i="17"/>
  <c r="K12" i="17"/>
  <c r="L12" i="17"/>
  <c r="M12" i="17"/>
  <c r="N12" i="17"/>
  <c r="O12" i="17"/>
  <c r="P12" i="17"/>
  <c r="Q12" i="17"/>
  <c r="R12" i="17"/>
  <c r="S12" i="17"/>
  <c r="T12" i="17"/>
  <c r="U12" i="17"/>
  <c r="I13" i="17"/>
  <c r="J13" i="17"/>
  <c r="K13" i="17"/>
  <c r="L13" i="17"/>
  <c r="M13" i="17"/>
  <c r="N13" i="17"/>
  <c r="O13" i="17"/>
  <c r="P13" i="17"/>
  <c r="Q13" i="17"/>
  <c r="R13" i="17"/>
  <c r="S13" i="17"/>
  <c r="T13" i="17"/>
  <c r="U13" i="17"/>
  <c r="I14" i="17"/>
  <c r="J14" i="17"/>
  <c r="K14" i="17"/>
  <c r="L14" i="17"/>
  <c r="M14" i="17"/>
  <c r="N14" i="17"/>
  <c r="O14" i="17"/>
  <c r="P14" i="17"/>
  <c r="Q14" i="17"/>
  <c r="R14" i="17"/>
  <c r="S14" i="17"/>
  <c r="T14" i="17"/>
  <c r="U14" i="17"/>
  <c r="I15" i="17"/>
  <c r="J15" i="17"/>
  <c r="K15" i="17"/>
  <c r="L15" i="17"/>
  <c r="M15" i="17"/>
  <c r="N15" i="17"/>
  <c r="O15" i="17"/>
  <c r="P15" i="17"/>
  <c r="Q15" i="17"/>
  <c r="R15" i="17"/>
  <c r="S15" i="17"/>
  <c r="T15" i="17"/>
  <c r="U15" i="17"/>
  <c r="I16" i="17"/>
  <c r="J16" i="17"/>
  <c r="K16" i="17"/>
  <c r="L16" i="17"/>
  <c r="M16" i="17"/>
  <c r="N16" i="17"/>
  <c r="O16" i="17"/>
  <c r="P16" i="17"/>
  <c r="Q16" i="17"/>
  <c r="R16" i="17"/>
  <c r="S16" i="17"/>
  <c r="T16" i="17"/>
  <c r="U16" i="17"/>
  <c r="I17" i="17"/>
  <c r="J17" i="17"/>
  <c r="K17" i="17"/>
  <c r="L17" i="17"/>
  <c r="M17" i="17"/>
  <c r="N17" i="17"/>
  <c r="O17" i="17"/>
  <c r="P17" i="17"/>
  <c r="Q17" i="17"/>
  <c r="R17" i="17"/>
  <c r="S17" i="17"/>
  <c r="T17" i="17"/>
  <c r="U17" i="17"/>
  <c r="I18" i="17"/>
  <c r="J18" i="17"/>
  <c r="K18" i="17"/>
  <c r="L18" i="17"/>
  <c r="M18" i="17"/>
  <c r="N18" i="17"/>
  <c r="O18" i="17"/>
  <c r="P18" i="17"/>
  <c r="Q18" i="17"/>
  <c r="R18" i="17"/>
  <c r="S18" i="17"/>
  <c r="T18" i="17"/>
  <c r="U18" i="17"/>
  <c r="I19" i="17"/>
  <c r="J19" i="17"/>
  <c r="K19" i="17"/>
  <c r="L19" i="17"/>
  <c r="M19" i="17"/>
  <c r="N19" i="17"/>
  <c r="O19" i="17"/>
  <c r="P19" i="17"/>
  <c r="Q19" i="17"/>
  <c r="R19" i="17"/>
  <c r="S19" i="17"/>
  <c r="T19" i="17"/>
  <c r="U19" i="17"/>
  <c r="I20" i="17"/>
  <c r="J20" i="17"/>
  <c r="K20" i="17"/>
  <c r="L20" i="17"/>
  <c r="M20" i="17"/>
  <c r="N20" i="17"/>
  <c r="O20" i="17"/>
  <c r="P20" i="17"/>
  <c r="Q20" i="17"/>
  <c r="R20" i="17"/>
  <c r="S20" i="17"/>
  <c r="T20" i="17"/>
  <c r="U20" i="17"/>
  <c r="I21" i="17"/>
  <c r="J21" i="17"/>
  <c r="K21" i="17"/>
  <c r="L21" i="17"/>
  <c r="M21" i="17"/>
  <c r="N21" i="17"/>
  <c r="O21" i="17"/>
  <c r="P21" i="17"/>
  <c r="Q21" i="17"/>
  <c r="R21" i="17"/>
  <c r="S21" i="17"/>
  <c r="T21" i="17"/>
  <c r="U21" i="17"/>
  <c r="I22" i="17"/>
  <c r="J22" i="17"/>
  <c r="K22" i="17"/>
  <c r="L22" i="17"/>
  <c r="M22" i="17"/>
  <c r="N22" i="17"/>
  <c r="O22" i="17"/>
  <c r="P22" i="17"/>
  <c r="Q22" i="17"/>
  <c r="R22" i="17"/>
  <c r="S22" i="17"/>
  <c r="T22" i="17"/>
  <c r="U22" i="17"/>
  <c r="I23" i="17"/>
  <c r="J23" i="17"/>
  <c r="K23" i="17"/>
  <c r="L23" i="17"/>
  <c r="M23" i="17"/>
  <c r="N23" i="17"/>
  <c r="O23" i="17"/>
  <c r="P23" i="17"/>
  <c r="Q23" i="17"/>
  <c r="R23" i="17"/>
  <c r="S23" i="17"/>
  <c r="T23" i="17"/>
  <c r="U23" i="17"/>
  <c r="I24" i="17"/>
  <c r="J24" i="17"/>
  <c r="K24" i="17"/>
  <c r="L24" i="17"/>
  <c r="M24" i="17"/>
  <c r="N24" i="17"/>
  <c r="O24" i="17"/>
  <c r="P24" i="17"/>
  <c r="Q24" i="17"/>
  <c r="R24" i="17"/>
  <c r="S24" i="17"/>
  <c r="T24" i="17"/>
  <c r="U24" i="17"/>
  <c r="I25" i="17"/>
  <c r="J25" i="17"/>
  <c r="K25" i="17"/>
  <c r="L25" i="17"/>
  <c r="M25" i="17"/>
  <c r="N25" i="17"/>
  <c r="O25" i="17"/>
  <c r="P25" i="17"/>
  <c r="Q25" i="17"/>
  <c r="R25" i="17"/>
  <c r="S25" i="17"/>
  <c r="T25" i="17"/>
  <c r="U25" i="17"/>
  <c r="I26" i="17"/>
  <c r="J26" i="17"/>
  <c r="K26" i="17"/>
  <c r="L26" i="17"/>
  <c r="M26" i="17"/>
  <c r="N26" i="17"/>
  <c r="O26" i="17"/>
  <c r="P26" i="17"/>
  <c r="Q26" i="17"/>
  <c r="R26" i="17"/>
  <c r="S26" i="17"/>
  <c r="T26" i="17"/>
  <c r="U26" i="17"/>
  <c r="I27" i="17"/>
  <c r="J27" i="17"/>
  <c r="K27" i="17"/>
  <c r="L27" i="17"/>
  <c r="M27" i="17"/>
  <c r="N27" i="17"/>
  <c r="O27" i="17"/>
  <c r="P27" i="17"/>
  <c r="Q27" i="17"/>
  <c r="R27" i="17"/>
  <c r="S27" i="17"/>
  <c r="T27" i="17"/>
  <c r="U27" i="17"/>
  <c r="I28" i="17"/>
  <c r="J28" i="17"/>
  <c r="K28" i="17"/>
  <c r="L28" i="17"/>
  <c r="M28" i="17"/>
  <c r="N28" i="17"/>
  <c r="O28" i="17"/>
  <c r="P28" i="17"/>
  <c r="Q28" i="17"/>
  <c r="R28" i="17"/>
  <c r="S28" i="17"/>
  <c r="T28" i="17"/>
  <c r="U28" i="17"/>
  <c r="I29" i="17"/>
  <c r="J29" i="17"/>
  <c r="K29" i="17"/>
  <c r="L29" i="17"/>
  <c r="M29" i="17"/>
  <c r="N29" i="17"/>
  <c r="O29" i="17"/>
  <c r="P29" i="17"/>
  <c r="Q29" i="17"/>
  <c r="R29" i="17"/>
  <c r="S29" i="17"/>
  <c r="T29" i="17"/>
  <c r="U29" i="17"/>
  <c r="I30" i="17"/>
  <c r="J30" i="17"/>
  <c r="K30" i="17"/>
  <c r="L30" i="17"/>
  <c r="M30" i="17"/>
  <c r="N30" i="17"/>
  <c r="O30" i="17"/>
  <c r="P30" i="17"/>
  <c r="Q30" i="17"/>
  <c r="R30" i="17"/>
  <c r="S30" i="17"/>
  <c r="T30" i="17"/>
  <c r="U30" i="17"/>
  <c r="I31" i="17"/>
  <c r="J31" i="17"/>
  <c r="K31" i="17"/>
  <c r="L31" i="17"/>
  <c r="M31" i="17"/>
  <c r="N31" i="17"/>
  <c r="O31" i="17"/>
  <c r="P31" i="17"/>
  <c r="Q31" i="17"/>
  <c r="R31" i="17"/>
  <c r="S31" i="17"/>
  <c r="T31" i="17"/>
  <c r="U31" i="17"/>
  <c r="I32" i="17"/>
  <c r="J32" i="17"/>
  <c r="K32" i="17"/>
  <c r="L32" i="17"/>
  <c r="M32" i="17"/>
  <c r="N32" i="17"/>
  <c r="O32" i="17"/>
  <c r="P32" i="17"/>
  <c r="Q32" i="17"/>
  <c r="R32" i="17"/>
  <c r="S32" i="17"/>
  <c r="T32" i="17"/>
  <c r="U32" i="17"/>
  <c r="I33" i="17"/>
  <c r="J33" i="17"/>
  <c r="K33" i="17"/>
  <c r="L33" i="17"/>
  <c r="M33" i="17"/>
  <c r="N33" i="17"/>
  <c r="O33" i="17"/>
  <c r="P33" i="17"/>
  <c r="Q33" i="17"/>
  <c r="R33" i="17"/>
  <c r="S33" i="17"/>
  <c r="T33" i="17"/>
  <c r="U33" i="17"/>
  <c r="I34" i="17"/>
  <c r="J34" i="17"/>
  <c r="K34" i="17"/>
  <c r="L34" i="17"/>
  <c r="M34" i="17"/>
  <c r="N34" i="17"/>
  <c r="O34" i="17"/>
  <c r="P34" i="17"/>
  <c r="Q34" i="17"/>
  <c r="R34" i="17"/>
  <c r="S34" i="17"/>
  <c r="T34" i="17"/>
  <c r="U34" i="17"/>
  <c r="I35" i="17"/>
  <c r="J35" i="17"/>
  <c r="K35" i="17"/>
  <c r="L35" i="17"/>
  <c r="M35" i="17"/>
  <c r="N35" i="17"/>
  <c r="O35" i="17"/>
  <c r="P35" i="17"/>
  <c r="Q35" i="17"/>
  <c r="R35" i="17"/>
  <c r="S35" i="17"/>
  <c r="T35" i="17"/>
  <c r="U35" i="17"/>
  <c r="I36" i="17"/>
  <c r="J36" i="17"/>
  <c r="K36" i="17"/>
  <c r="L36" i="17"/>
  <c r="M36" i="17"/>
  <c r="N36" i="17"/>
  <c r="O36" i="17"/>
  <c r="P36" i="17"/>
  <c r="Q36" i="17"/>
  <c r="R36" i="17"/>
  <c r="S36" i="17"/>
  <c r="T36" i="17"/>
  <c r="U36" i="17"/>
  <c r="I37" i="17"/>
  <c r="J37" i="17"/>
  <c r="K37" i="17"/>
  <c r="L37" i="17"/>
  <c r="M37" i="17"/>
  <c r="N37" i="17"/>
  <c r="O37" i="17"/>
  <c r="P37" i="17"/>
  <c r="Q37" i="17"/>
  <c r="R37" i="17"/>
  <c r="S37" i="17"/>
  <c r="T37" i="17"/>
  <c r="U37" i="17"/>
  <c r="I38" i="17"/>
  <c r="J38" i="17"/>
  <c r="K38" i="17"/>
  <c r="L38" i="17"/>
  <c r="M38" i="17"/>
  <c r="N38" i="17"/>
  <c r="O38" i="17"/>
  <c r="P38" i="17"/>
  <c r="Q38" i="17"/>
  <c r="R38" i="17"/>
  <c r="S38" i="17"/>
  <c r="T38" i="17"/>
  <c r="U38" i="17"/>
  <c r="I39" i="17"/>
  <c r="J39" i="17"/>
  <c r="K39" i="17"/>
  <c r="L39" i="17"/>
  <c r="M39" i="17"/>
  <c r="N39" i="17"/>
  <c r="O39" i="17"/>
  <c r="P39" i="17"/>
  <c r="Q39" i="17"/>
  <c r="R39" i="17"/>
  <c r="S39" i="17"/>
  <c r="T39" i="17"/>
  <c r="U39" i="17"/>
  <c r="I40" i="17"/>
  <c r="J40" i="17"/>
  <c r="K40" i="17"/>
  <c r="L40" i="17"/>
  <c r="M40" i="17"/>
  <c r="N40" i="17"/>
  <c r="O40" i="17"/>
  <c r="P40" i="17"/>
  <c r="Q40" i="17"/>
  <c r="R40" i="17"/>
  <c r="S40" i="17"/>
  <c r="T40" i="17"/>
  <c r="U40" i="17"/>
  <c r="I41" i="17"/>
  <c r="J41" i="17"/>
  <c r="K41" i="17"/>
  <c r="L41" i="17"/>
  <c r="M41" i="17"/>
  <c r="N41" i="17"/>
  <c r="O41" i="17"/>
  <c r="P41" i="17"/>
  <c r="Q41" i="17"/>
  <c r="R41" i="17"/>
  <c r="S41" i="17"/>
  <c r="T41" i="17"/>
  <c r="U41" i="17"/>
  <c r="I42" i="17"/>
  <c r="J42" i="17"/>
  <c r="K42" i="17"/>
  <c r="L42" i="17"/>
  <c r="M42" i="17"/>
  <c r="N42" i="17"/>
  <c r="O42" i="17"/>
  <c r="P42" i="17"/>
  <c r="Q42" i="17"/>
  <c r="R42" i="17"/>
  <c r="S42" i="17"/>
  <c r="T42" i="17"/>
  <c r="U42" i="17"/>
  <c r="I43" i="17"/>
  <c r="J43" i="17"/>
  <c r="K43" i="17"/>
  <c r="L43" i="17"/>
  <c r="M43" i="17"/>
  <c r="N43" i="17"/>
  <c r="O43" i="17"/>
  <c r="P43" i="17"/>
  <c r="Q43" i="17"/>
  <c r="R43" i="17"/>
  <c r="S43" i="17"/>
  <c r="T43" i="17"/>
  <c r="U43" i="17"/>
  <c r="I44" i="17"/>
  <c r="J44" i="17"/>
  <c r="K44" i="17"/>
  <c r="L44" i="17"/>
  <c r="M44" i="17"/>
  <c r="N44" i="17"/>
  <c r="O44" i="17"/>
  <c r="P44" i="17"/>
  <c r="Q44" i="17"/>
  <c r="R44" i="17"/>
  <c r="S44" i="17"/>
  <c r="T44" i="17"/>
  <c r="U44" i="17"/>
  <c r="I45" i="17"/>
  <c r="J45" i="17"/>
  <c r="K45" i="17"/>
  <c r="L45" i="17"/>
  <c r="M45" i="17"/>
  <c r="N45" i="17"/>
  <c r="O45" i="17"/>
  <c r="P45" i="17"/>
  <c r="Q45" i="17"/>
  <c r="R45" i="17"/>
  <c r="S45" i="17"/>
  <c r="T45" i="17"/>
  <c r="U45" i="17"/>
  <c r="I46" i="17"/>
  <c r="J46" i="17"/>
  <c r="K46" i="17"/>
  <c r="L46" i="17"/>
  <c r="M46" i="17"/>
  <c r="N46" i="17"/>
  <c r="O46" i="17"/>
  <c r="P46" i="17"/>
  <c r="Q46" i="17"/>
  <c r="R46" i="17"/>
  <c r="S46" i="17"/>
  <c r="T46" i="17"/>
  <c r="U46" i="17"/>
  <c r="I47" i="17"/>
  <c r="J47" i="17"/>
  <c r="K47" i="17"/>
  <c r="L47" i="17"/>
  <c r="M47" i="17"/>
  <c r="N47" i="17"/>
  <c r="O47" i="17"/>
  <c r="P47" i="17"/>
  <c r="Q47" i="17"/>
  <c r="R47" i="17"/>
  <c r="S47" i="17"/>
  <c r="T47" i="17"/>
  <c r="U47" i="17"/>
  <c r="I48" i="17"/>
  <c r="J48" i="17"/>
  <c r="K48" i="17"/>
  <c r="L48" i="17"/>
  <c r="M48" i="17"/>
  <c r="N48" i="17"/>
  <c r="O48" i="17"/>
  <c r="P48" i="17"/>
  <c r="Q48" i="17"/>
  <c r="R48" i="17"/>
  <c r="S48" i="17"/>
  <c r="T48" i="17"/>
  <c r="U48" i="17"/>
  <c r="I49" i="17"/>
  <c r="J49" i="17"/>
  <c r="K49" i="17"/>
  <c r="L49" i="17"/>
  <c r="M49" i="17"/>
  <c r="N49" i="17"/>
  <c r="O49" i="17"/>
  <c r="P49" i="17"/>
  <c r="Q49" i="17"/>
  <c r="R49" i="17"/>
  <c r="S49" i="17"/>
  <c r="T49" i="17"/>
  <c r="U49" i="17"/>
  <c r="I50" i="17"/>
  <c r="J50" i="17"/>
  <c r="K50" i="17"/>
  <c r="L50" i="17"/>
  <c r="M50" i="17"/>
  <c r="N50" i="17"/>
  <c r="O50" i="17"/>
  <c r="P50" i="17"/>
  <c r="Q50" i="17"/>
  <c r="R50" i="17"/>
  <c r="S50" i="17"/>
  <c r="T50" i="17"/>
  <c r="U50" i="17"/>
  <c r="I51" i="17"/>
  <c r="J51" i="17"/>
  <c r="K51" i="17"/>
  <c r="L51" i="17"/>
  <c r="M51" i="17"/>
  <c r="N51" i="17"/>
  <c r="O51" i="17"/>
  <c r="P51" i="17"/>
  <c r="Q51" i="17"/>
  <c r="R51" i="17"/>
  <c r="S51" i="17"/>
  <c r="T51" i="17"/>
  <c r="U51" i="17"/>
  <c r="I52" i="17"/>
  <c r="J52" i="17"/>
  <c r="K52" i="17"/>
  <c r="L52" i="17"/>
  <c r="M52" i="17"/>
  <c r="N52" i="17"/>
  <c r="O52" i="17"/>
  <c r="P52" i="17"/>
  <c r="Q52" i="17"/>
  <c r="R52" i="17"/>
  <c r="S52" i="17"/>
  <c r="T52" i="17"/>
  <c r="U52" i="17"/>
  <c r="I53" i="17"/>
  <c r="J53" i="17"/>
  <c r="K53" i="17"/>
  <c r="L53" i="17"/>
  <c r="M53" i="17"/>
  <c r="N53" i="17"/>
  <c r="O53" i="17"/>
  <c r="P53" i="17"/>
  <c r="Q53" i="17"/>
  <c r="R53" i="17"/>
  <c r="S53" i="17"/>
  <c r="T53" i="17"/>
  <c r="U53" i="17"/>
  <c r="I54" i="17"/>
  <c r="J54" i="17"/>
  <c r="K54" i="17"/>
  <c r="L54" i="17"/>
  <c r="M54" i="17"/>
  <c r="N54" i="17"/>
  <c r="O54" i="17"/>
  <c r="P54" i="17"/>
  <c r="Q54" i="17"/>
  <c r="R54" i="17"/>
  <c r="S54" i="17"/>
  <c r="T54" i="17"/>
  <c r="U54" i="17"/>
  <c r="I55" i="17"/>
  <c r="J55" i="17"/>
  <c r="K55" i="17"/>
  <c r="L55" i="17"/>
  <c r="M55" i="17"/>
  <c r="N55" i="17"/>
  <c r="O55" i="17"/>
  <c r="P55" i="17"/>
  <c r="Q55" i="17"/>
  <c r="R55" i="17"/>
  <c r="S55" i="17"/>
  <c r="T55" i="17"/>
  <c r="U55" i="17"/>
  <c r="I56" i="17"/>
  <c r="J56" i="17"/>
  <c r="K56" i="17"/>
  <c r="L56" i="17"/>
  <c r="M56" i="17"/>
  <c r="N56" i="17"/>
  <c r="O56" i="17"/>
  <c r="P56" i="17"/>
  <c r="Q56" i="17"/>
  <c r="R56" i="17"/>
  <c r="S56" i="17"/>
  <c r="T56" i="17"/>
  <c r="U56" i="17"/>
  <c r="I57" i="17"/>
  <c r="J57" i="17"/>
  <c r="K57" i="17"/>
  <c r="L57" i="17"/>
  <c r="M57" i="17"/>
  <c r="N57" i="17"/>
  <c r="O57" i="17"/>
  <c r="P57" i="17"/>
  <c r="Q57" i="17"/>
  <c r="R57" i="17"/>
  <c r="S57" i="17"/>
  <c r="T57" i="17"/>
  <c r="U57" i="17"/>
  <c r="I58" i="17"/>
  <c r="J58" i="17"/>
  <c r="K58" i="17"/>
  <c r="L58" i="17"/>
  <c r="M58" i="17"/>
  <c r="N58" i="17"/>
  <c r="O58" i="17"/>
  <c r="P58" i="17"/>
  <c r="Q58" i="17"/>
  <c r="R58" i="17"/>
  <c r="S58" i="17"/>
  <c r="T58" i="17"/>
  <c r="U58" i="17"/>
  <c r="I59" i="17"/>
  <c r="J59" i="17"/>
  <c r="K59" i="17"/>
  <c r="L59" i="17"/>
  <c r="M59" i="17"/>
  <c r="N59" i="17"/>
  <c r="O59" i="17"/>
  <c r="P59" i="17"/>
  <c r="Q59" i="17"/>
  <c r="R59" i="17"/>
  <c r="S59" i="17"/>
  <c r="T59" i="17"/>
  <c r="U59" i="17"/>
  <c r="I60" i="17"/>
  <c r="J60" i="17"/>
  <c r="K60" i="17"/>
  <c r="L60" i="17"/>
  <c r="M60" i="17"/>
  <c r="N60" i="17"/>
  <c r="O60" i="17"/>
  <c r="P60" i="17"/>
  <c r="Q60" i="17"/>
  <c r="R60" i="17"/>
  <c r="S60" i="17"/>
  <c r="T60" i="17"/>
  <c r="U60" i="17"/>
  <c r="I61" i="17"/>
  <c r="J61" i="17"/>
  <c r="K61" i="17"/>
  <c r="L61" i="17"/>
  <c r="M61" i="17"/>
  <c r="N61" i="17"/>
  <c r="O61" i="17"/>
  <c r="P61" i="17"/>
  <c r="Q61" i="17"/>
  <c r="R61" i="17"/>
  <c r="S61" i="17"/>
  <c r="T61" i="17"/>
  <c r="U61" i="17"/>
  <c r="I62" i="17"/>
  <c r="J62" i="17"/>
  <c r="K62" i="17"/>
  <c r="L62" i="17"/>
  <c r="M62" i="17"/>
  <c r="N62" i="17"/>
  <c r="O62" i="17"/>
  <c r="P62" i="17"/>
  <c r="Q62" i="17"/>
  <c r="R62" i="17"/>
  <c r="S62" i="17"/>
  <c r="T62" i="17"/>
  <c r="U62" i="17"/>
  <c r="I63" i="17"/>
  <c r="J63" i="17"/>
  <c r="K63" i="17"/>
  <c r="L63" i="17"/>
  <c r="M63" i="17"/>
  <c r="N63" i="17"/>
  <c r="O63" i="17"/>
  <c r="P63" i="17"/>
  <c r="Q63" i="17"/>
  <c r="R63" i="17"/>
  <c r="S63" i="17"/>
  <c r="T63" i="17"/>
  <c r="U63" i="17"/>
  <c r="I64" i="17"/>
  <c r="J64" i="17"/>
  <c r="K64" i="17"/>
  <c r="L64" i="17"/>
  <c r="M64" i="17"/>
  <c r="N64" i="17"/>
  <c r="O64" i="17"/>
  <c r="P64" i="17"/>
  <c r="Q64" i="17"/>
  <c r="R64" i="17"/>
  <c r="S64" i="17"/>
  <c r="T64" i="17"/>
  <c r="U64" i="17"/>
  <c r="I65" i="17"/>
  <c r="J65" i="17"/>
  <c r="K65" i="17"/>
  <c r="L65" i="17"/>
  <c r="M65" i="17"/>
  <c r="N65" i="17"/>
  <c r="O65" i="17"/>
  <c r="P65" i="17"/>
  <c r="Q65" i="17"/>
  <c r="R65" i="17"/>
  <c r="S65" i="17"/>
  <c r="T65" i="17"/>
  <c r="U65" i="17"/>
  <c r="I66" i="17"/>
  <c r="J66" i="17"/>
  <c r="K66" i="17"/>
  <c r="L66" i="17"/>
  <c r="M66" i="17"/>
  <c r="N66" i="17"/>
  <c r="O66" i="17"/>
  <c r="P66" i="17"/>
  <c r="Q66" i="17"/>
  <c r="R66" i="17"/>
  <c r="S66" i="17"/>
  <c r="T66" i="17"/>
  <c r="U66" i="17"/>
  <c r="I67" i="17"/>
  <c r="J67" i="17"/>
  <c r="K67" i="17"/>
  <c r="L67" i="17"/>
  <c r="M67" i="17"/>
  <c r="N67" i="17"/>
  <c r="O67" i="17"/>
  <c r="P67" i="17"/>
  <c r="Q67" i="17"/>
  <c r="R67" i="17"/>
  <c r="S67" i="17"/>
  <c r="T67" i="17"/>
  <c r="U67" i="17"/>
  <c r="I68" i="17"/>
  <c r="J68" i="17"/>
  <c r="K68" i="17"/>
  <c r="L68" i="17"/>
  <c r="M68" i="17"/>
  <c r="N68" i="17"/>
  <c r="O68" i="17"/>
  <c r="P68" i="17"/>
  <c r="Q68" i="17"/>
  <c r="R68" i="17"/>
  <c r="S68" i="17"/>
  <c r="T68" i="17"/>
  <c r="U68" i="17"/>
  <c r="I69" i="17"/>
  <c r="J69" i="17"/>
  <c r="K69" i="17"/>
  <c r="L69" i="17"/>
  <c r="M69" i="17"/>
  <c r="N69" i="17"/>
  <c r="O69" i="17"/>
  <c r="P69" i="17"/>
  <c r="Q69" i="17"/>
  <c r="R69" i="17"/>
  <c r="S69" i="17"/>
  <c r="T69" i="17"/>
  <c r="U69" i="17"/>
  <c r="I70" i="17"/>
  <c r="J70" i="17"/>
  <c r="K70" i="17"/>
  <c r="L70" i="17"/>
  <c r="M70" i="17"/>
  <c r="N70" i="17"/>
  <c r="O70" i="17"/>
  <c r="P70" i="17"/>
  <c r="Q70" i="17"/>
  <c r="R70" i="17"/>
  <c r="S70" i="17"/>
  <c r="T70" i="17"/>
  <c r="U70" i="17"/>
  <c r="I71" i="17"/>
  <c r="J71" i="17"/>
  <c r="K71" i="17"/>
  <c r="L71" i="17"/>
  <c r="M71" i="17"/>
  <c r="N71" i="17"/>
  <c r="O71" i="17"/>
  <c r="P71" i="17"/>
  <c r="Q71" i="17"/>
  <c r="R71" i="17"/>
  <c r="S71" i="17"/>
  <c r="T71" i="17"/>
  <c r="U71" i="17"/>
  <c r="I72" i="17"/>
  <c r="J72" i="17"/>
  <c r="K72" i="17"/>
  <c r="L72" i="17"/>
  <c r="M72" i="17"/>
  <c r="N72" i="17"/>
  <c r="O72" i="17"/>
  <c r="P72" i="17"/>
  <c r="Q72" i="17"/>
  <c r="R72" i="17"/>
  <c r="S72" i="17"/>
  <c r="T72" i="17"/>
  <c r="U72" i="17"/>
  <c r="I73" i="17"/>
  <c r="J73" i="17"/>
  <c r="K73" i="17"/>
  <c r="L73" i="17"/>
  <c r="M73" i="17"/>
  <c r="N73" i="17"/>
  <c r="O73" i="17"/>
  <c r="P73" i="17"/>
  <c r="Q73" i="17"/>
  <c r="R73" i="17"/>
  <c r="S73" i="17"/>
  <c r="T73" i="17"/>
  <c r="U73" i="17"/>
  <c r="I74" i="17"/>
  <c r="J74" i="17"/>
  <c r="K74" i="17"/>
  <c r="L74" i="17"/>
  <c r="M74" i="17"/>
  <c r="N74" i="17"/>
  <c r="O74" i="17"/>
  <c r="P74" i="17"/>
  <c r="Q74" i="17"/>
  <c r="R74" i="17"/>
  <c r="S74" i="17"/>
  <c r="T74" i="17"/>
  <c r="U74" i="17"/>
  <c r="I75" i="17"/>
  <c r="J75" i="17"/>
  <c r="K75" i="17"/>
  <c r="L75" i="17"/>
  <c r="M75" i="17"/>
  <c r="N75" i="17"/>
  <c r="O75" i="17"/>
  <c r="P75" i="17"/>
  <c r="Q75" i="17"/>
  <c r="R75" i="17"/>
  <c r="S75" i="17"/>
  <c r="T75" i="17"/>
  <c r="U75" i="17"/>
  <c r="I76" i="17"/>
  <c r="J76" i="17"/>
  <c r="K76" i="17"/>
  <c r="L76" i="17"/>
  <c r="M76" i="17"/>
  <c r="N76" i="17"/>
  <c r="O76" i="17"/>
  <c r="P76" i="17"/>
  <c r="Q76" i="17"/>
  <c r="R76" i="17"/>
  <c r="S76" i="17"/>
  <c r="T76" i="17"/>
  <c r="U76" i="17"/>
  <c r="I77" i="17"/>
  <c r="J77" i="17"/>
  <c r="K77" i="17"/>
  <c r="L77" i="17"/>
  <c r="M77" i="17"/>
  <c r="N77" i="17"/>
  <c r="O77" i="17"/>
  <c r="P77" i="17"/>
  <c r="Q77" i="17"/>
  <c r="R77" i="17"/>
  <c r="S77" i="17"/>
  <c r="T77" i="17"/>
  <c r="U77" i="17"/>
  <c r="I78" i="17"/>
  <c r="J78" i="17"/>
  <c r="K78" i="17"/>
  <c r="L78" i="17"/>
  <c r="M78" i="17"/>
  <c r="N78" i="17"/>
  <c r="O78" i="17"/>
  <c r="P78" i="17"/>
  <c r="Q78" i="17"/>
  <c r="R78" i="17"/>
  <c r="S78" i="17"/>
  <c r="T78" i="17"/>
  <c r="U78" i="17"/>
  <c r="I79" i="17"/>
  <c r="J79" i="17"/>
  <c r="K79" i="17"/>
  <c r="L79" i="17"/>
  <c r="M79" i="17"/>
  <c r="N79" i="17"/>
  <c r="O79" i="17"/>
  <c r="P79" i="17"/>
  <c r="Q79" i="17"/>
  <c r="R79" i="17"/>
  <c r="S79" i="17"/>
  <c r="T79" i="17"/>
  <c r="U79" i="17"/>
  <c r="I80" i="17"/>
  <c r="J80" i="17"/>
  <c r="K80" i="17"/>
  <c r="L80" i="17"/>
  <c r="M80" i="17"/>
  <c r="N80" i="17"/>
  <c r="O80" i="17"/>
  <c r="P80" i="17"/>
  <c r="Q80" i="17"/>
  <c r="R80" i="17"/>
  <c r="S80" i="17"/>
  <c r="T80" i="17"/>
  <c r="U80" i="17"/>
  <c r="I81" i="17"/>
  <c r="J81" i="17"/>
  <c r="K81" i="17"/>
  <c r="L81" i="17"/>
  <c r="M81" i="17"/>
  <c r="N81" i="17"/>
  <c r="O81" i="17"/>
  <c r="P81" i="17"/>
  <c r="Q81" i="17"/>
  <c r="R81" i="17"/>
  <c r="S81" i="17"/>
  <c r="T81" i="17"/>
  <c r="U81" i="17"/>
  <c r="I82" i="17"/>
  <c r="J82" i="17"/>
  <c r="K82" i="17"/>
  <c r="L82" i="17"/>
  <c r="M82" i="17"/>
  <c r="N82" i="17"/>
  <c r="O82" i="17"/>
  <c r="P82" i="17"/>
  <c r="Q82" i="17"/>
  <c r="R82" i="17"/>
  <c r="S82" i="17"/>
  <c r="T82" i="17"/>
  <c r="U82" i="17"/>
  <c r="I83" i="17"/>
  <c r="J83" i="17"/>
  <c r="K83" i="17"/>
  <c r="L83" i="17"/>
  <c r="M83" i="17"/>
  <c r="N83" i="17"/>
  <c r="O83" i="17"/>
  <c r="P83" i="17"/>
  <c r="Q83" i="17"/>
  <c r="R83" i="17"/>
  <c r="S83" i="17"/>
  <c r="T83" i="17"/>
  <c r="U83" i="17"/>
  <c r="I84" i="17"/>
  <c r="J84" i="17"/>
  <c r="K84" i="17"/>
  <c r="L84" i="17"/>
  <c r="M84" i="17"/>
  <c r="N84" i="17"/>
  <c r="O84" i="17"/>
  <c r="P84" i="17"/>
  <c r="Q84" i="17"/>
  <c r="R84" i="17"/>
  <c r="S84" i="17"/>
  <c r="T84" i="17"/>
  <c r="U84" i="17"/>
  <c r="I85" i="17"/>
  <c r="J85" i="17"/>
  <c r="K85" i="17"/>
  <c r="L85" i="17"/>
  <c r="M85" i="17"/>
  <c r="N85" i="17"/>
  <c r="O85" i="17"/>
  <c r="P85" i="17"/>
  <c r="Q85" i="17"/>
  <c r="R85" i="17"/>
  <c r="S85" i="17"/>
  <c r="T85" i="17"/>
  <c r="U85" i="17"/>
  <c r="I86" i="17"/>
  <c r="J86" i="17"/>
  <c r="K86" i="17"/>
  <c r="L86" i="17"/>
  <c r="M86" i="17"/>
  <c r="N86" i="17"/>
  <c r="O86" i="17"/>
  <c r="P86" i="17"/>
  <c r="Q86" i="17"/>
  <c r="R86" i="17"/>
  <c r="S86" i="17"/>
  <c r="T86" i="17"/>
  <c r="U86" i="17"/>
  <c r="I87" i="17"/>
  <c r="J87" i="17"/>
  <c r="K87" i="17"/>
  <c r="L87" i="17"/>
  <c r="M87" i="17"/>
  <c r="N87" i="17"/>
  <c r="O87" i="17"/>
  <c r="P87" i="17"/>
  <c r="Q87" i="17"/>
  <c r="R87" i="17"/>
  <c r="S87" i="17"/>
  <c r="T87" i="17"/>
  <c r="U87" i="17"/>
  <c r="I88" i="17"/>
  <c r="J88" i="17"/>
  <c r="K88" i="17"/>
  <c r="L88" i="17"/>
  <c r="M88" i="17"/>
  <c r="N88" i="17"/>
  <c r="O88" i="17"/>
  <c r="P88" i="17"/>
  <c r="Q88" i="17"/>
  <c r="R88" i="17"/>
  <c r="S88" i="17"/>
  <c r="T88" i="17"/>
  <c r="U88" i="17"/>
  <c r="I89" i="17"/>
  <c r="J89" i="17"/>
  <c r="K89" i="17"/>
  <c r="L89" i="17"/>
  <c r="M89" i="17"/>
  <c r="N89" i="17"/>
  <c r="O89" i="17"/>
  <c r="P89" i="17"/>
  <c r="Q89" i="17"/>
  <c r="R89" i="17"/>
  <c r="S89" i="17"/>
  <c r="T89" i="17"/>
  <c r="U89" i="17"/>
  <c r="I90" i="17"/>
  <c r="J90" i="17"/>
  <c r="K90" i="17"/>
  <c r="L90" i="17"/>
  <c r="M90" i="17"/>
  <c r="N90" i="17"/>
  <c r="O90" i="17"/>
  <c r="P90" i="17"/>
  <c r="Q90" i="17"/>
  <c r="R90" i="17"/>
  <c r="S90" i="17"/>
  <c r="T90" i="17"/>
  <c r="U90" i="17"/>
  <c r="I91" i="17"/>
  <c r="J91" i="17"/>
  <c r="K91" i="17"/>
  <c r="L91" i="17"/>
  <c r="M91" i="17"/>
  <c r="N91" i="17"/>
  <c r="O91" i="17"/>
  <c r="P91" i="17"/>
  <c r="Q91" i="17"/>
  <c r="R91" i="17"/>
  <c r="S91" i="17"/>
  <c r="T91" i="17"/>
  <c r="U91" i="17"/>
  <c r="I92" i="17"/>
  <c r="J92" i="17"/>
  <c r="K92" i="17"/>
  <c r="L92" i="17"/>
  <c r="M92" i="17"/>
  <c r="N92" i="17"/>
  <c r="O92" i="17"/>
  <c r="P92" i="17"/>
  <c r="Q92" i="17"/>
  <c r="R92" i="17"/>
  <c r="S92" i="17"/>
  <c r="T92" i="17"/>
  <c r="U92" i="17"/>
  <c r="I93" i="17"/>
  <c r="J93" i="17"/>
  <c r="K93" i="17"/>
  <c r="L93" i="17"/>
  <c r="M93" i="17"/>
  <c r="N93" i="17"/>
  <c r="O93" i="17"/>
  <c r="P93" i="17"/>
  <c r="Q93" i="17"/>
  <c r="R93" i="17"/>
  <c r="S93" i="17"/>
  <c r="T93" i="17"/>
  <c r="U93" i="17"/>
  <c r="I94" i="17"/>
  <c r="J94" i="17"/>
  <c r="K94" i="17"/>
  <c r="L94" i="17"/>
  <c r="M94" i="17"/>
  <c r="N94" i="17"/>
  <c r="O94" i="17"/>
  <c r="P94" i="17"/>
  <c r="Q94" i="17"/>
  <c r="R94" i="17"/>
  <c r="S94" i="17"/>
  <c r="T94" i="17"/>
  <c r="U94" i="17"/>
  <c r="I95" i="17"/>
  <c r="J95" i="17"/>
  <c r="K95" i="17"/>
  <c r="L95" i="17"/>
  <c r="M95" i="17"/>
  <c r="N95" i="17"/>
  <c r="O95" i="17"/>
  <c r="P95" i="17"/>
  <c r="Q95" i="17"/>
  <c r="R95" i="17"/>
  <c r="S95" i="17"/>
  <c r="T95" i="17"/>
  <c r="U95" i="17"/>
  <c r="I96" i="17"/>
  <c r="J96" i="17"/>
  <c r="K96" i="17"/>
  <c r="L96" i="17"/>
  <c r="M96" i="17"/>
  <c r="N96" i="17"/>
  <c r="O96" i="17"/>
  <c r="P96" i="17"/>
  <c r="Q96" i="17"/>
  <c r="R96" i="17"/>
  <c r="S96" i="17"/>
  <c r="T96" i="17"/>
  <c r="U96" i="17"/>
  <c r="I97" i="17"/>
  <c r="J97" i="17"/>
  <c r="K97" i="17"/>
  <c r="L97" i="17"/>
  <c r="M97" i="17"/>
  <c r="N97" i="17"/>
  <c r="O97" i="17"/>
  <c r="P97" i="17"/>
  <c r="Q97" i="17"/>
  <c r="R97" i="17"/>
  <c r="S97" i="17"/>
  <c r="T97" i="17"/>
  <c r="U97" i="17"/>
  <c r="I98" i="17"/>
  <c r="J98" i="17"/>
  <c r="K98" i="17"/>
  <c r="L98" i="17"/>
  <c r="M98" i="17"/>
  <c r="N98" i="17"/>
  <c r="O98" i="17"/>
  <c r="P98" i="17"/>
  <c r="Q98" i="17"/>
  <c r="R98" i="17"/>
  <c r="S98" i="17"/>
  <c r="T98" i="17"/>
  <c r="U98" i="17"/>
  <c r="I99" i="17"/>
  <c r="J99" i="17"/>
  <c r="K99" i="17"/>
  <c r="L99" i="17"/>
  <c r="M99" i="17"/>
  <c r="N99" i="17"/>
  <c r="O99" i="17"/>
  <c r="P99" i="17"/>
  <c r="Q99" i="17"/>
  <c r="R99" i="17"/>
  <c r="S99" i="17"/>
  <c r="T99" i="17"/>
  <c r="U99" i="17"/>
  <c r="I100" i="17"/>
  <c r="J100" i="17"/>
  <c r="K100" i="17"/>
  <c r="L100" i="17"/>
  <c r="M100" i="17"/>
  <c r="N100" i="17"/>
  <c r="O100" i="17"/>
  <c r="P100" i="17"/>
  <c r="Q100" i="17"/>
  <c r="R100" i="17"/>
  <c r="S100" i="17"/>
  <c r="T100" i="17"/>
  <c r="U100" i="17"/>
  <c r="I4" i="16"/>
  <c r="J4" i="16"/>
  <c r="K4" i="16"/>
  <c r="L4" i="16"/>
  <c r="M4" i="16"/>
  <c r="N4" i="16"/>
  <c r="O4" i="16"/>
  <c r="P4" i="16"/>
  <c r="Q4" i="16"/>
  <c r="R4" i="16"/>
  <c r="S4" i="16"/>
  <c r="T4" i="16"/>
  <c r="U4" i="16"/>
  <c r="I5" i="16"/>
  <c r="J5" i="16"/>
  <c r="K5" i="16"/>
  <c r="L5" i="16"/>
  <c r="M5" i="16"/>
  <c r="N5" i="16"/>
  <c r="O5" i="16"/>
  <c r="P5" i="16"/>
  <c r="Q5" i="16"/>
  <c r="R5" i="16"/>
  <c r="S5" i="16"/>
  <c r="T5" i="16"/>
  <c r="U5" i="16"/>
  <c r="I6" i="16"/>
  <c r="J6" i="16"/>
  <c r="K6" i="16"/>
  <c r="L6" i="16"/>
  <c r="M6" i="16"/>
  <c r="N6" i="16"/>
  <c r="O6" i="16"/>
  <c r="P6" i="16"/>
  <c r="Q6" i="16"/>
  <c r="R6" i="16"/>
  <c r="S6" i="16"/>
  <c r="T6" i="16"/>
  <c r="U6" i="16"/>
  <c r="I7" i="16"/>
  <c r="J7" i="16"/>
  <c r="K7" i="16"/>
  <c r="L7" i="16"/>
  <c r="M7" i="16"/>
  <c r="N7" i="16"/>
  <c r="O7" i="16"/>
  <c r="P7" i="16"/>
  <c r="Q7" i="16"/>
  <c r="R7" i="16"/>
  <c r="S7" i="16"/>
  <c r="T7" i="16"/>
  <c r="U7" i="16"/>
  <c r="I8" i="16"/>
  <c r="J8" i="16"/>
  <c r="K8" i="16"/>
  <c r="L8" i="16"/>
  <c r="M8" i="16"/>
  <c r="N8" i="16"/>
  <c r="O8" i="16"/>
  <c r="P8" i="16"/>
  <c r="Q8" i="16"/>
  <c r="R8" i="16"/>
  <c r="S8" i="16"/>
  <c r="T8" i="16"/>
  <c r="U8" i="16"/>
  <c r="I9" i="16"/>
  <c r="J9" i="16"/>
  <c r="K9" i="16"/>
  <c r="L9" i="16"/>
  <c r="M9" i="16"/>
  <c r="N9" i="16"/>
  <c r="O9" i="16"/>
  <c r="P9" i="16"/>
  <c r="Q9" i="16"/>
  <c r="R9" i="16"/>
  <c r="S9" i="16"/>
  <c r="T9" i="16"/>
  <c r="U9" i="16"/>
  <c r="I10" i="16"/>
  <c r="J10" i="16"/>
  <c r="K10" i="16"/>
  <c r="L10" i="16"/>
  <c r="M10" i="16"/>
  <c r="N10" i="16"/>
  <c r="O10" i="16"/>
  <c r="P10" i="16"/>
  <c r="Q10" i="16"/>
  <c r="R10" i="16"/>
  <c r="S10" i="16"/>
  <c r="T10" i="16"/>
  <c r="U10" i="16"/>
  <c r="I11" i="16"/>
  <c r="J11" i="16"/>
  <c r="K11" i="16"/>
  <c r="L11" i="16"/>
  <c r="M11" i="16"/>
  <c r="N11" i="16"/>
  <c r="O11" i="16"/>
  <c r="P11" i="16"/>
  <c r="Q11" i="16"/>
  <c r="R11" i="16"/>
  <c r="S11" i="16"/>
  <c r="T11" i="16"/>
  <c r="U11" i="16"/>
  <c r="I12" i="16"/>
  <c r="J12" i="16"/>
  <c r="K12" i="16"/>
  <c r="L12" i="16"/>
  <c r="M12" i="16"/>
  <c r="N12" i="16"/>
  <c r="O12" i="16"/>
  <c r="P12" i="16"/>
  <c r="Q12" i="16"/>
  <c r="R12" i="16"/>
  <c r="S12" i="16"/>
  <c r="T12" i="16"/>
  <c r="U12" i="16"/>
  <c r="I13" i="16"/>
  <c r="J13" i="16"/>
  <c r="K13" i="16"/>
  <c r="L13" i="16"/>
  <c r="M13" i="16"/>
  <c r="N13" i="16"/>
  <c r="O13" i="16"/>
  <c r="P13" i="16"/>
  <c r="Q13" i="16"/>
  <c r="R13" i="16"/>
  <c r="S13" i="16"/>
  <c r="T13" i="16"/>
  <c r="U13" i="16"/>
  <c r="I14" i="16"/>
  <c r="J14" i="16"/>
  <c r="K14" i="16"/>
  <c r="L14" i="16"/>
  <c r="M14" i="16"/>
  <c r="N14" i="16"/>
  <c r="O14" i="16"/>
  <c r="P14" i="16"/>
  <c r="Q14" i="16"/>
  <c r="R14" i="16"/>
  <c r="S14" i="16"/>
  <c r="T14" i="16"/>
  <c r="U14" i="16"/>
  <c r="I15" i="16"/>
  <c r="J15" i="16"/>
  <c r="K15" i="16"/>
  <c r="L15" i="16"/>
  <c r="M15" i="16"/>
  <c r="N15" i="16"/>
  <c r="O15" i="16"/>
  <c r="P15" i="16"/>
  <c r="Q15" i="16"/>
  <c r="R15" i="16"/>
  <c r="S15" i="16"/>
  <c r="T15" i="16"/>
  <c r="U15" i="16"/>
  <c r="I16" i="16"/>
  <c r="J16" i="16"/>
  <c r="K16" i="16"/>
  <c r="L16" i="16"/>
  <c r="M16" i="16"/>
  <c r="N16" i="16"/>
  <c r="O16" i="16"/>
  <c r="P16" i="16"/>
  <c r="Q16" i="16"/>
  <c r="R16" i="16"/>
  <c r="S16" i="16"/>
  <c r="T16" i="16"/>
  <c r="U16" i="16"/>
  <c r="I17" i="16"/>
  <c r="J17" i="16"/>
  <c r="K17" i="16"/>
  <c r="L17" i="16"/>
  <c r="M17" i="16"/>
  <c r="N17" i="16"/>
  <c r="O17" i="16"/>
  <c r="P17" i="16"/>
  <c r="Q17" i="16"/>
  <c r="R17" i="16"/>
  <c r="S17" i="16"/>
  <c r="T17" i="16"/>
  <c r="U17" i="16"/>
  <c r="I18" i="16"/>
  <c r="J18" i="16"/>
  <c r="K18" i="16"/>
  <c r="L18" i="16"/>
  <c r="M18" i="16"/>
  <c r="N18" i="16"/>
  <c r="O18" i="16"/>
  <c r="P18" i="16"/>
  <c r="Q18" i="16"/>
  <c r="R18" i="16"/>
  <c r="S18" i="16"/>
  <c r="T18" i="16"/>
  <c r="U18" i="16"/>
  <c r="I19" i="16"/>
  <c r="J19" i="16"/>
  <c r="K19" i="16"/>
  <c r="L19" i="16"/>
  <c r="M19" i="16"/>
  <c r="N19" i="16"/>
  <c r="O19" i="16"/>
  <c r="P19" i="16"/>
  <c r="Q19" i="16"/>
  <c r="R19" i="16"/>
  <c r="S19" i="16"/>
  <c r="T19" i="16"/>
  <c r="U19" i="16"/>
  <c r="I20" i="16"/>
  <c r="J20" i="16"/>
  <c r="K20" i="16"/>
  <c r="L20" i="16"/>
  <c r="M20" i="16"/>
  <c r="N20" i="16"/>
  <c r="O20" i="16"/>
  <c r="P20" i="16"/>
  <c r="Q20" i="16"/>
  <c r="R20" i="16"/>
  <c r="S20" i="16"/>
  <c r="T20" i="16"/>
  <c r="U20" i="16"/>
  <c r="I21" i="16"/>
  <c r="J21" i="16"/>
  <c r="K21" i="16"/>
  <c r="L21" i="16"/>
  <c r="M21" i="16"/>
  <c r="N21" i="16"/>
  <c r="O21" i="16"/>
  <c r="P21" i="16"/>
  <c r="Q21" i="16"/>
  <c r="R21" i="16"/>
  <c r="S21" i="16"/>
  <c r="T21" i="16"/>
  <c r="U21" i="16"/>
  <c r="I22" i="16"/>
  <c r="J22" i="16"/>
  <c r="K22" i="16"/>
  <c r="L22" i="16"/>
  <c r="M22" i="16"/>
  <c r="N22" i="16"/>
  <c r="O22" i="16"/>
  <c r="P22" i="16"/>
  <c r="Q22" i="16"/>
  <c r="R22" i="16"/>
  <c r="S22" i="16"/>
  <c r="T22" i="16"/>
  <c r="U22" i="16"/>
  <c r="I23" i="16"/>
  <c r="J23" i="16"/>
  <c r="K23" i="16"/>
  <c r="L23" i="16"/>
  <c r="M23" i="16"/>
  <c r="N23" i="16"/>
  <c r="O23" i="16"/>
  <c r="P23" i="16"/>
  <c r="Q23" i="16"/>
  <c r="R23" i="16"/>
  <c r="S23" i="16"/>
  <c r="T23" i="16"/>
  <c r="U23" i="16"/>
  <c r="I24" i="16"/>
  <c r="J24" i="16"/>
  <c r="K24" i="16"/>
  <c r="L24" i="16"/>
  <c r="M24" i="16"/>
  <c r="N24" i="16"/>
  <c r="O24" i="16"/>
  <c r="P24" i="16"/>
  <c r="Q24" i="16"/>
  <c r="R24" i="16"/>
  <c r="S24" i="16"/>
  <c r="T24" i="16"/>
  <c r="U24" i="16"/>
  <c r="I25" i="16"/>
  <c r="J25" i="16"/>
  <c r="K25" i="16"/>
  <c r="L25" i="16"/>
  <c r="M25" i="16"/>
  <c r="N25" i="16"/>
  <c r="O25" i="16"/>
  <c r="P25" i="16"/>
  <c r="Q25" i="16"/>
  <c r="R25" i="16"/>
  <c r="S25" i="16"/>
  <c r="T25" i="16"/>
  <c r="U25" i="16"/>
  <c r="I26" i="16"/>
  <c r="J26" i="16"/>
  <c r="K26" i="16"/>
  <c r="L26" i="16"/>
  <c r="M26" i="16"/>
  <c r="N26" i="16"/>
  <c r="O26" i="16"/>
  <c r="P26" i="16"/>
  <c r="Q26" i="16"/>
  <c r="R26" i="16"/>
  <c r="S26" i="16"/>
  <c r="T26" i="16"/>
  <c r="U26" i="16"/>
  <c r="I27" i="16"/>
  <c r="J27" i="16"/>
  <c r="K27" i="16"/>
  <c r="L27" i="16"/>
  <c r="M27" i="16"/>
  <c r="N27" i="16"/>
  <c r="O27" i="16"/>
  <c r="P27" i="16"/>
  <c r="Q27" i="16"/>
  <c r="R27" i="16"/>
  <c r="S27" i="16"/>
  <c r="T27" i="16"/>
  <c r="U27" i="16"/>
  <c r="I28" i="16"/>
  <c r="J28" i="16"/>
  <c r="K28" i="16"/>
  <c r="L28" i="16"/>
  <c r="M28" i="16"/>
  <c r="N28" i="16"/>
  <c r="O28" i="16"/>
  <c r="P28" i="16"/>
  <c r="Q28" i="16"/>
  <c r="R28" i="16"/>
  <c r="S28" i="16"/>
  <c r="T28" i="16"/>
  <c r="U28" i="16"/>
  <c r="I29" i="16"/>
  <c r="J29" i="16"/>
  <c r="K29" i="16"/>
  <c r="L29" i="16"/>
  <c r="M29" i="16"/>
  <c r="N29" i="16"/>
  <c r="O29" i="16"/>
  <c r="P29" i="16"/>
  <c r="Q29" i="16"/>
  <c r="R29" i="16"/>
  <c r="S29" i="16"/>
  <c r="T29" i="16"/>
  <c r="U29" i="16"/>
  <c r="I30" i="16"/>
  <c r="J30" i="16"/>
  <c r="K30" i="16"/>
  <c r="L30" i="16"/>
  <c r="M30" i="16"/>
  <c r="N30" i="16"/>
  <c r="O30" i="16"/>
  <c r="P30" i="16"/>
  <c r="Q30" i="16"/>
  <c r="R30" i="16"/>
  <c r="S30" i="16"/>
  <c r="T30" i="16"/>
  <c r="U30" i="16"/>
  <c r="I31" i="16"/>
  <c r="J31" i="16"/>
  <c r="K31" i="16"/>
  <c r="L31" i="16"/>
  <c r="M31" i="16"/>
  <c r="N31" i="16"/>
  <c r="O31" i="16"/>
  <c r="P31" i="16"/>
  <c r="Q31" i="16"/>
  <c r="R31" i="16"/>
  <c r="S31" i="16"/>
  <c r="T31" i="16"/>
  <c r="U31" i="16"/>
  <c r="I32" i="16"/>
  <c r="J32" i="16"/>
  <c r="K32" i="16"/>
  <c r="L32" i="16"/>
  <c r="M32" i="16"/>
  <c r="N32" i="16"/>
  <c r="O32" i="16"/>
  <c r="P32" i="16"/>
  <c r="Q32" i="16"/>
  <c r="R32" i="16"/>
  <c r="S32" i="16"/>
  <c r="T32" i="16"/>
  <c r="U32" i="16"/>
  <c r="I33" i="16"/>
  <c r="J33" i="16"/>
  <c r="K33" i="16"/>
  <c r="L33" i="16"/>
  <c r="M33" i="16"/>
  <c r="N33" i="16"/>
  <c r="O33" i="16"/>
  <c r="P33" i="16"/>
  <c r="Q33" i="16"/>
  <c r="R33" i="16"/>
  <c r="S33" i="16"/>
  <c r="T33" i="16"/>
  <c r="U33" i="16"/>
  <c r="I34" i="16"/>
  <c r="J34" i="16"/>
  <c r="K34" i="16"/>
  <c r="L34" i="16"/>
  <c r="M34" i="16"/>
  <c r="N34" i="16"/>
  <c r="O34" i="16"/>
  <c r="P34" i="16"/>
  <c r="Q34" i="16"/>
  <c r="R34" i="16"/>
  <c r="S34" i="16"/>
  <c r="T34" i="16"/>
  <c r="U34" i="16"/>
  <c r="I35" i="16"/>
  <c r="J35" i="16"/>
  <c r="K35" i="16"/>
  <c r="L35" i="16"/>
  <c r="M35" i="16"/>
  <c r="N35" i="16"/>
  <c r="O35" i="16"/>
  <c r="P35" i="16"/>
  <c r="Q35" i="16"/>
  <c r="R35" i="16"/>
  <c r="S35" i="16"/>
  <c r="T35" i="16"/>
  <c r="U35" i="16"/>
  <c r="I36" i="16"/>
  <c r="J36" i="16"/>
  <c r="K36" i="16"/>
  <c r="L36" i="16"/>
  <c r="M36" i="16"/>
  <c r="N36" i="16"/>
  <c r="O36" i="16"/>
  <c r="P36" i="16"/>
  <c r="Q36" i="16"/>
  <c r="R36" i="16"/>
  <c r="S36" i="16"/>
  <c r="T36" i="16"/>
  <c r="U36" i="16"/>
  <c r="I37" i="16"/>
  <c r="J37" i="16"/>
  <c r="K37" i="16"/>
  <c r="L37" i="16"/>
  <c r="M37" i="16"/>
  <c r="N37" i="16"/>
  <c r="O37" i="16"/>
  <c r="P37" i="16"/>
  <c r="Q37" i="16"/>
  <c r="R37" i="16"/>
  <c r="S37" i="16"/>
  <c r="T37" i="16"/>
  <c r="U37" i="16"/>
  <c r="I38" i="16"/>
  <c r="J38" i="16"/>
  <c r="K38" i="16"/>
  <c r="L38" i="16"/>
  <c r="M38" i="16"/>
  <c r="N38" i="16"/>
  <c r="O38" i="16"/>
  <c r="P38" i="16"/>
  <c r="Q38" i="16"/>
  <c r="R38" i="16"/>
  <c r="S38" i="16"/>
  <c r="T38" i="16"/>
  <c r="U38" i="16"/>
  <c r="I39" i="16"/>
  <c r="J39" i="16"/>
  <c r="K39" i="16"/>
  <c r="L39" i="16"/>
  <c r="M39" i="16"/>
  <c r="N39" i="16"/>
  <c r="O39" i="16"/>
  <c r="P39" i="16"/>
  <c r="Q39" i="16"/>
  <c r="R39" i="16"/>
  <c r="S39" i="16"/>
  <c r="T39" i="16"/>
  <c r="U39" i="16"/>
  <c r="I40" i="16"/>
  <c r="J40" i="16"/>
  <c r="K40" i="16"/>
  <c r="L40" i="16"/>
  <c r="M40" i="16"/>
  <c r="N40" i="16"/>
  <c r="O40" i="16"/>
  <c r="P40" i="16"/>
  <c r="Q40" i="16"/>
  <c r="R40" i="16"/>
  <c r="S40" i="16"/>
  <c r="T40" i="16"/>
  <c r="U40" i="16"/>
  <c r="I41" i="16"/>
  <c r="J41" i="16"/>
  <c r="K41" i="16"/>
  <c r="L41" i="16"/>
  <c r="M41" i="16"/>
  <c r="N41" i="16"/>
  <c r="O41" i="16"/>
  <c r="P41" i="16"/>
  <c r="Q41" i="16"/>
  <c r="R41" i="16"/>
  <c r="S41" i="16"/>
  <c r="T41" i="16"/>
  <c r="U41" i="16"/>
  <c r="I42" i="16"/>
  <c r="J42" i="16"/>
  <c r="K42" i="16"/>
  <c r="L42" i="16"/>
  <c r="M42" i="16"/>
  <c r="N42" i="16"/>
  <c r="O42" i="16"/>
  <c r="P42" i="16"/>
  <c r="Q42" i="16"/>
  <c r="R42" i="16"/>
  <c r="S42" i="16"/>
  <c r="T42" i="16"/>
  <c r="U42" i="16"/>
  <c r="I43" i="16"/>
  <c r="J43" i="16"/>
  <c r="K43" i="16"/>
  <c r="L43" i="16"/>
  <c r="M43" i="16"/>
  <c r="N43" i="16"/>
  <c r="O43" i="16"/>
  <c r="P43" i="16"/>
  <c r="Q43" i="16"/>
  <c r="R43" i="16"/>
  <c r="S43" i="16"/>
  <c r="T43" i="16"/>
  <c r="U43" i="16"/>
  <c r="I44" i="16"/>
  <c r="J44" i="16"/>
  <c r="K44" i="16"/>
  <c r="L44" i="16"/>
  <c r="M44" i="16"/>
  <c r="N44" i="16"/>
  <c r="O44" i="16"/>
  <c r="P44" i="16"/>
  <c r="Q44" i="16"/>
  <c r="R44" i="16"/>
  <c r="S44" i="16"/>
  <c r="T44" i="16"/>
  <c r="U44" i="16"/>
  <c r="I45" i="16"/>
  <c r="J45" i="16"/>
  <c r="K45" i="16"/>
  <c r="L45" i="16"/>
  <c r="M45" i="16"/>
  <c r="N45" i="16"/>
  <c r="O45" i="16"/>
  <c r="P45" i="16"/>
  <c r="Q45" i="16"/>
  <c r="R45" i="16"/>
  <c r="S45" i="16"/>
  <c r="T45" i="16"/>
  <c r="U45" i="16"/>
  <c r="I46" i="16"/>
  <c r="J46" i="16"/>
  <c r="K46" i="16"/>
  <c r="L46" i="16"/>
  <c r="M46" i="16"/>
  <c r="N46" i="16"/>
  <c r="O46" i="16"/>
  <c r="P46" i="16"/>
  <c r="Q46" i="16"/>
  <c r="R46" i="16"/>
  <c r="S46" i="16"/>
  <c r="T46" i="16"/>
  <c r="U46" i="16"/>
  <c r="I47" i="16"/>
  <c r="J47" i="16"/>
  <c r="K47" i="16"/>
  <c r="L47" i="16"/>
  <c r="M47" i="16"/>
  <c r="N47" i="16"/>
  <c r="O47" i="16"/>
  <c r="P47" i="16"/>
  <c r="Q47" i="16"/>
  <c r="R47" i="16"/>
  <c r="S47" i="16"/>
  <c r="T47" i="16"/>
  <c r="U47" i="16"/>
  <c r="I48" i="16"/>
  <c r="J48" i="16"/>
  <c r="K48" i="16"/>
  <c r="L48" i="16"/>
  <c r="M48" i="16"/>
  <c r="N48" i="16"/>
  <c r="O48" i="16"/>
  <c r="P48" i="16"/>
  <c r="Q48" i="16"/>
  <c r="R48" i="16"/>
  <c r="S48" i="16"/>
  <c r="T48" i="16"/>
  <c r="U48" i="16"/>
  <c r="I49" i="16"/>
  <c r="J49" i="16"/>
  <c r="K49" i="16"/>
  <c r="L49" i="16"/>
  <c r="M49" i="16"/>
  <c r="N49" i="16"/>
  <c r="O49" i="16"/>
  <c r="P49" i="16"/>
  <c r="Q49" i="16"/>
  <c r="R49" i="16"/>
  <c r="S49" i="16"/>
  <c r="T49" i="16"/>
  <c r="U49" i="16"/>
  <c r="I50" i="16"/>
  <c r="J50" i="16"/>
  <c r="K50" i="16"/>
  <c r="L50" i="16"/>
  <c r="M50" i="16"/>
  <c r="N50" i="16"/>
  <c r="O50" i="16"/>
  <c r="P50" i="16"/>
  <c r="Q50" i="16"/>
  <c r="R50" i="16"/>
  <c r="S50" i="16"/>
  <c r="T50" i="16"/>
  <c r="U50" i="16"/>
  <c r="I51" i="16"/>
  <c r="J51" i="16"/>
  <c r="K51" i="16"/>
  <c r="L51" i="16"/>
  <c r="M51" i="16"/>
  <c r="N51" i="16"/>
  <c r="O51" i="16"/>
  <c r="P51" i="16"/>
  <c r="Q51" i="16"/>
  <c r="R51" i="16"/>
  <c r="S51" i="16"/>
  <c r="T51" i="16"/>
  <c r="U51" i="16"/>
  <c r="I52" i="16"/>
  <c r="J52" i="16"/>
  <c r="K52" i="16"/>
  <c r="L52" i="16"/>
  <c r="M52" i="16"/>
  <c r="N52" i="16"/>
  <c r="O52" i="16"/>
  <c r="P52" i="16"/>
  <c r="Q52" i="16"/>
  <c r="R52" i="16"/>
  <c r="S52" i="16"/>
  <c r="T52" i="16"/>
  <c r="U52" i="16"/>
  <c r="I53" i="16"/>
  <c r="J53" i="16"/>
  <c r="K53" i="16"/>
  <c r="L53" i="16"/>
  <c r="M53" i="16"/>
  <c r="N53" i="16"/>
  <c r="O53" i="16"/>
  <c r="P53" i="16"/>
  <c r="Q53" i="16"/>
  <c r="R53" i="16"/>
  <c r="S53" i="16"/>
  <c r="T53" i="16"/>
  <c r="U53" i="16"/>
  <c r="I54" i="16"/>
  <c r="J54" i="16"/>
  <c r="K54" i="16"/>
  <c r="L54" i="16"/>
  <c r="M54" i="16"/>
  <c r="N54" i="16"/>
  <c r="O54" i="16"/>
  <c r="P54" i="16"/>
  <c r="Q54" i="16"/>
  <c r="R54" i="16"/>
  <c r="S54" i="16"/>
  <c r="T54" i="16"/>
  <c r="U54" i="16"/>
  <c r="I55" i="16"/>
  <c r="J55" i="16"/>
  <c r="K55" i="16"/>
  <c r="L55" i="16"/>
  <c r="M55" i="16"/>
  <c r="N55" i="16"/>
  <c r="O55" i="16"/>
  <c r="P55" i="16"/>
  <c r="Q55" i="16"/>
  <c r="R55" i="16"/>
  <c r="S55" i="16"/>
  <c r="T55" i="16"/>
  <c r="U55" i="16"/>
  <c r="I56" i="16"/>
  <c r="J56" i="16"/>
  <c r="K56" i="16"/>
  <c r="L56" i="16"/>
  <c r="M56" i="16"/>
  <c r="N56" i="16"/>
  <c r="O56" i="16"/>
  <c r="P56" i="16"/>
  <c r="Q56" i="16"/>
  <c r="R56" i="16"/>
  <c r="S56" i="16"/>
  <c r="T56" i="16"/>
  <c r="U56" i="16"/>
  <c r="I57" i="16"/>
  <c r="J57" i="16"/>
  <c r="K57" i="16"/>
  <c r="L57" i="16"/>
  <c r="M57" i="16"/>
  <c r="N57" i="16"/>
  <c r="O57" i="16"/>
  <c r="P57" i="16"/>
  <c r="Q57" i="16"/>
  <c r="R57" i="16"/>
  <c r="S57" i="16"/>
  <c r="T57" i="16"/>
  <c r="U57" i="16"/>
  <c r="I58" i="16"/>
  <c r="J58" i="16"/>
  <c r="K58" i="16"/>
  <c r="L58" i="16"/>
  <c r="M58" i="16"/>
  <c r="N58" i="16"/>
  <c r="O58" i="16"/>
  <c r="P58" i="16"/>
  <c r="Q58" i="16"/>
  <c r="R58" i="16"/>
  <c r="S58" i="16"/>
  <c r="T58" i="16"/>
  <c r="U58" i="16"/>
  <c r="I59" i="16"/>
  <c r="J59" i="16"/>
  <c r="K59" i="16"/>
  <c r="L59" i="16"/>
  <c r="M59" i="16"/>
  <c r="N59" i="16"/>
  <c r="O59" i="16"/>
  <c r="P59" i="16"/>
  <c r="Q59" i="16"/>
  <c r="R59" i="16"/>
  <c r="S59" i="16"/>
  <c r="T59" i="16"/>
  <c r="U59" i="16"/>
  <c r="I60" i="16"/>
  <c r="J60" i="16"/>
  <c r="K60" i="16"/>
  <c r="L60" i="16"/>
  <c r="M60" i="16"/>
  <c r="N60" i="16"/>
  <c r="O60" i="16"/>
  <c r="P60" i="16"/>
  <c r="Q60" i="16"/>
  <c r="R60" i="16"/>
  <c r="S60" i="16"/>
  <c r="T60" i="16"/>
  <c r="U60" i="16"/>
  <c r="I61" i="16"/>
  <c r="J61" i="16"/>
  <c r="K61" i="16"/>
  <c r="L61" i="16"/>
  <c r="M61" i="16"/>
  <c r="N61" i="16"/>
  <c r="O61" i="16"/>
  <c r="P61" i="16"/>
  <c r="Q61" i="16"/>
  <c r="R61" i="16"/>
  <c r="S61" i="16"/>
  <c r="T61" i="16"/>
  <c r="U61" i="16"/>
  <c r="I62" i="16"/>
  <c r="J62" i="16"/>
  <c r="K62" i="16"/>
  <c r="L62" i="16"/>
  <c r="M62" i="16"/>
  <c r="N62" i="16"/>
  <c r="O62" i="16"/>
  <c r="P62" i="16"/>
  <c r="Q62" i="16"/>
  <c r="R62" i="16"/>
  <c r="S62" i="16"/>
  <c r="T62" i="16"/>
  <c r="U62" i="16"/>
  <c r="I63" i="16"/>
  <c r="J63" i="16"/>
  <c r="K63" i="16"/>
  <c r="L63" i="16"/>
  <c r="M63" i="16"/>
  <c r="N63" i="16"/>
  <c r="O63" i="16"/>
  <c r="P63" i="16"/>
  <c r="Q63" i="16"/>
  <c r="R63" i="16"/>
  <c r="S63" i="16"/>
  <c r="T63" i="16"/>
  <c r="U63" i="16"/>
  <c r="I64" i="16"/>
  <c r="J64" i="16"/>
  <c r="K64" i="16"/>
  <c r="L64" i="16"/>
  <c r="M64" i="16"/>
  <c r="N64" i="16"/>
  <c r="O64" i="16"/>
  <c r="P64" i="16"/>
  <c r="Q64" i="16"/>
  <c r="R64" i="16"/>
  <c r="S64" i="16"/>
  <c r="T64" i="16"/>
  <c r="U64" i="16"/>
  <c r="I65" i="16"/>
  <c r="J65" i="16"/>
  <c r="K65" i="16"/>
  <c r="L65" i="16"/>
  <c r="M65" i="16"/>
  <c r="N65" i="16"/>
  <c r="O65" i="16"/>
  <c r="P65" i="16"/>
  <c r="Q65" i="16"/>
  <c r="R65" i="16"/>
  <c r="S65" i="16"/>
  <c r="T65" i="16"/>
  <c r="U65" i="16"/>
  <c r="I66" i="16"/>
  <c r="J66" i="16"/>
  <c r="K66" i="16"/>
  <c r="L66" i="16"/>
  <c r="M66" i="16"/>
  <c r="N66" i="16"/>
  <c r="O66" i="16"/>
  <c r="P66" i="16"/>
  <c r="Q66" i="16"/>
  <c r="R66" i="16"/>
  <c r="S66" i="16"/>
  <c r="T66" i="16"/>
  <c r="U66" i="16"/>
  <c r="I67" i="16"/>
  <c r="J67" i="16"/>
  <c r="K67" i="16"/>
  <c r="L67" i="16"/>
  <c r="M67" i="16"/>
  <c r="N67" i="16"/>
  <c r="O67" i="16"/>
  <c r="P67" i="16"/>
  <c r="Q67" i="16"/>
  <c r="R67" i="16"/>
  <c r="S67" i="16"/>
  <c r="T67" i="16"/>
  <c r="U67" i="16"/>
  <c r="I68" i="16"/>
  <c r="J68" i="16"/>
  <c r="K68" i="16"/>
  <c r="L68" i="16"/>
  <c r="M68" i="16"/>
  <c r="N68" i="16"/>
  <c r="O68" i="16"/>
  <c r="P68" i="16"/>
  <c r="Q68" i="16"/>
  <c r="R68" i="16"/>
  <c r="S68" i="16"/>
  <c r="T68" i="16"/>
  <c r="U68" i="16"/>
  <c r="I69" i="16"/>
  <c r="J69" i="16"/>
  <c r="K69" i="16"/>
  <c r="L69" i="16"/>
  <c r="M69" i="16"/>
  <c r="N69" i="16"/>
  <c r="O69" i="16"/>
  <c r="P69" i="16"/>
  <c r="Q69" i="16"/>
  <c r="R69" i="16"/>
  <c r="S69" i="16"/>
  <c r="T69" i="16"/>
  <c r="U69" i="16"/>
  <c r="I70" i="16"/>
  <c r="J70" i="16"/>
  <c r="K70" i="16"/>
  <c r="L70" i="16"/>
  <c r="M70" i="16"/>
  <c r="N70" i="16"/>
  <c r="O70" i="16"/>
  <c r="P70" i="16"/>
  <c r="Q70" i="16"/>
  <c r="R70" i="16"/>
  <c r="S70" i="16"/>
  <c r="T70" i="16"/>
  <c r="U70" i="16"/>
  <c r="I71" i="16"/>
  <c r="J71" i="16"/>
  <c r="K71" i="16"/>
  <c r="L71" i="16"/>
  <c r="M71" i="16"/>
  <c r="N71" i="16"/>
  <c r="O71" i="16"/>
  <c r="P71" i="16"/>
  <c r="Q71" i="16"/>
  <c r="R71" i="16"/>
  <c r="S71" i="16"/>
  <c r="T71" i="16"/>
  <c r="U71" i="16"/>
  <c r="I72" i="16"/>
  <c r="J72" i="16"/>
  <c r="K72" i="16"/>
  <c r="L72" i="16"/>
  <c r="M72" i="16"/>
  <c r="N72" i="16"/>
  <c r="O72" i="16"/>
  <c r="P72" i="16"/>
  <c r="Q72" i="16"/>
  <c r="R72" i="16"/>
  <c r="S72" i="16"/>
  <c r="T72" i="16"/>
  <c r="U72" i="16"/>
  <c r="I73" i="16"/>
  <c r="J73" i="16"/>
  <c r="K73" i="16"/>
  <c r="L73" i="16"/>
  <c r="M73" i="16"/>
  <c r="N73" i="16"/>
  <c r="O73" i="16"/>
  <c r="P73" i="16"/>
  <c r="Q73" i="16"/>
  <c r="R73" i="16"/>
  <c r="S73" i="16"/>
  <c r="T73" i="16"/>
  <c r="U73" i="16"/>
  <c r="I74" i="16"/>
  <c r="J74" i="16"/>
  <c r="K74" i="16"/>
  <c r="L74" i="16"/>
  <c r="M74" i="16"/>
  <c r="N74" i="16"/>
  <c r="O74" i="16"/>
  <c r="P74" i="16"/>
  <c r="Q74" i="16"/>
  <c r="R74" i="16"/>
  <c r="S74" i="16"/>
  <c r="T74" i="16"/>
  <c r="U74" i="16"/>
  <c r="I75" i="16"/>
  <c r="J75" i="16"/>
  <c r="K75" i="16"/>
  <c r="L75" i="16"/>
  <c r="M75" i="16"/>
  <c r="N75" i="16"/>
  <c r="O75" i="16"/>
  <c r="P75" i="16"/>
  <c r="Q75" i="16"/>
  <c r="R75" i="16"/>
  <c r="S75" i="16"/>
  <c r="T75" i="16"/>
  <c r="U75" i="16"/>
  <c r="I76" i="16"/>
  <c r="J76" i="16"/>
  <c r="K76" i="16"/>
  <c r="L76" i="16"/>
  <c r="M76" i="16"/>
  <c r="N76" i="16"/>
  <c r="O76" i="16"/>
  <c r="P76" i="16"/>
  <c r="Q76" i="16"/>
  <c r="R76" i="16"/>
  <c r="S76" i="16"/>
  <c r="T76" i="16"/>
  <c r="U76" i="16"/>
  <c r="I77" i="16"/>
  <c r="J77" i="16"/>
  <c r="K77" i="16"/>
  <c r="L77" i="16"/>
  <c r="M77" i="16"/>
  <c r="N77" i="16"/>
  <c r="O77" i="16"/>
  <c r="P77" i="16"/>
  <c r="Q77" i="16"/>
  <c r="R77" i="16"/>
  <c r="S77" i="16"/>
  <c r="T77" i="16"/>
  <c r="U77" i="16"/>
  <c r="I78" i="16"/>
  <c r="J78" i="16"/>
  <c r="K78" i="16"/>
  <c r="L78" i="16"/>
  <c r="M78" i="16"/>
  <c r="N78" i="16"/>
  <c r="O78" i="16"/>
  <c r="P78" i="16"/>
  <c r="Q78" i="16"/>
  <c r="R78" i="16"/>
  <c r="S78" i="16"/>
  <c r="T78" i="16"/>
  <c r="U78" i="16"/>
  <c r="I79" i="16"/>
  <c r="J79" i="16"/>
  <c r="K79" i="16"/>
  <c r="L79" i="16"/>
  <c r="M79" i="16"/>
  <c r="N79" i="16"/>
  <c r="O79" i="16"/>
  <c r="P79" i="16"/>
  <c r="Q79" i="16"/>
  <c r="R79" i="16"/>
  <c r="S79" i="16"/>
  <c r="T79" i="16"/>
  <c r="U79" i="16"/>
  <c r="I80" i="16"/>
  <c r="J80" i="16"/>
  <c r="K80" i="16"/>
  <c r="L80" i="16"/>
  <c r="M80" i="16"/>
  <c r="N80" i="16"/>
  <c r="O80" i="16"/>
  <c r="P80" i="16"/>
  <c r="Q80" i="16"/>
  <c r="R80" i="16"/>
  <c r="S80" i="16"/>
  <c r="T80" i="16"/>
  <c r="U80" i="16"/>
  <c r="I81" i="16"/>
  <c r="J81" i="16"/>
  <c r="K81" i="16"/>
  <c r="L81" i="16"/>
  <c r="M81" i="16"/>
  <c r="N81" i="16"/>
  <c r="O81" i="16"/>
  <c r="P81" i="16"/>
  <c r="Q81" i="16"/>
  <c r="R81" i="16"/>
  <c r="S81" i="16"/>
  <c r="T81" i="16"/>
  <c r="U81" i="16"/>
  <c r="I82" i="16"/>
  <c r="J82" i="16"/>
  <c r="K82" i="16"/>
  <c r="L82" i="16"/>
  <c r="M82" i="16"/>
  <c r="N82" i="16"/>
  <c r="O82" i="16"/>
  <c r="P82" i="16"/>
  <c r="Q82" i="16"/>
  <c r="R82" i="16"/>
  <c r="S82" i="16"/>
  <c r="T82" i="16"/>
  <c r="U82" i="16"/>
  <c r="I83" i="16"/>
  <c r="J83" i="16"/>
  <c r="K83" i="16"/>
  <c r="L83" i="16"/>
  <c r="M83" i="16"/>
  <c r="N83" i="16"/>
  <c r="O83" i="16"/>
  <c r="P83" i="16"/>
  <c r="Q83" i="16"/>
  <c r="R83" i="16"/>
  <c r="S83" i="16"/>
  <c r="T83" i="16"/>
  <c r="U83" i="16"/>
  <c r="I84" i="16"/>
  <c r="J84" i="16"/>
  <c r="K84" i="16"/>
  <c r="L84" i="16"/>
  <c r="M84" i="16"/>
  <c r="N84" i="16"/>
  <c r="O84" i="16"/>
  <c r="P84" i="16"/>
  <c r="Q84" i="16"/>
  <c r="R84" i="16"/>
  <c r="S84" i="16"/>
  <c r="T84" i="16"/>
  <c r="U84" i="16"/>
  <c r="I85" i="16"/>
  <c r="J85" i="16"/>
  <c r="K85" i="16"/>
  <c r="L85" i="16"/>
  <c r="M85" i="16"/>
  <c r="N85" i="16"/>
  <c r="O85" i="16"/>
  <c r="P85" i="16"/>
  <c r="Q85" i="16"/>
  <c r="R85" i="16"/>
  <c r="S85" i="16"/>
  <c r="T85" i="16"/>
  <c r="U85" i="16"/>
  <c r="I86" i="16"/>
  <c r="J86" i="16"/>
  <c r="K86" i="16"/>
  <c r="L86" i="16"/>
  <c r="M86" i="16"/>
  <c r="N86" i="16"/>
  <c r="O86" i="16"/>
  <c r="P86" i="16"/>
  <c r="Q86" i="16"/>
  <c r="R86" i="16"/>
  <c r="S86" i="16"/>
  <c r="T86" i="16"/>
  <c r="U86" i="16"/>
  <c r="I87" i="16"/>
  <c r="J87" i="16"/>
  <c r="K87" i="16"/>
  <c r="L87" i="16"/>
  <c r="M87" i="16"/>
  <c r="N87" i="16"/>
  <c r="O87" i="16"/>
  <c r="P87" i="16"/>
  <c r="Q87" i="16"/>
  <c r="R87" i="16"/>
  <c r="S87" i="16"/>
  <c r="T87" i="16"/>
  <c r="U87" i="16"/>
  <c r="I88" i="16"/>
  <c r="J88" i="16"/>
  <c r="K88" i="16"/>
  <c r="L88" i="16"/>
  <c r="M88" i="16"/>
  <c r="N88" i="16"/>
  <c r="O88" i="16"/>
  <c r="P88" i="16"/>
  <c r="Q88" i="16"/>
  <c r="R88" i="16"/>
  <c r="S88" i="16"/>
  <c r="T88" i="16"/>
  <c r="U88" i="16"/>
  <c r="I89" i="16"/>
  <c r="J89" i="16"/>
  <c r="K89" i="16"/>
  <c r="L89" i="16"/>
  <c r="M89" i="16"/>
  <c r="N89" i="16"/>
  <c r="O89" i="16"/>
  <c r="P89" i="16"/>
  <c r="Q89" i="16"/>
  <c r="R89" i="16"/>
  <c r="S89" i="16"/>
  <c r="T89" i="16"/>
  <c r="U89" i="16"/>
  <c r="I90" i="16"/>
  <c r="J90" i="16"/>
  <c r="K90" i="16"/>
  <c r="L90" i="16"/>
  <c r="M90" i="16"/>
  <c r="N90" i="16"/>
  <c r="O90" i="16"/>
  <c r="P90" i="16"/>
  <c r="Q90" i="16"/>
  <c r="R90" i="16"/>
  <c r="S90" i="16"/>
  <c r="T90" i="16"/>
  <c r="U90" i="16"/>
  <c r="I91" i="16"/>
  <c r="J91" i="16"/>
  <c r="K91" i="16"/>
  <c r="L91" i="16"/>
  <c r="M91" i="16"/>
  <c r="N91" i="16"/>
  <c r="O91" i="16"/>
  <c r="P91" i="16"/>
  <c r="Q91" i="16"/>
  <c r="R91" i="16"/>
  <c r="S91" i="16"/>
  <c r="T91" i="16"/>
  <c r="U91" i="16"/>
  <c r="I92" i="16"/>
  <c r="J92" i="16"/>
  <c r="K92" i="16"/>
  <c r="L92" i="16"/>
  <c r="M92" i="16"/>
  <c r="N92" i="16"/>
  <c r="O92" i="16"/>
  <c r="P92" i="16"/>
  <c r="Q92" i="16"/>
  <c r="R92" i="16"/>
  <c r="S92" i="16"/>
  <c r="T92" i="16"/>
  <c r="U92" i="16"/>
  <c r="I93" i="16"/>
  <c r="J93" i="16"/>
  <c r="K93" i="16"/>
  <c r="L93" i="16"/>
  <c r="M93" i="16"/>
  <c r="N93" i="16"/>
  <c r="O93" i="16"/>
  <c r="P93" i="16"/>
  <c r="Q93" i="16"/>
  <c r="R93" i="16"/>
  <c r="S93" i="16"/>
  <c r="T93" i="16"/>
  <c r="U93" i="16"/>
  <c r="I94" i="16"/>
  <c r="J94" i="16"/>
  <c r="K94" i="16"/>
  <c r="L94" i="16"/>
  <c r="M94" i="16"/>
  <c r="N94" i="16"/>
  <c r="O94" i="16"/>
  <c r="P94" i="16"/>
  <c r="Q94" i="16"/>
  <c r="R94" i="16"/>
  <c r="S94" i="16"/>
  <c r="T94" i="16"/>
  <c r="U94" i="16"/>
  <c r="I95" i="16"/>
  <c r="J95" i="16"/>
  <c r="K95" i="16"/>
  <c r="L95" i="16"/>
  <c r="M95" i="16"/>
  <c r="N95" i="16"/>
  <c r="O95" i="16"/>
  <c r="P95" i="16"/>
  <c r="Q95" i="16"/>
  <c r="R95" i="16"/>
  <c r="S95" i="16"/>
  <c r="T95" i="16"/>
  <c r="U95" i="16"/>
  <c r="I96" i="16"/>
  <c r="J96" i="16"/>
  <c r="K96" i="16"/>
  <c r="L96" i="16"/>
  <c r="M96" i="16"/>
  <c r="N96" i="16"/>
  <c r="O96" i="16"/>
  <c r="P96" i="16"/>
  <c r="Q96" i="16"/>
  <c r="R96" i="16"/>
  <c r="S96" i="16"/>
  <c r="T96" i="16"/>
  <c r="U96" i="16"/>
  <c r="I97" i="16"/>
  <c r="J97" i="16"/>
  <c r="K97" i="16"/>
  <c r="L97" i="16"/>
  <c r="M97" i="16"/>
  <c r="N97" i="16"/>
  <c r="O97" i="16"/>
  <c r="P97" i="16"/>
  <c r="Q97" i="16"/>
  <c r="R97" i="16"/>
  <c r="S97" i="16"/>
  <c r="T97" i="16"/>
  <c r="U97" i="16"/>
  <c r="I98" i="16"/>
  <c r="J98" i="16"/>
  <c r="K98" i="16"/>
  <c r="L98" i="16"/>
  <c r="M98" i="16"/>
  <c r="N98" i="16"/>
  <c r="O98" i="16"/>
  <c r="P98" i="16"/>
  <c r="Q98" i="16"/>
  <c r="R98" i="16"/>
  <c r="S98" i="16"/>
  <c r="T98" i="16"/>
  <c r="U98" i="16"/>
  <c r="I99" i="16"/>
  <c r="J99" i="16"/>
  <c r="K99" i="16"/>
  <c r="L99" i="16"/>
  <c r="M99" i="16"/>
  <c r="N99" i="16"/>
  <c r="O99" i="16"/>
  <c r="P99" i="16"/>
  <c r="Q99" i="16"/>
  <c r="R99" i="16"/>
  <c r="S99" i="16"/>
  <c r="T99" i="16"/>
  <c r="U99" i="16"/>
  <c r="I100" i="16"/>
  <c r="J100" i="16"/>
  <c r="K100" i="16"/>
  <c r="L100" i="16"/>
  <c r="M100" i="16"/>
  <c r="N100" i="16"/>
  <c r="O100" i="16"/>
  <c r="P100" i="16"/>
  <c r="Q100" i="16"/>
  <c r="R100" i="16"/>
  <c r="S100" i="16"/>
  <c r="T100" i="16"/>
  <c r="U100" i="16"/>
  <c r="I4" i="15"/>
  <c r="J4" i="15"/>
  <c r="K4" i="15"/>
  <c r="L4" i="15"/>
  <c r="M4" i="15"/>
  <c r="N4" i="15"/>
  <c r="O4" i="15"/>
  <c r="P4" i="15"/>
  <c r="Q4" i="15"/>
  <c r="R4" i="15"/>
  <c r="S4" i="15"/>
  <c r="T4" i="15"/>
  <c r="U4" i="15"/>
  <c r="I5" i="15"/>
  <c r="J5" i="15"/>
  <c r="K5" i="15"/>
  <c r="L5" i="15"/>
  <c r="M5" i="15"/>
  <c r="N5" i="15"/>
  <c r="O5" i="15"/>
  <c r="P5" i="15"/>
  <c r="Q5" i="15"/>
  <c r="R5" i="15"/>
  <c r="S5" i="15"/>
  <c r="T5" i="15"/>
  <c r="U5" i="15"/>
  <c r="I6" i="15"/>
  <c r="J6" i="15"/>
  <c r="K6" i="15"/>
  <c r="L6" i="15"/>
  <c r="M6" i="15"/>
  <c r="N6" i="15"/>
  <c r="O6" i="15"/>
  <c r="P6" i="15"/>
  <c r="Q6" i="15"/>
  <c r="R6" i="15"/>
  <c r="S6" i="15"/>
  <c r="T6" i="15"/>
  <c r="U6" i="15"/>
  <c r="I7" i="15"/>
  <c r="J7" i="15"/>
  <c r="K7" i="15"/>
  <c r="L7" i="15"/>
  <c r="M7" i="15"/>
  <c r="N7" i="15"/>
  <c r="O7" i="15"/>
  <c r="P7" i="15"/>
  <c r="Q7" i="15"/>
  <c r="R7" i="15"/>
  <c r="S7" i="15"/>
  <c r="T7" i="15"/>
  <c r="U7" i="15"/>
  <c r="I8" i="15"/>
  <c r="J8" i="15"/>
  <c r="K8" i="15"/>
  <c r="L8" i="15"/>
  <c r="M8" i="15"/>
  <c r="N8" i="15"/>
  <c r="O8" i="15"/>
  <c r="P8" i="15"/>
  <c r="Q8" i="15"/>
  <c r="R8" i="15"/>
  <c r="S8" i="15"/>
  <c r="T8" i="15"/>
  <c r="U8" i="15"/>
  <c r="I9" i="15"/>
  <c r="J9" i="15"/>
  <c r="K9" i="15"/>
  <c r="L9" i="15"/>
  <c r="M9" i="15"/>
  <c r="N9" i="15"/>
  <c r="O9" i="15"/>
  <c r="P9" i="15"/>
  <c r="Q9" i="15"/>
  <c r="R9" i="15"/>
  <c r="S9" i="15"/>
  <c r="T9" i="15"/>
  <c r="U9" i="15"/>
  <c r="I10" i="15"/>
  <c r="J10" i="15"/>
  <c r="K10" i="15"/>
  <c r="L10" i="15"/>
  <c r="M10" i="15"/>
  <c r="N10" i="15"/>
  <c r="O10" i="15"/>
  <c r="P10" i="15"/>
  <c r="Q10" i="15"/>
  <c r="R10" i="15"/>
  <c r="S10" i="15"/>
  <c r="T10" i="15"/>
  <c r="U10" i="15"/>
  <c r="I11" i="15"/>
  <c r="J11" i="15"/>
  <c r="K11" i="15"/>
  <c r="L11" i="15"/>
  <c r="M11" i="15"/>
  <c r="N11" i="15"/>
  <c r="O11" i="15"/>
  <c r="P11" i="15"/>
  <c r="Q11" i="15"/>
  <c r="R11" i="15"/>
  <c r="S11" i="15"/>
  <c r="T11" i="15"/>
  <c r="U11" i="15"/>
  <c r="I12" i="15"/>
  <c r="J12" i="15"/>
  <c r="K12" i="15"/>
  <c r="L12" i="15"/>
  <c r="M12" i="15"/>
  <c r="N12" i="15"/>
  <c r="O12" i="15"/>
  <c r="P12" i="15"/>
  <c r="Q12" i="15"/>
  <c r="R12" i="15"/>
  <c r="S12" i="15"/>
  <c r="T12" i="15"/>
  <c r="U12" i="15"/>
  <c r="I13" i="15"/>
  <c r="J13" i="15"/>
  <c r="K13" i="15"/>
  <c r="L13" i="15"/>
  <c r="M13" i="15"/>
  <c r="N13" i="15"/>
  <c r="O13" i="15"/>
  <c r="P13" i="15"/>
  <c r="Q13" i="15"/>
  <c r="R13" i="15"/>
  <c r="S13" i="15"/>
  <c r="T13" i="15"/>
  <c r="U13" i="15"/>
  <c r="I14" i="15"/>
  <c r="J14" i="15"/>
  <c r="K14" i="15"/>
  <c r="L14" i="15"/>
  <c r="M14" i="15"/>
  <c r="N14" i="15"/>
  <c r="O14" i="15"/>
  <c r="P14" i="15"/>
  <c r="Q14" i="15"/>
  <c r="R14" i="15"/>
  <c r="S14" i="15"/>
  <c r="T14" i="15"/>
  <c r="U14" i="15"/>
  <c r="I15" i="15"/>
  <c r="J15" i="15"/>
  <c r="K15" i="15"/>
  <c r="L15" i="15"/>
  <c r="M15" i="15"/>
  <c r="N15" i="15"/>
  <c r="O15" i="15"/>
  <c r="P15" i="15"/>
  <c r="Q15" i="15"/>
  <c r="R15" i="15"/>
  <c r="S15" i="15"/>
  <c r="T15" i="15"/>
  <c r="U15" i="15"/>
  <c r="I16" i="15"/>
  <c r="J16" i="15"/>
  <c r="K16" i="15"/>
  <c r="L16" i="15"/>
  <c r="M16" i="15"/>
  <c r="N16" i="15"/>
  <c r="O16" i="15"/>
  <c r="P16" i="15"/>
  <c r="Q16" i="15"/>
  <c r="R16" i="15"/>
  <c r="S16" i="15"/>
  <c r="T16" i="15"/>
  <c r="U16" i="15"/>
  <c r="I17" i="15"/>
  <c r="J17" i="15"/>
  <c r="K17" i="15"/>
  <c r="L17" i="15"/>
  <c r="M17" i="15"/>
  <c r="N17" i="15"/>
  <c r="O17" i="15"/>
  <c r="P17" i="15"/>
  <c r="Q17" i="15"/>
  <c r="R17" i="15"/>
  <c r="S17" i="15"/>
  <c r="T17" i="15"/>
  <c r="U17" i="15"/>
  <c r="I18" i="15"/>
  <c r="J18" i="15"/>
  <c r="K18" i="15"/>
  <c r="L18" i="15"/>
  <c r="M18" i="15"/>
  <c r="N18" i="15"/>
  <c r="O18" i="15"/>
  <c r="P18" i="15"/>
  <c r="Q18" i="15"/>
  <c r="R18" i="15"/>
  <c r="S18" i="15"/>
  <c r="T18" i="15"/>
  <c r="U18" i="15"/>
  <c r="I19" i="15"/>
  <c r="J19" i="15"/>
  <c r="K19" i="15"/>
  <c r="L19" i="15"/>
  <c r="M19" i="15"/>
  <c r="N19" i="15"/>
  <c r="O19" i="15"/>
  <c r="P19" i="15"/>
  <c r="Q19" i="15"/>
  <c r="R19" i="15"/>
  <c r="S19" i="15"/>
  <c r="T19" i="15"/>
  <c r="U19" i="15"/>
  <c r="I20" i="15"/>
  <c r="J20" i="15"/>
  <c r="K20" i="15"/>
  <c r="L20" i="15"/>
  <c r="M20" i="15"/>
  <c r="N20" i="15"/>
  <c r="O20" i="15"/>
  <c r="P20" i="15"/>
  <c r="Q20" i="15"/>
  <c r="R20" i="15"/>
  <c r="S20" i="15"/>
  <c r="T20" i="15"/>
  <c r="U20" i="15"/>
  <c r="I21" i="15"/>
  <c r="J21" i="15"/>
  <c r="K21" i="15"/>
  <c r="L21" i="15"/>
  <c r="M21" i="15"/>
  <c r="N21" i="15"/>
  <c r="O21" i="15"/>
  <c r="P21" i="15"/>
  <c r="Q21" i="15"/>
  <c r="R21" i="15"/>
  <c r="S21" i="15"/>
  <c r="T21" i="15"/>
  <c r="U21" i="15"/>
  <c r="I22" i="15"/>
  <c r="J22" i="15"/>
  <c r="K22" i="15"/>
  <c r="L22" i="15"/>
  <c r="M22" i="15"/>
  <c r="N22" i="15"/>
  <c r="O22" i="15"/>
  <c r="P22" i="15"/>
  <c r="Q22" i="15"/>
  <c r="R22" i="15"/>
  <c r="S22" i="15"/>
  <c r="T22" i="15"/>
  <c r="U22" i="15"/>
  <c r="I23" i="15"/>
  <c r="J23" i="15"/>
  <c r="K23" i="15"/>
  <c r="L23" i="15"/>
  <c r="M23" i="15"/>
  <c r="N23" i="15"/>
  <c r="O23" i="15"/>
  <c r="P23" i="15"/>
  <c r="Q23" i="15"/>
  <c r="R23" i="15"/>
  <c r="S23" i="15"/>
  <c r="T23" i="15"/>
  <c r="U23" i="15"/>
  <c r="I24" i="15"/>
  <c r="J24" i="15"/>
  <c r="K24" i="15"/>
  <c r="L24" i="15"/>
  <c r="M24" i="15"/>
  <c r="N24" i="15"/>
  <c r="O24" i="15"/>
  <c r="P24" i="15"/>
  <c r="Q24" i="15"/>
  <c r="R24" i="15"/>
  <c r="S24" i="15"/>
  <c r="T24" i="15"/>
  <c r="U24" i="15"/>
  <c r="I25" i="15"/>
  <c r="J25" i="15"/>
  <c r="K25" i="15"/>
  <c r="L25" i="15"/>
  <c r="M25" i="15"/>
  <c r="N25" i="15"/>
  <c r="O25" i="15"/>
  <c r="P25" i="15"/>
  <c r="Q25" i="15"/>
  <c r="R25" i="15"/>
  <c r="S25" i="15"/>
  <c r="T25" i="15"/>
  <c r="U25" i="15"/>
  <c r="I26" i="15"/>
  <c r="J26" i="15"/>
  <c r="K26" i="15"/>
  <c r="L26" i="15"/>
  <c r="M26" i="15"/>
  <c r="N26" i="15"/>
  <c r="O26" i="15"/>
  <c r="P26" i="15"/>
  <c r="Q26" i="15"/>
  <c r="R26" i="15"/>
  <c r="S26" i="15"/>
  <c r="T26" i="15"/>
  <c r="U26" i="15"/>
  <c r="I27" i="15"/>
  <c r="J27" i="15"/>
  <c r="K27" i="15"/>
  <c r="L27" i="15"/>
  <c r="M27" i="15"/>
  <c r="N27" i="15"/>
  <c r="O27" i="15"/>
  <c r="P27" i="15"/>
  <c r="Q27" i="15"/>
  <c r="R27" i="15"/>
  <c r="S27" i="15"/>
  <c r="T27" i="15"/>
  <c r="U27" i="15"/>
  <c r="I28" i="15"/>
  <c r="J28" i="15"/>
  <c r="K28" i="15"/>
  <c r="L28" i="15"/>
  <c r="M28" i="15"/>
  <c r="N28" i="15"/>
  <c r="O28" i="15"/>
  <c r="P28" i="15"/>
  <c r="Q28" i="15"/>
  <c r="R28" i="15"/>
  <c r="S28" i="15"/>
  <c r="T28" i="15"/>
  <c r="U28" i="15"/>
  <c r="I29" i="15"/>
  <c r="J29" i="15"/>
  <c r="K29" i="15"/>
  <c r="L29" i="15"/>
  <c r="M29" i="15"/>
  <c r="N29" i="15"/>
  <c r="O29" i="15"/>
  <c r="P29" i="15"/>
  <c r="Q29" i="15"/>
  <c r="R29" i="15"/>
  <c r="S29" i="15"/>
  <c r="T29" i="15"/>
  <c r="U29" i="15"/>
  <c r="I30" i="15"/>
  <c r="J30" i="15"/>
  <c r="K30" i="15"/>
  <c r="L30" i="15"/>
  <c r="M30" i="15"/>
  <c r="N30" i="15"/>
  <c r="O30" i="15"/>
  <c r="P30" i="15"/>
  <c r="Q30" i="15"/>
  <c r="R30" i="15"/>
  <c r="S30" i="15"/>
  <c r="T30" i="15"/>
  <c r="U30" i="15"/>
  <c r="I31" i="15"/>
  <c r="J31" i="15"/>
  <c r="K31" i="15"/>
  <c r="L31" i="15"/>
  <c r="M31" i="15"/>
  <c r="N31" i="15"/>
  <c r="O31" i="15"/>
  <c r="P31" i="15"/>
  <c r="Q31" i="15"/>
  <c r="R31" i="15"/>
  <c r="S31" i="15"/>
  <c r="T31" i="15"/>
  <c r="U31" i="15"/>
  <c r="I32" i="15"/>
  <c r="J32" i="15"/>
  <c r="K32" i="15"/>
  <c r="L32" i="15"/>
  <c r="M32" i="15"/>
  <c r="N32" i="15"/>
  <c r="O32" i="15"/>
  <c r="P32" i="15"/>
  <c r="Q32" i="15"/>
  <c r="R32" i="15"/>
  <c r="S32" i="15"/>
  <c r="T32" i="15"/>
  <c r="U32" i="15"/>
  <c r="I33" i="15"/>
  <c r="J33" i="15"/>
  <c r="K33" i="15"/>
  <c r="L33" i="15"/>
  <c r="M33" i="15"/>
  <c r="N33" i="15"/>
  <c r="O33" i="15"/>
  <c r="P33" i="15"/>
  <c r="Q33" i="15"/>
  <c r="R33" i="15"/>
  <c r="S33" i="15"/>
  <c r="T33" i="15"/>
  <c r="U33" i="15"/>
  <c r="I34" i="15"/>
  <c r="J34" i="15"/>
  <c r="K34" i="15"/>
  <c r="L34" i="15"/>
  <c r="M34" i="15"/>
  <c r="N34" i="15"/>
  <c r="O34" i="15"/>
  <c r="P34" i="15"/>
  <c r="Q34" i="15"/>
  <c r="R34" i="15"/>
  <c r="S34" i="15"/>
  <c r="T34" i="15"/>
  <c r="U34" i="15"/>
  <c r="I35" i="15"/>
  <c r="J35" i="15"/>
  <c r="K35" i="15"/>
  <c r="L35" i="15"/>
  <c r="M35" i="15"/>
  <c r="N35" i="15"/>
  <c r="O35" i="15"/>
  <c r="P35" i="15"/>
  <c r="Q35" i="15"/>
  <c r="R35" i="15"/>
  <c r="S35" i="15"/>
  <c r="T35" i="15"/>
  <c r="U35" i="15"/>
  <c r="I36" i="15"/>
  <c r="J36" i="15"/>
  <c r="K36" i="15"/>
  <c r="L36" i="15"/>
  <c r="M36" i="15"/>
  <c r="N36" i="15"/>
  <c r="O36" i="15"/>
  <c r="P36" i="15"/>
  <c r="Q36" i="15"/>
  <c r="R36" i="15"/>
  <c r="S36" i="15"/>
  <c r="T36" i="15"/>
  <c r="U36" i="15"/>
  <c r="I37" i="15"/>
  <c r="J37" i="15"/>
  <c r="K37" i="15"/>
  <c r="L37" i="15"/>
  <c r="M37" i="15"/>
  <c r="N37" i="15"/>
  <c r="O37" i="15"/>
  <c r="P37" i="15"/>
  <c r="Q37" i="15"/>
  <c r="R37" i="15"/>
  <c r="S37" i="15"/>
  <c r="T37" i="15"/>
  <c r="U37" i="15"/>
  <c r="I38" i="15"/>
  <c r="J38" i="15"/>
  <c r="K38" i="15"/>
  <c r="L38" i="15"/>
  <c r="M38" i="15"/>
  <c r="N38" i="15"/>
  <c r="O38" i="15"/>
  <c r="P38" i="15"/>
  <c r="Q38" i="15"/>
  <c r="R38" i="15"/>
  <c r="S38" i="15"/>
  <c r="T38" i="15"/>
  <c r="U38" i="15"/>
  <c r="I39" i="15"/>
  <c r="J39" i="15"/>
  <c r="K39" i="15"/>
  <c r="L39" i="15"/>
  <c r="M39" i="15"/>
  <c r="N39" i="15"/>
  <c r="O39" i="15"/>
  <c r="P39" i="15"/>
  <c r="Q39" i="15"/>
  <c r="R39" i="15"/>
  <c r="S39" i="15"/>
  <c r="T39" i="15"/>
  <c r="U39" i="15"/>
  <c r="I40" i="15"/>
  <c r="J40" i="15"/>
  <c r="K40" i="15"/>
  <c r="L40" i="15"/>
  <c r="M40" i="15"/>
  <c r="N40" i="15"/>
  <c r="O40" i="15"/>
  <c r="P40" i="15"/>
  <c r="Q40" i="15"/>
  <c r="R40" i="15"/>
  <c r="S40" i="15"/>
  <c r="T40" i="15"/>
  <c r="U40" i="15"/>
  <c r="I41" i="15"/>
  <c r="J41" i="15"/>
  <c r="K41" i="15"/>
  <c r="L41" i="15"/>
  <c r="M41" i="15"/>
  <c r="N41" i="15"/>
  <c r="O41" i="15"/>
  <c r="P41" i="15"/>
  <c r="Q41" i="15"/>
  <c r="R41" i="15"/>
  <c r="S41" i="15"/>
  <c r="T41" i="15"/>
  <c r="U41" i="15"/>
  <c r="I42" i="15"/>
  <c r="J42" i="15"/>
  <c r="K42" i="15"/>
  <c r="L42" i="15"/>
  <c r="M42" i="15"/>
  <c r="N42" i="15"/>
  <c r="O42" i="15"/>
  <c r="P42" i="15"/>
  <c r="Q42" i="15"/>
  <c r="R42" i="15"/>
  <c r="S42" i="15"/>
  <c r="T42" i="15"/>
  <c r="U42" i="15"/>
  <c r="I43" i="15"/>
  <c r="J43" i="15"/>
  <c r="K43" i="15"/>
  <c r="L43" i="15"/>
  <c r="M43" i="15"/>
  <c r="N43" i="15"/>
  <c r="O43" i="15"/>
  <c r="P43" i="15"/>
  <c r="Q43" i="15"/>
  <c r="R43" i="15"/>
  <c r="S43" i="15"/>
  <c r="T43" i="15"/>
  <c r="U43" i="15"/>
  <c r="I44" i="15"/>
  <c r="J44" i="15"/>
  <c r="K44" i="15"/>
  <c r="L44" i="15"/>
  <c r="M44" i="15"/>
  <c r="N44" i="15"/>
  <c r="O44" i="15"/>
  <c r="P44" i="15"/>
  <c r="Q44" i="15"/>
  <c r="R44" i="15"/>
  <c r="S44" i="15"/>
  <c r="T44" i="15"/>
  <c r="U44" i="15"/>
  <c r="I45" i="15"/>
  <c r="J45" i="15"/>
  <c r="K45" i="15"/>
  <c r="L45" i="15"/>
  <c r="M45" i="15"/>
  <c r="N45" i="15"/>
  <c r="O45" i="15"/>
  <c r="P45" i="15"/>
  <c r="Q45" i="15"/>
  <c r="R45" i="15"/>
  <c r="S45" i="15"/>
  <c r="T45" i="15"/>
  <c r="U45" i="15"/>
  <c r="I46" i="15"/>
  <c r="J46" i="15"/>
  <c r="K46" i="15"/>
  <c r="L46" i="15"/>
  <c r="M46" i="15"/>
  <c r="N46" i="15"/>
  <c r="O46" i="15"/>
  <c r="P46" i="15"/>
  <c r="Q46" i="15"/>
  <c r="R46" i="15"/>
  <c r="S46" i="15"/>
  <c r="T46" i="15"/>
  <c r="U46" i="15"/>
  <c r="I47" i="15"/>
  <c r="J47" i="15"/>
  <c r="K47" i="15"/>
  <c r="L47" i="15"/>
  <c r="M47" i="15"/>
  <c r="N47" i="15"/>
  <c r="O47" i="15"/>
  <c r="P47" i="15"/>
  <c r="Q47" i="15"/>
  <c r="R47" i="15"/>
  <c r="S47" i="15"/>
  <c r="T47" i="15"/>
  <c r="U47" i="15"/>
  <c r="I48" i="15"/>
  <c r="J48" i="15"/>
  <c r="K48" i="15"/>
  <c r="L48" i="15"/>
  <c r="M48" i="15"/>
  <c r="N48" i="15"/>
  <c r="O48" i="15"/>
  <c r="P48" i="15"/>
  <c r="Q48" i="15"/>
  <c r="R48" i="15"/>
  <c r="S48" i="15"/>
  <c r="T48" i="15"/>
  <c r="U48" i="15"/>
  <c r="I49" i="15"/>
  <c r="J49" i="15"/>
  <c r="K49" i="15"/>
  <c r="L49" i="15"/>
  <c r="M49" i="15"/>
  <c r="N49" i="15"/>
  <c r="O49" i="15"/>
  <c r="P49" i="15"/>
  <c r="Q49" i="15"/>
  <c r="R49" i="15"/>
  <c r="S49" i="15"/>
  <c r="T49" i="15"/>
  <c r="U49" i="15"/>
  <c r="I50" i="15"/>
  <c r="J50" i="15"/>
  <c r="K50" i="15"/>
  <c r="L50" i="15"/>
  <c r="M50" i="15"/>
  <c r="N50" i="15"/>
  <c r="O50" i="15"/>
  <c r="P50" i="15"/>
  <c r="Q50" i="15"/>
  <c r="R50" i="15"/>
  <c r="S50" i="15"/>
  <c r="T50" i="15"/>
  <c r="U50" i="15"/>
  <c r="I51" i="15"/>
  <c r="J51" i="15"/>
  <c r="K51" i="15"/>
  <c r="L51" i="15"/>
  <c r="M51" i="15"/>
  <c r="N51" i="15"/>
  <c r="O51" i="15"/>
  <c r="P51" i="15"/>
  <c r="Q51" i="15"/>
  <c r="R51" i="15"/>
  <c r="S51" i="15"/>
  <c r="T51" i="15"/>
  <c r="U51" i="15"/>
  <c r="I52" i="15"/>
  <c r="J52" i="15"/>
  <c r="K52" i="15"/>
  <c r="L52" i="15"/>
  <c r="M52" i="15"/>
  <c r="N52" i="15"/>
  <c r="O52" i="15"/>
  <c r="P52" i="15"/>
  <c r="Q52" i="15"/>
  <c r="R52" i="15"/>
  <c r="S52" i="15"/>
  <c r="T52" i="15"/>
  <c r="U52" i="15"/>
  <c r="I53" i="15"/>
  <c r="J53" i="15"/>
  <c r="K53" i="15"/>
  <c r="L53" i="15"/>
  <c r="M53" i="15"/>
  <c r="N53" i="15"/>
  <c r="O53" i="15"/>
  <c r="P53" i="15"/>
  <c r="Q53" i="15"/>
  <c r="R53" i="15"/>
  <c r="S53" i="15"/>
  <c r="T53" i="15"/>
  <c r="U53" i="15"/>
  <c r="I54" i="15"/>
  <c r="J54" i="15"/>
  <c r="K54" i="15"/>
  <c r="L54" i="15"/>
  <c r="M54" i="15"/>
  <c r="N54" i="15"/>
  <c r="O54" i="15"/>
  <c r="P54" i="15"/>
  <c r="Q54" i="15"/>
  <c r="R54" i="15"/>
  <c r="S54" i="15"/>
  <c r="T54" i="15"/>
  <c r="U54" i="15"/>
  <c r="I55" i="15"/>
  <c r="J55" i="15"/>
  <c r="K55" i="15"/>
  <c r="L55" i="15"/>
  <c r="M55" i="15"/>
  <c r="N55" i="15"/>
  <c r="O55" i="15"/>
  <c r="P55" i="15"/>
  <c r="Q55" i="15"/>
  <c r="R55" i="15"/>
  <c r="S55" i="15"/>
  <c r="T55" i="15"/>
  <c r="U55" i="15"/>
  <c r="I56" i="15"/>
  <c r="J56" i="15"/>
  <c r="K56" i="15"/>
  <c r="L56" i="15"/>
  <c r="M56" i="15"/>
  <c r="N56" i="15"/>
  <c r="O56" i="15"/>
  <c r="P56" i="15"/>
  <c r="Q56" i="15"/>
  <c r="R56" i="15"/>
  <c r="S56" i="15"/>
  <c r="T56" i="15"/>
  <c r="U56" i="15"/>
  <c r="I57" i="15"/>
  <c r="J57" i="15"/>
  <c r="K57" i="15"/>
  <c r="L57" i="15"/>
  <c r="M57" i="15"/>
  <c r="N57" i="15"/>
  <c r="O57" i="15"/>
  <c r="P57" i="15"/>
  <c r="Q57" i="15"/>
  <c r="R57" i="15"/>
  <c r="S57" i="15"/>
  <c r="T57" i="15"/>
  <c r="U57" i="15"/>
  <c r="I58" i="15"/>
  <c r="J58" i="15"/>
  <c r="K58" i="15"/>
  <c r="L58" i="15"/>
  <c r="M58" i="15"/>
  <c r="N58" i="15"/>
  <c r="O58" i="15"/>
  <c r="P58" i="15"/>
  <c r="Q58" i="15"/>
  <c r="R58" i="15"/>
  <c r="S58" i="15"/>
  <c r="T58" i="15"/>
  <c r="U58" i="15"/>
  <c r="I59" i="15"/>
  <c r="J59" i="15"/>
  <c r="K59" i="15"/>
  <c r="L59" i="15"/>
  <c r="M59" i="15"/>
  <c r="N59" i="15"/>
  <c r="O59" i="15"/>
  <c r="P59" i="15"/>
  <c r="Q59" i="15"/>
  <c r="R59" i="15"/>
  <c r="S59" i="15"/>
  <c r="T59" i="15"/>
  <c r="U59" i="15"/>
  <c r="I60" i="15"/>
  <c r="J60" i="15"/>
  <c r="K60" i="15"/>
  <c r="L60" i="15"/>
  <c r="M60" i="15"/>
  <c r="N60" i="15"/>
  <c r="O60" i="15"/>
  <c r="P60" i="15"/>
  <c r="Q60" i="15"/>
  <c r="R60" i="15"/>
  <c r="S60" i="15"/>
  <c r="T60" i="15"/>
  <c r="U60" i="15"/>
  <c r="I61" i="15"/>
  <c r="J61" i="15"/>
  <c r="K61" i="15"/>
  <c r="L61" i="15"/>
  <c r="M61" i="15"/>
  <c r="N61" i="15"/>
  <c r="O61" i="15"/>
  <c r="P61" i="15"/>
  <c r="Q61" i="15"/>
  <c r="R61" i="15"/>
  <c r="S61" i="15"/>
  <c r="T61" i="15"/>
  <c r="U61" i="15"/>
  <c r="I62" i="15"/>
  <c r="J62" i="15"/>
  <c r="K62" i="15"/>
  <c r="L62" i="15"/>
  <c r="M62" i="15"/>
  <c r="N62" i="15"/>
  <c r="O62" i="15"/>
  <c r="P62" i="15"/>
  <c r="Q62" i="15"/>
  <c r="R62" i="15"/>
  <c r="S62" i="15"/>
  <c r="T62" i="15"/>
  <c r="U62" i="15"/>
  <c r="I63" i="15"/>
  <c r="J63" i="15"/>
  <c r="K63" i="15"/>
  <c r="L63" i="15"/>
  <c r="M63" i="15"/>
  <c r="N63" i="15"/>
  <c r="O63" i="15"/>
  <c r="P63" i="15"/>
  <c r="Q63" i="15"/>
  <c r="R63" i="15"/>
  <c r="S63" i="15"/>
  <c r="T63" i="15"/>
  <c r="U63" i="15"/>
  <c r="I64" i="15"/>
  <c r="J64" i="15"/>
  <c r="K64" i="15"/>
  <c r="L64" i="15"/>
  <c r="M64" i="15"/>
  <c r="N64" i="15"/>
  <c r="O64" i="15"/>
  <c r="P64" i="15"/>
  <c r="Q64" i="15"/>
  <c r="R64" i="15"/>
  <c r="S64" i="15"/>
  <c r="T64" i="15"/>
  <c r="U64" i="15"/>
  <c r="I65" i="15"/>
  <c r="J65" i="15"/>
  <c r="K65" i="15"/>
  <c r="L65" i="15"/>
  <c r="M65" i="15"/>
  <c r="N65" i="15"/>
  <c r="O65" i="15"/>
  <c r="P65" i="15"/>
  <c r="Q65" i="15"/>
  <c r="R65" i="15"/>
  <c r="S65" i="15"/>
  <c r="T65" i="15"/>
  <c r="U65" i="15"/>
  <c r="I66" i="15"/>
  <c r="J66" i="15"/>
  <c r="K66" i="15"/>
  <c r="L66" i="15"/>
  <c r="M66" i="15"/>
  <c r="N66" i="15"/>
  <c r="O66" i="15"/>
  <c r="P66" i="15"/>
  <c r="Q66" i="15"/>
  <c r="R66" i="15"/>
  <c r="S66" i="15"/>
  <c r="T66" i="15"/>
  <c r="U66" i="15"/>
  <c r="I67" i="15"/>
  <c r="J67" i="15"/>
  <c r="K67" i="15"/>
  <c r="L67" i="15"/>
  <c r="M67" i="15"/>
  <c r="N67" i="15"/>
  <c r="O67" i="15"/>
  <c r="P67" i="15"/>
  <c r="Q67" i="15"/>
  <c r="R67" i="15"/>
  <c r="S67" i="15"/>
  <c r="T67" i="15"/>
  <c r="U67" i="15"/>
  <c r="I68" i="15"/>
  <c r="J68" i="15"/>
  <c r="K68" i="15"/>
  <c r="L68" i="15"/>
  <c r="M68" i="15"/>
  <c r="N68" i="15"/>
  <c r="O68" i="15"/>
  <c r="P68" i="15"/>
  <c r="Q68" i="15"/>
  <c r="R68" i="15"/>
  <c r="S68" i="15"/>
  <c r="T68" i="15"/>
  <c r="U68" i="15"/>
  <c r="I69" i="15"/>
  <c r="J69" i="15"/>
  <c r="K69" i="15"/>
  <c r="L69" i="15"/>
  <c r="M69" i="15"/>
  <c r="N69" i="15"/>
  <c r="O69" i="15"/>
  <c r="P69" i="15"/>
  <c r="Q69" i="15"/>
  <c r="R69" i="15"/>
  <c r="S69" i="15"/>
  <c r="T69" i="15"/>
  <c r="U69" i="15"/>
  <c r="I70" i="15"/>
  <c r="J70" i="15"/>
  <c r="K70" i="15"/>
  <c r="L70" i="15"/>
  <c r="M70" i="15"/>
  <c r="N70" i="15"/>
  <c r="O70" i="15"/>
  <c r="P70" i="15"/>
  <c r="Q70" i="15"/>
  <c r="R70" i="15"/>
  <c r="S70" i="15"/>
  <c r="T70" i="15"/>
  <c r="U70" i="15"/>
  <c r="I71" i="15"/>
  <c r="J71" i="15"/>
  <c r="K71" i="15"/>
  <c r="L71" i="15"/>
  <c r="M71" i="15"/>
  <c r="N71" i="15"/>
  <c r="O71" i="15"/>
  <c r="P71" i="15"/>
  <c r="Q71" i="15"/>
  <c r="R71" i="15"/>
  <c r="S71" i="15"/>
  <c r="T71" i="15"/>
  <c r="U71" i="15"/>
  <c r="I72" i="15"/>
  <c r="J72" i="15"/>
  <c r="K72" i="15"/>
  <c r="L72" i="15"/>
  <c r="M72" i="15"/>
  <c r="N72" i="15"/>
  <c r="O72" i="15"/>
  <c r="P72" i="15"/>
  <c r="Q72" i="15"/>
  <c r="R72" i="15"/>
  <c r="S72" i="15"/>
  <c r="T72" i="15"/>
  <c r="U72" i="15"/>
  <c r="I73" i="15"/>
  <c r="J73" i="15"/>
  <c r="K73" i="15"/>
  <c r="L73" i="15"/>
  <c r="M73" i="15"/>
  <c r="N73" i="15"/>
  <c r="O73" i="15"/>
  <c r="P73" i="15"/>
  <c r="Q73" i="15"/>
  <c r="R73" i="15"/>
  <c r="S73" i="15"/>
  <c r="T73" i="15"/>
  <c r="U73" i="15"/>
  <c r="I74" i="15"/>
  <c r="J74" i="15"/>
  <c r="K74" i="15"/>
  <c r="L74" i="15"/>
  <c r="M74" i="15"/>
  <c r="N74" i="15"/>
  <c r="O74" i="15"/>
  <c r="P74" i="15"/>
  <c r="Q74" i="15"/>
  <c r="R74" i="15"/>
  <c r="S74" i="15"/>
  <c r="T74" i="15"/>
  <c r="U74" i="15"/>
  <c r="I75" i="15"/>
  <c r="J75" i="15"/>
  <c r="K75" i="15"/>
  <c r="L75" i="15"/>
  <c r="M75" i="15"/>
  <c r="N75" i="15"/>
  <c r="O75" i="15"/>
  <c r="P75" i="15"/>
  <c r="Q75" i="15"/>
  <c r="R75" i="15"/>
  <c r="S75" i="15"/>
  <c r="T75" i="15"/>
  <c r="U75" i="15"/>
  <c r="I76" i="15"/>
  <c r="J76" i="15"/>
  <c r="K76" i="15"/>
  <c r="L76" i="15"/>
  <c r="M76" i="15"/>
  <c r="N76" i="15"/>
  <c r="O76" i="15"/>
  <c r="P76" i="15"/>
  <c r="Q76" i="15"/>
  <c r="R76" i="15"/>
  <c r="S76" i="15"/>
  <c r="T76" i="15"/>
  <c r="U76" i="15"/>
  <c r="I77" i="15"/>
  <c r="J77" i="15"/>
  <c r="K77" i="15"/>
  <c r="L77" i="15"/>
  <c r="M77" i="15"/>
  <c r="N77" i="15"/>
  <c r="O77" i="15"/>
  <c r="P77" i="15"/>
  <c r="Q77" i="15"/>
  <c r="R77" i="15"/>
  <c r="S77" i="15"/>
  <c r="T77" i="15"/>
  <c r="U77" i="15"/>
  <c r="I78" i="15"/>
  <c r="J78" i="15"/>
  <c r="K78" i="15"/>
  <c r="L78" i="15"/>
  <c r="M78" i="15"/>
  <c r="N78" i="15"/>
  <c r="O78" i="15"/>
  <c r="P78" i="15"/>
  <c r="Q78" i="15"/>
  <c r="R78" i="15"/>
  <c r="S78" i="15"/>
  <c r="T78" i="15"/>
  <c r="U78" i="15"/>
  <c r="I79" i="15"/>
  <c r="J79" i="15"/>
  <c r="K79" i="15"/>
  <c r="L79" i="15"/>
  <c r="M79" i="15"/>
  <c r="N79" i="15"/>
  <c r="O79" i="15"/>
  <c r="P79" i="15"/>
  <c r="Q79" i="15"/>
  <c r="R79" i="15"/>
  <c r="S79" i="15"/>
  <c r="T79" i="15"/>
  <c r="U79" i="15"/>
  <c r="I80" i="15"/>
  <c r="J80" i="15"/>
  <c r="K80" i="15"/>
  <c r="L80" i="15"/>
  <c r="M80" i="15"/>
  <c r="N80" i="15"/>
  <c r="O80" i="15"/>
  <c r="P80" i="15"/>
  <c r="Q80" i="15"/>
  <c r="R80" i="15"/>
  <c r="S80" i="15"/>
  <c r="T80" i="15"/>
  <c r="U80" i="15"/>
  <c r="I81" i="15"/>
  <c r="J81" i="15"/>
  <c r="K81" i="15"/>
  <c r="L81" i="15"/>
  <c r="M81" i="15"/>
  <c r="N81" i="15"/>
  <c r="O81" i="15"/>
  <c r="P81" i="15"/>
  <c r="Q81" i="15"/>
  <c r="R81" i="15"/>
  <c r="S81" i="15"/>
  <c r="T81" i="15"/>
  <c r="U81" i="15"/>
  <c r="I82" i="15"/>
  <c r="J82" i="15"/>
  <c r="K82" i="15"/>
  <c r="L82" i="15"/>
  <c r="M82" i="15"/>
  <c r="N82" i="15"/>
  <c r="O82" i="15"/>
  <c r="P82" i="15"/>
  <c r="Q82" i="15"/>
  <c r="R82" i="15"/>
  <c r="S82" i="15"/>
  <c r="T82" i="15"/>
  <c r="U82" i="15"/>
  <c r="I83" i="15"/>
  <c r="J83" i="15"/>
  <c r="K83" i="15"/>
  <c r="L83" i="15"/>
  <c r="M83" i="15"/>
  <c r="N83" i="15"/>
  <c r="O83" i="15"/>
  <c r="P83" i="15"/>
  <c r="Q83" i="15"/>
  <c r="R83" i="15"/>
  <c r="S83" i="15"/>
  <c r="T83" i="15"/>
  <c r="U83" i="15"/>
  <c r="I84" i="15"/>
  <c r="J84" i="15"/>
  <c r="K84" i="15"/>
  <c r="L84" i="15"/>
  <c r="M84" i="15"/>
  <c r="N84" i="15"/>
  <c r="O84" i="15"/>
  <c r="P84" i="15"/>
  <c r="Q84" i="15"/>
  <c r="R84" i="15"/>
  <c r="S84" i="15"/>
  <c r="T84" i="15"/>
  <c r="U84" i="15"/>
  <c r="I85" i="15"/>
  <c r="J85" i="15"/>
  <c r="K85" i="15"/>
  <c r="L85" i="15"/>
  <c r="M85" i="15"/>
  <c r="N85" i="15"/>
  <c r="O85" i="15"/>
  <c r="P85" i="15"/>
  <c r="Q85" i="15"/>
  <c r="R85" i="15"/>
  <c r="S85" i="15"/>
  <c r="T85" i="15"/>
  <c r="U85" i="15"/>
  <c r="I86" i="15"/>
  <c r="J86" i="15"/>
  <c r="K86" i="15"/>
  <c r="L86" i="15"/>
  <c r="M86" i="15"/>
  <c r="N86" i="15"/>
  <c r="O86" i="15"/>
  <c r="P86" i="15"/>
  <c r="Q86" i="15"/>
  <c r="R86" i="15"/>
  <c r="S86" i="15"/>
  <c r="T86" i="15"/>
  <c r="U86" i="15"/>
  <c r="I87" i="15"/>
  <c r="J87" i="15"/>
  <c r="K87" i="15"/>
  <c r="L87" i="15"/>
  <c r="M87" i="15"/>
  <c r="N87" i="15"/>
  <c r="O87" i="15"/>
  <c r="P87" i="15"/>
  <c r="Q87" i="15"/>
  <c r="R87" i="15"/>
  <c r="S87" i="15"/>
  <c r="T87" i="15"/>
  <c r="U87" i="15"/>
  <c r="I88" i="15"/>
  <c r="J88" i="15"/>
  <c r="K88" i="15"/>
  <c r="L88" i="15"/>
  <c r="M88" i="15"/>
  <c r="N88" i="15"/>
  <c r="O88" i="15"/>
  <c r="P88" i="15"/>
  <c r="Q88" i="15"/>
  <c r="R88" i="15"/>
  <c r="S88" i="15"/>
  <c r="T88" i="15"/>
  <c r="U88" i="15"/>
  <c r="I89" i="15"/>
  <c r="J89" i="15"/>
  <c r="K89" i="15"/>
  <c r="L89" i="15"/>
  <c r="M89" i="15"/>
  <c r="N89" i="15"/>
  <c r="O89" i="15"/>
  <c r="P89" i="15"/>
  <c r="Q89" i="15"/>
  <c r="R89" i="15"/>
  <c r="S89" i="15"/>
  <c r="T89" i="15"/>
  <c r="U89" i="15"/>
  <c r="I90" i="15"/>
  <c r="J90" i="15"/>
  <c r="K90" i="15"/>
  <c r="L90" i="15"/>
  <c r="M90" i="15"/>
  <c r="N90" i="15"/>
  <c r="O90" i="15"/>
  <c r="P90" i="15"/>
  <c r="Q90" i="15"/>
  <c r="R90" i="15"/>
  <c r="S90" i="15"/>
  <c r="T90" i="15"/>
  <c r="U90" i="15"/>
  <c r="I91" i="15"/>
  <c r="J91" i="15"/>
  <c r="K91" i="15"/>
  <c r="L91" i="15"/>
  <c r="M91" i="15"/>
  <c r="N91" i="15"/>
  <c r="O91" i="15"/>
  <c r="P91" i="15"/>
  <c r="Q91" i="15"/>
  <c r="R91" i="15"/>
  <c r="S91" i="15"/>
  <c r="T91" i="15"/>
  <c r="U91" i="15"/>
  <c r="I92" i="15"/>
  <c r="J92" i="15"/>
  <c r="K92" i="15"/>
  <c r="L92" i="15"/>
  <c r="M92" i="15"/>
  <c r="N92" i="15"/>
  <c r="O92" i="15"/>
  <c r="P92" i="15"/>
  <c r="Q92" i="15"/>
  <c r="R92" i="15"/>
  <c r="S92" i="15"/>
  <c r="T92" i="15"/>
  <c r="U92" i="15"/>
  <c r="I93" i="15"/>
  <c r="J93" i="15"/>
  <c r="K93" i="15"/>
  <c r="L93" i="15"/>
  <c r="M93" i="15"/>
  <c r="N93" i="15"/>
  <c r="O93" i="15"/>
  <c r="P93" i="15"/>
  <c r="Q93" i="15"/>
  <c r="R93" i="15"/>
  <c r="S93" i="15"/>
  <c r="T93" i="15"/>
  <c r="U93" i="15"/>
  <c r="I94" i="15"/>
  <c r="J94" i="15"/>
  <c r="K94" i="15"/>
  <c r="L94" i="15"/>
  <c r="M94" i="15"/>
  <c r="N94" i="15"/>
  <c r="O94" i="15"/>
  <c r="P94" i="15"/>
  <c r="Q94" i="15"/>
  <c r="R94" i="15"/>
  <c r="S94" i="15"/>
  <c r="T94" i="15"/>
  <c r="U94" i="15"/>
  <c r="I95" i="15"/>
  <c r="J95" i="15"/>
  <c r="K95" i="15"/>
  <c r="L95" i="15"/>
  <c r="M95" i="15"/>
  <c r="N95" i="15"/>
  <c r="O95" i="15"/>
  <c r="P95" i="15"/>
  <c r="Q95" i="15"/>
  <c r="R95" i="15"/>
  <c r="S95" i="15"/>
  <c r="T95" i="15"/>
  <c r="U95" i="15"/>
  <c r="I96" i="15"/>
  <c r="J96" i="15"/>
  <c r="K96" i="15"/>
  <c r="L96" i="15"/>
  <c r="M96" i="15"/>
  <c r="N96" i="15"/>
  <c r="O96" i="15"/>
  <c r="P96" i="15"/>
  <c r="Q96" i="15"/>
  <c r="R96" i="15"/>
  <c r="S96" i="15"/>
  <c r="T96" i="15"/>
  <c r="U96" i="15"/>
  <c r="I97" i="15"/>
  <c r="J97" i="15"/>
  <c r="K97" i="15"/>
  <c r="L97" i="15"/>
  <c r="M97" i="15"/>
  <c r="N97" i="15"/>
  <c r="O97" i="15"/>
  <c r="P97" i="15"/>
  <c r="Q97" i="15"/>
  <c r="R97" i="15"/>
  <c r="S97" i="15"/>
  <c r="T97" i="15"/>
  <c r="U97" i="15"/>
  <c r="I98" i="15"/>
  <c r="J98" i="15"/>
  <c r="K98" i="15"/>
  <c r="L98" i="15"/>
  <c r="M98" i="15"/>
  <c r="N98" i="15"/>
  <c r="O98" i="15"/>
  <c r="P98" i="15"/>
  <c r="Q98" i="15"/>
  <c r="R98" i="15"/>
  <c r="S98" i="15"/>
  <c r="T98" i="15"/>
  <c r="U98" i="15"/>
  <c r="I99" i="15"/>
  <c r="J99" i="15"/>
  <c r="K99" i="15"/>
  <c r="L99" i="15"/>
  <c r="M99" i="15"/>
  <c r="N99" i="15"/>
  <c r="O99" i="15"/>
  <c r="P99" i="15"/>
  <c r="Q99" i="15"/>
  <c r="R99" i="15"/>
  <c r="S99" i="15"/>
  <c r="T99" i="15"/>
  <c r="U99" i="15"/>
  <c r="I100" i="15"/>
  <c r="J100" i="15"/>
  <c r="K100" i="15"/>
  <c r="L100" i="15"/>
  <c r="M100" i="15"/>
  <c r="N100" i="15"/>
  <c r="O100" i="15"/>
  <c r="P100" i="15"/>
  <c r="Q100" i="15"/>
  <c r="R100" i="15"/>
  <c r="S100" i="15"/>
  <c r="T100" i="15"/>
  <c r="U100" i="15"/>
  <c r="I4" i="14"/>
  <c r="J4" i="14"/>
  <c r="K4" i="14"/>
  <c r="L4" i="14"/>
  <c r="M4" i="14"/>
  <c r="N4" i="14"/>
  <c r="O4" i="14"/>
  <c r="P4" i="14"/>
  <c r="Q4" i="14"/>
  <c r="R4" i="14"/>
  <c r="S4" i="14"/>
  <c r="T4" i="14"/>
  <c r="U4" i="14"/>
  <c r="I5" i="14"/>
  <c r="J5" i="14"/>
  <c r="K5" i="14"/>
  <c r="L5" i="14"/>
  <c r="M5" i="14"/>
  <c r="N5" i="14"/>
  <c r="O5" i="14"/>
  <c r="P5" i="14"/>
  <c r="Q5" i="14"/>
  <c r="R5" i="14"/>
  <c r="S5" i="14"/>
  <c r="T5" i="14"/>
  <c r="U5" i="14"/>
  <c r="I6" i="14"/>
  <c r="J6" i="14"/>
  <c r="K6" i="14"/>
  <c r="L6" i="14"/>
  <c r="M6" i="14"/>
  <c r="N6" i="14"/>
  <c r="O6" i="14"/>
  <c r="P6" i="14"/>
  <c r="Q6" i="14"/>
  <c r="R6" i="14"/>
  <c r="S6" i="14"/>
  <c r="T6" i="14"/>
  <c r="U6" i="14"/>
  <c r="I7" i="14"/>
  <c r="J7" i="14"/>
  <c r="K7" i="14"/>
  <c r="L7" i="14"/>
  <c r="M7" i="14"/>
  <c r="N7" i="14"/>
  <c r="O7" i="14"/>
  <c r="P7" i="14"/>
  <c r="Q7" i="14"/>
  <c r="R7" i="14"/>
  <c r="S7" i="14"/>
  <c r="T7" i="14"/>
  <c r="U7" i="14"/>
  <c r="I8" i="14"/>
  <c r="J8" i="14"/>
  <c r="K8" i="14"/>
  <c r="L8" i="14"/>
  <c r="M8" i="14"/>
  <c r="N8" i="14"/>
  <c r="O8" i="14"/>
  <c r="P8" i="14"/>
  <c r="Q8" i="14"/>
  <c r="R8" i="14"/>
  <c r="S8" i="14"/>
  <c r="T8" i="14"/>
  <c r="U8" i="14"/>
  <c r="I9" i="14"/>
  <c r="J9" i="14"/>
  <c r="K9" i="14"/>
  <c r="L9" i="14"/>
  <c r="M9" i="14"/>
  <c r="N9" i="14"/>
  <c r="O9" i="14"/>
  <c r="P9" i="14"/>
  <c r="Q9" i="14"/>
  <c r="R9" i="14"/>
  <c r="S9" i="14"/>
  <c r="T9" i="14"/>
  <c r="U9" i="14"/>
  <c r="I10" i="14"/>
  <c r="J10" i="14"/>
  <c r="K10" i="14"/>
  <c r="L10" i="14"/>
  <c r="M10" i="14"/>
  <c r="N10" i="14"/>
  <c r="O10" i="14"/>
  <c r="P10" i="14"/>
  <c r="Q10" i="14"/>
  <c r="R10" i="14"/>
  <c r="S10" i="14"/>
  <c r="T10" i="14"/>
  <c r="U10" i="14"/>
  <c r="I11" i="14"/>
  <c r="J11" i="14"/>
  <c r="K11" i="14"/>
  <c r="L11" i="14"/>
  <c r="M11" i="14"/>
  <c r="N11" i="14"/>
  <c r="O11" i="14"/>
  <c r="P11" i="14"/>
  <c r="Q11" i="14"/>
  <c r="R11" i="14"/>
  <c r="S11" i="14"/>
  <c r="T11" i="14"/>
  <c r="U11" i="14"/>
  <c r="I12" i="14"/>
  <c r="J12" i="14"/>
  <c r="K12" i="14"/>
  <c r="L12" i="14"/>
  <c r="M12" i="14"/>
  <c r="N12" i="14"/>
  <c r="O12" i="14"/>
  <c r="P12" i="14"/>
  <c r="Q12" i="14"/>
  <c r="R12" i="14"/>
  <c r="S12" i="14"/>
  <c r="T12" i="14"/>
  <c r="U12" i="14"/>
  <c r="I13" i="14"/>
  <c r="J13" i="14"/>
  <c r="K13" i="14"/>
  <c r="L13" i="14"/>
  <c r="M13" i="14"/>
  <c r="N13" i="14"/>
  <c r="O13" i="14"/>
  <c r="P13" i="14"/>
  <c r="Q13" i="14"/>
  <c r="R13" i="14"/>
  <c r="S13" i="14"/>
  <c r="T13" i="14"/>
  <c r="U13" i="14"/>
  <c r="I14" i="14"/>
  <c r="J14" i="14"/>
  <c r="K14" i="14"/>
  <c r="L14" i="14"/>
  <c r="M14" i="14"/>
  <c r="N14" i="14"/>
  <c r="O14" i="14"/>
  <c r="P14" i="14"/>
  <c r="Q14" i="14"/>
  <c r="R14" i="14"/>
  <c r="S14" i="14"/>
  <c r="T14" i="14"/>
  <c r="U14" i="14"/>
  <c r="I15" i="14"/>
  <c r="J15" i="14"/>
  <c r="K15" i="14"/>
  <c r="L15" i="14"/>
  <c r="M15" i="14"/>
  <c r="N15" i="14"/>
  <c r="O15" i="14"/>
  <c r="P15" i="14"/>
  <c r="Q15" i="14"/>
  <c r="R15" i="14"/>
  <c r="S15" i="14"/>
  <c r="T15" i="14"/>
  <c r="U15" i="14"/>
  <c r="I16" i="14"/>
  <c r="J16" i="14"/>
  <c r="K16" i="14"/>
  <c r="L16" i="14"/>
  <c r="M16" i="14"/>
  <c r="N16" i="14"/>
  <c r="O16" i="14"/>
  <c r="P16" i="14"/>
  <c r="Q16" i="14"/>
  <c r="R16" i="14"/>
  <c r="S16" i="14"/>
  <c r="T16" i="14"/>
  <c r="U16" i="14"/>
  <c r="I17" i="14"/>
  <c r="J17" i="14"/>
  <c r="K17" i="14"/>
  <c r="L17" i="14"/>
  <c r="M17" i="14"/>
  <c r="N17" i="14"/>
  <c r="O17" i="14"/>
  <c r="P17" i="14"/>
  <c r="Q17" i="14"/>
  <c r="R17" i="14"/>
  <c r="S17" i="14"/>
  <c r="T17" i="14"/>
  <c r="U17" i="14"/>
  <c r="I18" i="14"/>
  <c r="J18" i="14"/>
  <c r="K18" i="14"/>
  <c r="L18" i="14"/>
  <c r="M18" i="14"/>
  <c r="N18" i="14"/>
  <c r="O18" i="14"/>
  <c r="P18" i="14"/>
  <c r="Q18" i="14"/>
  <c r="R18" i="14"/>
  <c r="S18" i="14"/>
  <c r="T18" i="14"/>
  <c r="U18" i="14"/>
  <c r="I19" i="14"/>
  <c r="J19" i="14"/>
  <c r="K19" i="14"/>
  <c r="L19" i="14"/>
  <c r="M19" i="14"/>
  <c r="N19" i="14"/>
  <c r="O19" i="14"/>
  <c r="P19" i="14"/>
  <c r="Q19" i="14"/>
  <c r="R19" i="14"/>
  <c r="S19" i="14"/>
  <c r="T19" i="14"/>
  <c r="U19" i="14"/>
  <c r="I20" i="14"/>
  <c r="J20" i="14"/>
  <c r="K20" i="14"/>
  <c r="L20" i="14"/>
  <c r="M20" i="14"/>
  <c r="N20" i="14"/>
  <c r="O20" i="14"/>
  <c r="P20" i="14"/>
  <c r="Q20" i="14"/>
  <c r="R20" i="14"/>
  <c r="S20" i="14"/>
  <c r="T20" i="14"/>
  <c r="U20" i="14"/>
  <c r="I21" i="14"/>
  <c r="J21" i="14"/>
  <c r="K21" i="14"/>
  <c r="L21" i="14"/>
  <c r="M21" i="14"/>
  <c r="N21" i="14"/>
  <c r="O21" i="14"/>
  <c r="P21" i="14"/>
  <c r="Q21" i="14"/>
  <c r="R21" i="14"/>
  <c r="S21" i="14"/>
  <c r="T21" i="14"/>
  <c r="U21" i="14"/>
  <c r="I22" i="14"/>
  <c r="J22" i="14"/>
  <c r="K22" i="14"/>
  <c r="L22" i="14"/>
  <c r="M22" i="14"/>
  <c r="N22" i="14"/>
  <c r="O22" i="14"/>
  <c r="P22" i="14"/>
  <c r="Q22" i="14"/>
  <c r="R22" i="14"/>
  <c r="S22" i="14"/>
  <c r="T22" i="14"/>
  <c r="U22" i="14"/>
  <c r="I23" i="14"/>
  <c r="J23" i="14"/>
  <c r="K23" i="14"/>
  <c r="L23" i="14"/>
  <c r="M23" i="14"/>
  <c r="N23" i="14"/>
  <c r="O23" i="14"/>
  <c r="P23" i="14"/>
  <c r="Q23" i="14"/>
  <c r="R23" i="14"/>
  <c r="S23" i="14"/>
  <c r="T23" i="14"/>
  <c r="U23" i="14"/>
  <c r="I24" i="14"/>
  <c r="J24" i="14"/>
  <c r="K24" i="14"/>
  <c r="L24" i="14"/>
  <c r="M24" i="14"/>
  <c r="N24" i="14"/>
  <c r="O24" i="14"/>
  <c r="P24" i="14"/>
  <c r="Q24" i="14"/>
  <c r="R24" i="14"/>
  <c r="S24" i="14"/>
  <c r="T24" i="14"/>
  <c r="U24" i="14"/>
  <c r="I25" i="14"/>
  <c r="J25" i="14"/>
  <c r="K25" i="14"/>
  <c r="L25" i="14"/>
  <c r="M25" i="14"/>
  <c r="N25" i="14"/>
  <c r="O25" i="14"/>
  <c r="P25" i="14"/>
  <c r="Q25" i="14"/>
  <c r="R25" i="14"/>
  <c r="S25" i="14"/>
  <c r="T25" i="14"/>
  <c r="U25" i="14"/>
  <c r="I26" i="14"/>
  <c r="J26" i="14"/>
  <c r="K26" i="14"/>
  <c r="L26" i="14"/>
  <c r="M26" i="14"/>
  <c r="N26" i="14"/>
  <c r="O26" i="14"/>
  <c r="P26" i="14"/>
  <c r="Q26" i="14"/>
  <c r="R26" i="14"/>
  <c r="S26" i="14"/>
  <c r="T26" i="14"/>
  <c r="U26" i="14"/>
  <c r="I27" i="14"/>
  <c r="J27" i="14"/>
  <c r="K27" i="14"/>
  <c r="L27" i="14"/>
  <c r="M27" i="14"/>
  <c r="N27" i="14"/>
  <c r="O27" i="14"/>
  <c r="P27" i="14"/>
  <c r="Q27" i="14"/>
  <c r="R27" i="14"/>
  <c r="S27" i="14"/>
  <c r="T27" i="14"/>
  <c r="U27" i="14"/>
  <c r="I28" i="14"/>
  <c r="J28" i="14"/>
  <c r="K28" i="14"/>
  <c r="L28" i="14"/>
  <c r="M28" i="14"/>
  <c r="N28" i="14"/>
  <c r="O28" i="14"/>
  <c r="P28" i="14"/>
  <c r="Q28" i="14"/>
  <c r="R28" i="14"/>
  <c r="S28" i="14"/>
  <c r="T28" i="14"/>
  <c r="U28" i="14"/>
  <c r="I29" i="14"/>
  <c r="J29" i="14"/>
  <c r="K29" i="14"/>
  <c r="L29" i="14"/>
  <c r="M29" i="14"/>
  <c r="N29" i="14"/>
  <c r="O29" i="14"/>
  <c r="P29" i="14"/>
  <c r="Q29" i="14"/>
  <c r="R29" i="14"/>
  <c r="S29" i="14"/>
  <c r="T29" i="14"/>
  <c r="U29" i="14"/>
  <c r="I30" i="14"/>
  <c r="J30" i="14"/>
  <c r="K30" i="14"/>
  <c r="L30" i="14"/>
  <c r="M30" i="14"/>
  <c r="N30" i="14"/>
  <c r="O30" i="14"/>
  <c r="P30" i="14"/>
  <c r="Q30" i="14"/>
  <c r="R30" i="14"/>
  <c r="S30" i="14"/>
  <c r="T30" i="14"/>
  <c r="U30" i="14"/>
  <c r="I31" i="14"/>
  <c r="J31" i="14"/>
  <c r="K31" i="14"/>
  <c r="L31" i="14"/>
  <c r="M31" i="14"/>
  <c r="N31" i="14"/>
  <c r="O31" i="14"/>
  <c r="P31" i="14"/>
  <c r="Q31" i="14"/>
  <c r="R31" i="14"/>
  <c r="S31" i="14"/>
  <c r="T31" i="14"/>
  <c r="U31" i="14"/>
  <c r="I32" i="14"/>
  <c r="J32" i="14"/>
  <c r="K32" i="14"/>
  <c r="L32" i="14"/>
  <c r="M32" i="14"/>
  <c r="N32" i="14"/>
  <c r="O32" i="14"/>
  <c r="P32" i="14"/>
  <c r="Q32" i="14"/>
  <c r="R32" i="14"/>
  <c r="S32" i="14"/>
  <c r="T32" i="14"/>
  <c r="U32" i="14"/>
  <c r="I33" i="14"/>
  <c r="J33" i="14"/>
  <c r="K33" i="14"/>
  <c r="L33" i="14"/>
  <c r="M33" i="14"/>
  <c r="N33" i="14"/>
  <c r="O33" i="14"/>
  <c r="P33" i="14"/>
  <c r="Q33" i="14"/>
  <c r="R33" i="14"/>
  <c r="S33" i="14"/>
  <c r="T33" i="14"/>
  <c r="U33" i="14"/>
  <c r="I34" i="14"/>
  <c r="J34" i="14"/>
  <c r="K34" i="14"/>
  <c r="L34" i="14"/>
  <c r="M34" i="14"/>
  <c r="N34" i="14"/>
  <c r="O34" i="14"/>
  <c r="P34" i="14"/>
  <c r="Q34" i="14"/>
  <c r="R34" i="14"/>
  <c r="S34" i="14"/>
  <c r="T34" i="14"/>
  <c r="U34" i="14"/>
  <c r="I35" i="14"/>
  <c r="J35" i="14"/>
  <c r="K35" i="14"/>
  <c r="L35" i="14"/>
  <c r="M35" i="14"/>
  <c r="N35" i="14"/>
  <c r="O35" i="14"/>
  <c r="P35" i="14"/>
  <c r="Q35" i="14"/>
  <c r="R35" i="14"/>
  <c r="S35" i="14"/>
  <c r="T35" i="14"/>
  <c r="U35" i="14"/>
  <c r="I36" i="14"/>
  <c r="J36" i="14"/>
  <c r="K36" i="14"/>
  <c r="L36" i="14"/>
  <c r="M36" i="14"/>
  <c r="N36" i="14"/>
  <c r="O36" i="14"/>
  <c r="P36" i="14"/>
  <c r="Q36" i="14"/>
  <c r="R36" i="14"/>
  <c r="S36" i="14"/>
  <c r="T36" i="14"/>
  <c r="U36" i="14"/>
  <c r="I37" i="14"/>
  <c r="J37" i="14"/>
  <c r="K37" i="14"/>
  <c r="L37" i="14"/>
  <c r="M37" i="14"/>
  <c r="N37" i="14"/>
  <c r="O37" i="14"/>
  <c r="P37" i="14"/>
  <c r="Q37" i="14"/>
  <c r="R37" i="14"/>
  <c r="S37" i="14"/>
  <c r="T37" i="14"/>
  <c r="U37" i="14"/>
  <c r="I38" i="14"/>
  <c r="J38" i="14"/>
  <c r="K38" i="14"/>
  <c r="L38" i="14"/>
  <c r="M38" i="14"/>
  <c r="N38" i="14"/>
  <c r="O38" i="14"/>
  <c r="P38" i="14"/>
  <c r="Q38" i="14"/>
  <c r="R38" i="14"/>
  <c r="S38" i="14"/>
  <c r="T38" i="14"/>
  <c r="U38" i="14"/>
  <c r="I39" i="14"/>
  <c r="J39" i="14"/>
  <c r="K39" i="14"/>
  <c r="L39" i="14"/>
  <c r="M39" i="14"/>
  <c r="N39" i="14"/>
  <c r="O39" i="14"/>
  <c r="P39" i="14"/>
  <c r="Q39" i="14"/>
  <c r="R39" i="14"/>
  <c r="S39" i="14"/>
  <c r="T39" i="14"/>
  <c r="U39" i="14"/>
  <c r="I40" i="14"/>
  <c r="J40" i="14"/>
  <c r="K40" i="14"/>
  <c r="L40" i="14"/>
  <c r="M40" i="14"/>
  <c r="N40" i="14"/>
  <c r="O40" i="14"/>
  <c r="P40" i="14"/>
  <c r="Q40" i="14"/>
  <c r="R40" i="14"/>
  <c r="S40" i="14"/>
  <c r="T40" i="14"/>
  <c r="U40" i="14"/>
  <c r="I41" i="14"/>
  <c r="J41" i="14"/>
  <c r="K41" i="14"/>
  <c r="L41" i="14"/>
  <c r="M41" i="14"/>
  <c r="N41" i="14"/>
  <c r="O41" i="14"/>
  <c r="P41" i="14"/>
  <c r="Q41" i="14"/>
  <c r="R41" i="14"/>
  <c r="S41" i="14"/>
  <c r="T41" i="14"/>
  <c r="U41" i="14"/>
  <c r="I42" i="14"/>
  <c r="J42" i="14"/>
  <c r="K42" i="14"/>
  <c r="L42" i="14"/>
  <c r="M42" i="14"/>
  <c r="N42" i="14"/>
  <c r="O42" i="14"/>
  <c r="P42" i="14"/>
  <c r="Q42" i="14"/>
  <c r="R42" i="14"/>
  <c r="S42" i="14"/>
  <c r="T42" i="14"/>
  <c r="U42" i="14"/>
  <c r="I43" i="14"/>
  <c r="J43" i="14"/>
  <c r="K43" i="14"/>
  <c r="L43" i="14"/>
  <c r="M43" i="14"/>
  <c r="N43" i="14"/>
  <c r="O43" i="14"/>
  <c r="P43" i="14"/>
  <c r="Q43" i="14"/>
  <c r="R43" i="14"/>
  <c r="S43" i="14"/>
  <c r="T43" i="14"/>
  <c r="U43" i="14"/>
  <c r="I44" i="14"/>
  <c r="J44" i="14"/>
  <c r="K44" i="14"/>
  <c r="L44" i="14"/>
  <c r="M44" i="14"/>
  <c r="N44" i="14"/>
  <c r="O44" i="14"/>
  <c r="P44" i="14"/>
  <c r="Q44" i="14"/>
  <c r="R44" i="14"/>
  <c r="S44" i="14"/>
  <c r="T44" i="14"/>
  <c r="U44" i="14"/>
  <c r="I45" i="14"/>
  <c r="J45" i="14"/>
  <c r="K45" i="14"/>
  <c r="L45" i="14"/>
  <c r="M45" i="14"/>
  <c r="N45" i="14"/>
  <c r="O45" i="14"/>
  <c r="P45" i="14"/>
  <c r="Q45" i="14"/>
  <c r="R45" i="14"/>
  <c r="S45" i="14"/>
  <c r="T45" i="14"/>
  <c r="U45" i="14"/>
  <c r="I46" i="14"/>
  <c r="J46" i="14"/>
  <c r="K46" i="14"/>
  <c r="L46" i="14"/>
  <c r="M46" i="14"/>
  <c r="N46" i="14"/>
  <c r="O46" i="14"/>
  <c r="P46" i="14"/>
  <c r="Q46" i="14"/>
  <c r="R46" i="14"/>
  <c r="S46" i="14"/>
  <c r="T46" i="14"/>
  <c r="U46" i="14"/>
  <c r="I47" i="14"/>
  <c r="J47" i="14"/>
  <c r="K47" i="14"/>
  <c r="L47" i="14"/>
  <c r="M47" i="14"/>
  <c r="N47" i="14"/>
  <c r="O47" i="14"/>
  <c r="P47" i="14"/>
  <c r="Q47" i="14"/>
  <c r="R47" i="14"/>
  <c r="S47" i="14"/>
  <c r="T47" i="14"/>
  <c r="U47" i="14"/>
  <c r="I48" i="14"/>
  <c r="J48" i="14"/>
  <c r="K48" i="14"/>
  <c r="L48" i="14"/>
  <c r="M48" i="14"/>
  <c r="N48" i="14"/>
  <c r="O48" i="14"/>
  <c r="P48" i="14"/>
  <c r="Q48" i="14"/>
  <c r="R48" i="14"/>
  <c r="S48" i="14"/>
  <c r="T48" i="14"/>
  <c r="U48" i="14"/>
  <c r="I49" i="14"/>
  <c r="J49" i="14"/>
  <c r="K49" i="14"/>
  <c r="L49" i="14"/>
  <c r="M49" i="14"/>
  <c r="N49" i="14"/>
  <c r="O49" i="14"/>
  <c r="P49" i="14"/>
  <c r="Q49" i="14"/>
  <c r="R49" i="14"/>
  <c r="S49" i="14"/>
  <c r="T49" i="14"/>
  <c r="U49" i="14"/>
  <c r="I50" i="14"/>
  <c r="J50" i="14"/>
  <c r="K50" i="14"/>
  <c r="L50" i="14"/>
  <c r="M50" i="14"/>
  <c r="N50" i="14"/>
  <c r="O50" i="14"/>
  <c r="P50" i="14"/>
  <c r="Q50" i="14"/>
  <c r="R50" i="14"/>
  <c r="S50" i="14"/>
  <c r="T50" i="14"/>
  <c r="U50" i="14"/>
  <c r="I51" i="14"/>
  <c r="J51" i="14"/>
  <c r="K51" i="14"/>
  <c r="L51" i="14"/>
  <c r="M51" i="14"/>
  <c r="N51" i="14"/>
  <c r="O51" i="14"/>
  <c r="P51" i="14"/>
  <c r="Q51" i="14"/>
  <c r="R51" i="14"/>
  <c r="S51" i="14"/>
  <c r="T51" i="14"/>
  <c r="U51" i="14"/>
  <c r="I52" i="14"/>
  <c r="J52" i="14"/>
  <c r="K52" i="14"/>
  <c r="L52" i="14"/>
  <c r="M52" i="14"/>
  <c r="N52" i="14"/>
  <c r="O52" i="14"/>
  <c r="P52" i="14"/>
  <c r="Q52" i="14"/>
  <c r="R52" i="14"/>
  <c r="S52" i="14"/>
  <c r="T52" i="14"/>
  <c r="U52" i="14"/>
  <c r="I53" i="14"/>
  <c r="J53" i="14"/>
  <c r="K53" i="14"/>
  <c r="L53" i="14"/>
  <c r="M53" i="14"/>
  <c r="N53" i="14"/>
  <c r="O53" i="14"/>
  <c r="P53" i="14"/>
  <c r="Q53" i="14"/>
  <c r="R53" i="14"/>
  <c r="S53" i="14"/>
  <c r="T53" i="14"/>
  <c r="U53" i="14"/>
  <c r="I54" i="14"/>
  <c r="J54" i="14"/>
  <c r="K54" i="14"/>
  <c r="L54" i="14"/>
  <c r="M54" i="14"/>
  <c r="N54" i="14"/>
  <c r="O54" i="14"/>
  <c r="P54" i="14"/>
  <c r="Q54" i="14"/>
  <c r="R54" i="14"/>
  <c r="S54" i="14"/>
  <c r="T54" i="14"/>
  <c r="U54" i="14"/>
  <c r="I55" i="14"/>
  <c r="J55" i="14"/>
  <c r="K55" i="14"/>
  <c r="L55" i="14"/>
  <c r="M55" i="14"/>
  <c r="N55" i="14"/>
  <c r="O55" i="14"/>
  <c r="P55" i="14"/>
  <c r="Q55" i="14"/>
  <c r="R55" i="14"/>
  <c r="S55" i="14"/>
  <c r="T55" i="14"/>
  <c r="U55" i="14"/>
  <c r="I56" i="14"/>
  <c r="J56" i="14"/>
  <c r="K56" i="14"/>
  <c r="L56" i="14"/>
  <c r="M56" i="14"/>
  <c r="N56" i="14"/>
  <c r="O56" i="14"/>
  <c r="P56" i="14"/>
  <c r="Q56" i="14"/>
  <c r="R56" i="14"/>
  <c r="S56" i="14"/>
  <c r="T56" i="14"/>
  <c r="U56" i="14"/>
  <c r="I57" i="14"/>
  <c r="J57" i="14"/>
  <c r="K57" i="14"/>
  <c r="L57" i="14"/>
  <c r="M57" i="14"/>
  <c r="N57" i="14"/>
  <c r="O57" i="14"/>
  <c r="P57" i="14"/>
  <c r="Q57" i="14"/>
  <c r="R57" i="14"/>
  <c r="S57" i="14"/>
  <c r="T57" i="14"/>
  <c r="U57" i="14"/>
  <c r="I58" i="14"/>
  <c r="J58" i="14"/>
  <c r="K58" i="14"/>
  <c r="L58" i="14"/>
  <c r="M58" i="14"/>
  <c r="N58" i="14"/>
  <c r="O58" i="14"/>
  <c r="P58" i="14"/>
  <c r="Q58" i="14"/>
  <c r="R58" i="14"/>
  <c r="S58" i="14"/>
  <c r="T58" i="14"/>
  <c r="U58" i="14"/>
  <c r="I59" i="14"/>
  <c r="J59" i="14"/>
  <c r="K59" i="14"/>
  <c r="L59" i="14"/>
  <c r="M59" i="14"/>
  <c r="N59" i="14"/>
  <c r="O59" i="14"/>
  <c r="P59" i="14"/>
  <c r="Q59" i="14"/>
  <c r="R59" i="14"/>
  <c r="S59" i="14"/>
  <c r="T59" i="14"/>
  <c r="U59" i="14"/>
  <c r="I60" i="14"/>
  <c r="J60" i="14"/>
  <c r="K60" i="14"/>
  <c r="L60" i="14"/>
  <c r="M60" i="14"/>
  <c r="N60" i="14"/>
  <c r="O60" i="14"/>
  <c r="P60" i="14"/>
  <c r="Q60" i="14"/>
  <c r="R60" i="14"/>
  <c r="S60" i="14"/>
  <c r="T60" i="14"/>
  <c r="U60" i="14"/>
  <c r="I61" i="14"/>
  <c r="J61" i="14"/>
  <c r="K61" i="14"/>
  <c r="L61" i="14"/>
  <c r="M61" i="14"/>
  <c r="N61" i="14"/>
  <c r="O61" i="14"/>
  <c r="P61" i="14"/>
  <c r="Q61" i="14"/>
  <c r="R61" i="14"/>
  <c r="S61" i="14"/>
  <c r="T61" i="14"/>
  <c r="U61" i="14"/>
  <c r="I62" i="14"/>
  <c r="J62" i="14"/>
  <c r="K62" i="14"/>
  <c r="L62" i="14"/>
  <c r="M62" i="14"/>
  <c r="N62" i="14"/>
  <c r="O62" i="14"/>
  <c r="P62" i="14"/>
  <c r="Q62" i="14"/>
  <c r="R62" i="14"/>
  <c r="S62" i="14"/>
  <c r="T62" i="14"/>
  <c r="U62" i="14"/>
  <c r="I63" i="14"/>
  <c r="J63" i="14"/>
  <c r="K63" i="14"/>
  <c r="L63" i="14"/>
  <c r="M63" i="14"/>
  <c r="N63" i="14"/>
  <c r="O63" i="14"/>
  <c r="P63" i="14"/>
  <c r="Q63" i="14"/>
  <c r="R63" i="14"/>
  <c r="S63" i="14"/>
  <c r="T63" i="14"/>
  <c r="U63" i="14"/>
  <c r="I64" i="14"/>
  <c r="J64" i="14"/>
  <c r="K64" i="14"/>
  <c r="L64" i="14"/>
  <c r="M64" i="14"/>
  <c r="N64" i="14"/>
  <c r="O64" i="14"/>
  <c r="P64" i="14"/>
  <c r="Q64" i="14"/>
  <c r="R64" i="14"/>
  <c r="S64" i="14"/>
  <c r="T64" i="14"/>
  <c r="U64" i="14"/>
  <c r="I65" i="14"/>
  <c r="J65" i="14"/>
  <c r="K65" i="14"/>
  <c r="L65" i="14"/>
  <c r="M65" i="14"/>
  <c r="N65" i="14"/>
  <c r="O65" i="14"/>
  <c r="P65" i="14"/>
  <c r="Q65" i="14"/>
  <c r="R65" i="14"/>
  <c r="S65" i="14"/>
  <c r="T65" i="14"/>
  <c r="U65" i="14"/>
  <c r="I66" i="14"/>
  <c r="J66" i="14"/>
  <c r="K66" i="14"/>
  <c r="L66" i="14"/>
  <c r="M66" i="14"/>
  <c r="N66" i="14"/>
  <c r="O66" i="14"/>
  <c r="P66" i="14"/>
  <c r="Q66" i="14"/>
  <c r="R66" i="14"/>
  <c r="S66" i="14"/>
  <c r="T66" i="14"/>
  <c r="U66" i="14"/>
  <c r="I67" i="14"/>
  <c r="J67" i="14"/>
  <c r="K67" i="14"/>
  <c r="L67" i="14"/>
  <c r="M67" i="14"/>
  <c r="N67" i="14"/>
  <c r="O67" i="14"/>
  <c r="P67" i="14"/>
  <c r="Q67" i="14"/>
  <c r="R67" i="14"/>
  <c r="S67" i="14"/>
  <c r="T67" i="14"/>
  <c r="U67" i="14"/>
  <c r="I68" i="14"/>
  <c r="J68" i="14"/>
  <c r="K68" i="14"/>
  <c r="L68" i="14"/>
  <c r="M68" i="14"/>
  <c r="N68" i="14"/>
  <c r="O68" i="14"/>
  <c r="P68" i="14"/>
  <c r="Q68" i="14"/>
  <c r="R68" i="14"/>
  <c r="S68" i="14"/>
  <c r="T68" i="14"/>
  <c r="U68" i="14"/>
  <c r="I69" i="14"/>
  <c r="J69" i="14"/>
  <c r="K69" i="14"/>
  <c r="L69" i="14"/>
  <c r="M69" i="14"/>
  <c r="N69" i="14"/>
  <c r="O69" i="14"/>
  <c r="P69" i="14"/>
  <c r="Q69" i="14"/>
  <c r="R69" i="14"/>
  <c r="S69" i="14"/>
  <c r="T69" i="14"/>
  <c r="U69" i="14"/>
  <c r="I70" i="14"/>
  <c r="J70" i="14"/>
  <c r="K70" i="14"/>
  <c r="L70" i="14"/>
  <c r="M70" i="14"/>
  <c r="N70" i="14"/>
  <c r="O70" i="14"/>
  <c r="P70" i="14"/>
  <c r="Q70" i="14"/>
  <c r="R70" i="14"/>
  <c r="S70" i="14"/>
  <c r="T70" i="14"/>
  <c r="U70" i="14"/>
  <c r="I71" i="14"/>
  <c r="J71" i="14"/>
  <c r="K71" i="14"/>
  <c r="L71" i="14"/>
  <c r="M71" i="14"/>
  <c r="N71" i="14"/>
  <c r="O71" i="14"/>
  <c r="P71" i="14"/>
  <c r="Q71" i="14"/>
  <c r="R71" i="14"/>
  <c r="S71" i="14"/>
  <c r="T71" i="14"/>
  <c r="U71" i="14"/>
  <c r="I72" i="14"/>
  <c r="J72" i="14"/>
  <c r="K72" i="14"/>
  <c r="L72" i="14"/>
  <c r="M72" i="14"/>
  <c r="N72" i="14"/>
  <c r="O72" i="14"/>
  <c r="P72" i="14"/>
  <c r="Q72" i="14"/>
  <c r="R72" i="14"/>
  <c r="S72" i="14"/>
  <c r="T72" i="14"/>
  <c r="U72" i="14"/>
  <c r="I73" i="14"/>
  <c r="J73" i="14"/>
  <c r="K73" i="14"/>
  <c r="L73" i="14"/>
  <c r="M73" i="14"/>
  <c r="N73" i="14"/>
  <c r="O73" i="14"/>
  <c r="P73" i="14"/>
  <c r="Q73" i="14"/>
  <c r="R73" i="14"/>
  <c r="S73" i="14"/>
  <c r="T73" i="14"/>
  <c r="U73" i="14"/>
  <c r="I74" i="14"/>
  <c r="J74" i="14"/>
  <c r="K74" i="14"/>
  <c r="L74" i="14"/>
  <c r="M74" i="14"/>
  <c r="N74" i="14"/>
  <c r="O74" i="14"/>
  <c r="P74" i="14"/>
  <c r="Q74" i="14"/>
  <c r="R74" i="14"/>
  <c r="S74" i="14"/>
  <c r="T74" i="14"/>
  <c r="U74" i="14"/>
  <c r="I75" i="14"/>
  <c r="J75" i="14"/>
  <c r="K75" i="14"/>
  <c r="L75" i="14"/>
  <c r="M75" i="14"/>
  <c r="N75" i="14"/>
  <c r="O75" i="14"/>
  <c r="P75" i="14"/>
  <c r="Q75" i="14"/>
  <c r="R75" i="14"/>
  <c r="S75" i="14"/>
  <c r="T75" i="14"/>
  <c r="U75" i="14"/>
  <c r="I76" i="14"/>
  <c r="J76" i="14"/>
  <c r="K76" i="14"/>
  <c r="L76" i="14"/>
  <c r="M76" i="14"/>
  <c r="N76" i="14"/>
  <c r="O76" i="14"/>
  <c r="P76" i="14"/>
  <c r="Q76" i="14"/>
  <c r="R76" i="14"/>
  <c r="S76" i="14"/>
  <c r="T76" i="14"/>
  <c r="U76" i="14"/>
  <c r="I77" i="14"/>
  <c r="J77" i="14"/>
  <c r="K77" i="14"/>
  <c r="L77" i="14"/>
  <c r="M77" i="14"/>
  <c r="N77" i="14"/>
  <c r="O77" i="14"/>
  <c r="P77" i="14"/>
  <c r="Q77" i="14"/>
  <c r="R77" i="14"/>
  <c r="S77" i="14"/>
  <c r="T77" i="14"/>
  <c r="U77" i="14"/>
  <c r="I78" i="14"/>
  <c r="J78" i="14"/>
  <c r="K78" i="14"/>
  <c r="L78" i="14"/>
  <c r="M78" i="14"/>
  <c r="N78" i="14"/>
  <c r="O78" i="14"/>
  <c r="P78" i="14"/>
  <c r="Q78" i="14"/>
  <c r="R78" i="14"/>
  <c r="S78" i="14"/>
  <c r="T78" i="14"/>
  <c r="U78" i="14"/>
  <c r="I79" i="14"/>
  <c r="J79" i="14"/>
  <c r="K79" i="14"/>
  <c r="L79" i="14"/>
  <c r="M79" i="14"/>
  <c r="N79" i="14"/>
  <c r="O79" i="14"/>
  <c r="P79" i="14"/>
  <c r="Q79" i="14"/>
  <c r="R79" i="14"/>
  <c r="S79" i="14"/>
  <c r="T79" i="14"/>
  <c r="U79" i="14"/>
  <c r="I80" i="14"/>
  <c r="J80" i="14"/>
  <c r="K80" i="14"/>
  <c r="L80" i="14"/>
  <c r="M80" i="14"/>
  <c r="N80" i="14"/>
  <c r="O80" i="14"/>
  <c r="P80" i="14"/>
  <c r="Q80" i="14"/>
  <c r="R80" i="14"/>
  <c r="S80" i="14"/>
  <c r="T80" i="14"/>
  <c r="U80" i="14"/>
  <c r="I81" i="14"/>
  <c r="J81" i="14"/>
  <c r="K81" i="14"/>
  <c r="L81" i="14"/>
  <c r="M81" i="14"/>
  <c r="N81" i="14"/>
  <c r="O81" i="14"/>
  <c r="P81" i="14"/>
  <c r="Q81" i="14"/>
  <c r="R81" i="14"/>
  <c r="S81" i="14"/>
  <c r="T81" i="14"/>
  <c r="U81" i="14"/>
  <c r="I82" i="14"/>
  <c r="J82" i="14"/>
  <c r="K82" i="14"/>
  <c r="L82" i="14"/>
  <c r="M82" i="14"/>
  <c r="N82" i="14"/>
  <c r="O82" i="14"/>
  <c r="P82" i="14"/>
  <c r="Q82" i="14"/>
  <c r="R82" i="14"/>
  <c r="S82" i="14"/>
  <c r="T82" i="14"/>
  <c r="U82" i="14"/>
  <c r="I83" i="14"/>
  <c r="J83" i="14"/>
  <c r="K83" i="14"/>
  <c r="L83" i="14"/>
  <c r="M83" i="14"/>
  <c r="N83" i="14"/>
  <c r="O83" i="14"/>
  <c r="P83" i="14"/>
  <c r="Q83" i="14"/>
  <c r="R83" i="14"/>
  <c r="S83" i="14"/>
  <c r="T83" i="14"/>
  <c r="U83" i="14"/>
  <c r="I84" i="14"/>
  <c r="J84" i="14"/>
  <c r="K84" i="14"/>
  <c r="L84" i="14"/>
  <c r="M84" i="14"/>
  <c r="N84" i="14"/>
  <c r="O84" i="14"/>
  <c r="P84" i="14"/>
  <c r="Q84" i="14"/>
  <c r="R84" i="14"/>
  <c r="S84" i="14"/>
  <c r="T84" i="14"/>
  <c r="U84" i="14"/>
  <c r="I85" i="14"/>
  <c r="J85" i="14"/>
  <c r="K85" i="14"/>
  <c r="L85" i="14"/>
  <c r="M85" i="14"/>
  <c r="N85" i="14"/>
  <c r="O85" i="14"/>
  <c r="P85" i="14"/>
  <c r="Q85" i="14"/>
  <c r="R85" i="14"/>
  <c r="S85" i="14"/>
  <c r="T85" i="14"/>
  <c r="U85" i="14"/>
  <c r="I86" i="14"/>
  <c r="J86" i="14"/>
  <c r="K86" i="14"/>
  <c r="L86" i="14"/>
  <c r="M86" i="14"/>
  <c r="N86" i="14"/>
  <c r="O86" i="14"/>
  <c r="P86" i="14"/>
  <c r="Q86" i="14"/>
  <c r="R86" i="14"/>
  <c r="S86" i="14"/>
  <c r="T86" i="14"/>
  <c r="U86" i="14"/>
  <c r="I87" i="14"/>
  <c r="J87" i="14"/>
  <c r="K87" i="14"/>
  <c r="L87" i="14"/>
  <c r="M87" i="14"/>
  <c r="N87" i="14"/>
  <c r="O87" i="14"/>
  <c r="P87" i="14"/>
  <c r="Q87" i="14"/>
  <c r="R87" i="14"/>
  <c r="S87" i="14"/>
  <c r="T87" i="14"/>
  <c r="U87" i="14"/>
  <c r="I88" i="14"/>
  <c r="J88" i="14"/>
  <c r="K88" i="14"/>
  <c r="L88" i="14"/>
  <c r="M88" i="14"/>
  <c r="N88" i="14"/>
  <c r="O88" i="14"/>
  <c r="P88" i="14"/>
  <c r="Q88" i="14"/>
  <c r="R88" i="14"/>
  <c r="S88" i="14"/>
  <c r="T88" i="14"/>
  <c r="U88" i="14"/>
  <c r="I89" i="14"/>
  <c r="J89" i="14"/>
  <c r="K89" i="14"/>
  <c r="L89" i="14"/>
  <c r="M89" i="14"/>
  <c r="N89" i="14"/>
  <c r="O89" i="14"/>
  <c r="P89" i="14"/>
  <c r="Q89" i="14"/>
  <c r="R89" i="14"/>
  <c r="S89" i="14"/>
  <c r="T89" i="14"/>
  <c r="U89" i="14"/>
  <c r="I90" i="14"/>
  <c r="J90" i="14"/>
  <c r="K90" i="14"/>
  <c r="L90" i="14"/>
  <c r="M90" i="14"/>
  <c r="N90" i="14"/>
  <c r="O90" i="14"/>
  <c r="P90" i="14"/>
  <c r="Q90" i="14"/>
  <c r="R90" i="14"/>
  <c r="S90" i="14"/>
  <c r="T90" i="14"/>
  <c r="U90" i="14"/>
  <c r="I91" i="14"/>
  <c r="J91" i="14"/>
  <c r="K91" i="14"/>
  <c r="L91" i="14"/>
  <c r="M91" i="14"/>
  <c r="N91" i="14"/>
  <c r="O91" i="14"/>
  <c r="P91" i="14"/>
  <c r="Q91" i="14"/>
  <c r="R91" i="14"/>
  <c r="S91" i="14"/>
  <c r="T91" i="14"/>
  <c r="U91" i="14"/>
  <c r="I92" i="14"/>
  <c r="J92" i="14"/>
  <c r="K92" i="14"/>
  <c r="L92" i="14"/>
  <c r="M92" i="14"/>
  <c r="N92" i="14"/>
  <c r="O92" i="14"/>
  <c r="P92" i="14"/>
  <c r="Q92" i="14"/>
  <c r="R92" i="14"/>
  <c r="S92" i="14"/>
  <c r="T92" i="14"/>
  <c r="U92" i="14"/>
  <c r="I93" i="14"/>
  <c r="J93" i="14"/>
  <c r="K93" i="14"/>
  <c r="L93" i="14"/>
  <c r="M93" i="14"/>
  <c r="N93" i="14"/>
  <c r="O93" i="14"/>
  <c r="P93" i="14"/>
  <c r="Q93" i="14"/>
  <c r="R93" i="14"/>
  <c r="S93" i="14"/>
  <c r="T93" i="14"/>
  <c r="U93" i="14"/>
  <c r="I94" i="14"/>
  <c r="J94" i="14"/>
  <c r="K94" i="14"/>
  <c r="L94" i="14"/>
  <c r="M94" i="14"/>
  <c r="N94" i="14"/>
  <c r="O94" i="14"/>
  <c r="P94" i="14"/>
  <c r="Q94" i="14"/>
  <c r="R94" i="14"/>
  <c r="S94" i="14"/>
  <c r="T94" i="14"/>
  <c r="U94" i="14"/>
  <c r="I95" i="14"/>
  <c r="J95" i="14"/>
  <c r="K95" i="14"/>
  <c r="L95" i="14"/>
  <c r="M95" i="14"/>
  <c r="N95" i="14"/>
  <c r="O95" i="14"/>
  <c r="P95" i="14"/>
  <c r="Q95" i="14"/>
  <c r="R95" i="14"/>
  <c r="S95" i="14"/>
  <c r="T95" i="14"/>
  <c r="U95" i="14"/>
  <c r="I96" i="14"/>
  <c r="J96" i="14"/>
  <c r="K96" i="14"/>
  <c r="L96" i="14"/>
  <c r="M96" i="14"/>
  <c r="N96" i="14"/>
  <c r="O96" i="14"/>
  <c r="P96" i="14"/>
  <c r="Q96" i="14"/>
  <c r="R96" i="14"/>
  <c r="S96" i="14"/>
  <c r="T96" i="14"/>
  <c r="U96" i="14"/>
  <c r="I97" i="14"/>
  <c r="J97" i="14"/>
  <c r="K97" i="14"/>
  <c r="L97" i="14"/>
  <c r="M97" i="14"/>
  <c r="N97" i="14"/>
  <c r="O97" i="14"/>
  <c r="P97" i="14"/>
  <c r="Q97" i="14"/>
  <c r="R97" i="14"/>
  <c r="S97" i="14"/>
  <c r="T97" i="14"/>
  <c r="U97" i="14"/>
  <c r="I98" i="14"/>
  <c r="J98" i="14"/>
  <c r="K98" i="14"/>
  <c r="L98" i="14"/>
  <c r="M98" i="14"/>
  <c r="N98" i="14"/>
  <c r="O98" i="14"/>
  <c r="P98" i="14"/>
  <c r="Q98" i="14"/>
  <c r="R98" i="14"/>
  <c r="S98" i="14"/>
  <c r="T98" i="14"/>
  <c r="U98" i="14"/>
  <c r="I99" i="14"/>
  <c r="J99" i="14"/>
  <c r="K99" i="14"/>
  <c r="L99" i="14"/>
  <c r="M99" i="14"/>
  <c r="N99" i="14"/>
  <c r="O99" i="14"/>
  <c r="P99" i="14"/>
  <c r="Q99" i="14"/>
  <c r="R99" i="14"/>
  <c r="S99" i="14"/>
  <c r="T99" i="14"/>
  <c r="U99" i="14"/>
  <c r="I100" i="14"/>
  <c r="J100" i="14"/>
  <c r="K100" i="14"/>
  <c r="L100" i="14"/>
  <c r="M100" i="14"/>
  <c r="N100" i="14"/>
  <c r="O100" i="14"/>
  <c r="P100" i="14"/>
  <c r="Q100" i="14"/>
  <c r="R100" i="14"/>
  <c r="S100" i="14"/>
  <c r="T100" i="14"/>
  <c r="U100" i="14"/>
  <c r="I4" i="13"/>
  <c r="J4" i="13"/>
  <c r="K4" i="13"/>
  <c r="L4" i="13"/>
  <c r="M4" i="13"/>
  <c r="N4" i="13"/>
  <c r="O4" i="13"/>
  <c r="P4" i="13"/>
  <c r="Q4" i="13"/>
  <c r="R4" i="13"/>
  <c r="S4" i="13"/>
  <c r="T4" i="13"/>
  <c r="U4" i="13"/>
  <c r="I5" i="13"/>
  <c r="J5" i="13"/>
  <c r="K5" i="13"/>
  <c r="L5" i="13"/>
  <c r="M5" i="13"/>
  <c r="N5" i="13"/>
  <c r="O5" i="13"/>
  <c r="P5" i="13"/>
  <c r="Q5" i="13"/>
  <c r="R5" i="13"/>
  <c r="S5" i="13"/>
  <c r="T5" i="13"/>
  <c r="U5" i="13"/>
  <c r="I6" i="13"/>
  <c r="J6" i="13"/>
  <c r="K6" i="13"/>
  <c r="L6" i="13"/>
  <c r="M6" i="13"/>
  <c r="N6" i="13"/>
  <c r="O6" i="13"/>
  <c r="P6" i="13"/>
  <c r="Q6" i="13"/>
  <c r="R6" i="13"/>
  <c r="S6" i="13"/>
  <c r="T6" i="13"/>
  <c r="U6" i="13"/>
  <c r="I7" i="13"/>
  <c r="J7" i="13"/>
  <c r="K7" i="13"/>
  <c r="L7" i="13"/>
  <c r="M7" i="13"/>
  <c r="N7" i="13"/>
  <c r="O7" i="13"/>
  <c r="P7" i="13"/>
  <c r="Q7" i="13"/>
  <c r="R7" i="13"/>
  <c r="S7" i="13"/>
  <c r="T7" i="13"/>
  <c r="U7" i="13"/>
  <c r="I8" i="13"/>
  <c r="J8" i="13"/>
  <c r="K8" i="13"/>
  <c r="L8" i="13"/>
  <c r="M8" i="13"/>
  <c r="N8" i="13"/>
  <c r="O8" i="13"/>
  <c r="P8" i="13"/>
  <c r="Q8" i="13"/>
  <c r="R8" i="13"/>
  <c r="S8" i="13"/>
  <c r="T8" i="13"/>
  <c r="U8" i="13"/>
  <c r="I9" i="13"/>
  <c r="J9" i="13"/>
  <c r="K9" i="13"/>
  <c r="L9" i="13"/>
  <c r="M9" i="13"/>
  <c r="N9" i="13"/>
  <c r="O9" i="13"/>
  <c r="P9" i="13"/>
  <c r="Q9" i="13"/>
  <c r="R9" i="13"/>
  <c r="S9" i="13"/>
  <c r="T9" i="13"/>
  <c r="U9" i="13"/>
  <c r="I10" i="13"/>
  <c r="J10" i="13"/>
  <c r="K10" i="13"/>
  <c r="L10" i="13"/>
  <c r="M10" i="13"/>
  <c r="N10" i="13"/>
  <c r="O10" i="13"/>
  <c r="P10" i="13"/>
  <c r="Q10" i="13"/>
  <c r="R10" i="13"/>
  <c r="S10" i="13"/>
  <c r="T10" i="13"/>
  <c r="U10" i="13"/>
  <c r="I11" i="13"/>
  <c r="J11" i="13"/>
  <c r="K11" i="13"/>
  <c r="L11" i="13"/>
  <c r="M11" i="13"/>
  <c r="N11" i="13"/>
  <c r="O11" i="13"/>
  <c r="P11" i="13"/>
  <c r="Q11" i="13"/>
  <c r="R11" i="13"/>
  <c r="S11" i="13"/>
  <c r="T11" i="13"/>
  <c r="U11" i="13"/>
  <c r="I12" i="13"/>
  <c r="J12" i="13"/>
  <c r="K12" i="13"/>
  <c r="L12" i="13"/>
  <c r="M12" i="13"/>
  <c r="N12" i="13"/>
  <c r="O12" i="13"/>
  <c r="P12" i="13"/>
  <c r="Q12" i="13"/>
  <c r="R12" i="13"/>
  <c r="S12" i="13"/>
  <c r="T12" i="13"/>
  <c r="U12" i="13"/>
  <c r="I13" i="13"/>
  <c r="J13" i="13"/>
  <c r="K13" i="13"/>
  <c r="L13" i="13"/>
  <c r="M13" i="13"/>
  <c r="N13" i="13"/>
  <c r="O13" i="13"/>
  <c r="P13" i="13"/>
  <c r="Q13" i="13"/>
  <c r="R13" i="13"/>
  <c r="S13" i="13"/>
  <c r="T13" i="13"/>
  <c r="U13" i="13"/>
  <c r="I14" i="13"/>
  <c r="J14" i="13"/>
  <c r="K14" i="13"/>
  <c r="L14" i="13"/>
  <c r="M14" i="13"/>
  <c r="N14" i="13"/>
  <c r="O14" i="13"/>
  <c r="P14" i="13"/>
  <c r="Q14" i="13"/>
  <c r="R14" i="13"/>
  <c r="S14" i="13"/>
  <c r="T14" i="13"/>
  <c r="U14" i="13"/>
  <c r="I15" i="13"/>
  <c r="J15" i="13"/>
  <c r="K15" i="13"/>
  <c r="L15" i="13"/>
  <c r="M15" i="13"/>
  <c r="N15" i="13"/>
  <c r="O15" i="13"/>
  <c r="P15" i="13"/>
  <c r="Q15" i="13"/>
  <c r="R15" i="13"/>
  <c r="S15" i="13"/>
  <c r="T15" i="13"/>
  <c r="U15" i="13"/>
  <c r="I16" i="13"/>
  <c r="J16" i="13"/>
  <c r="K16" i="13"/>
  <c r="L16" i="13"/>
  <c r="M16" i="13"/>
  <c r="N16" i="13"/>
  <c r="O16" i="13"/>
  <c r="P16" i="13"/>
  <c r="Q16" i="13"/>
  <c r="R16" i="13"/>
  <c r="S16" i="13"/>
  <c r="T16" i="13"/>
  <c r="U16" i="13"/>
  <c r="I17" i="13"/>
  <c r="J17" i="13"/>
  <c r="K17" i="13"/>
  <c r="L17" i="13"/>
  <c r="M17" i="13"/>
  <c r="N17" i="13"/>
  <c r="O17" i="13"/>
  <c r="P17" i="13"/>
  <c r="Q17" i="13"/>
  <c r="R17" i="13"/>
  <c r="S17" i="13"/>
  <c r="T17" i="13"/>
  <c r="U17" i="13"/>
  <c r="I18" i="13"/>
  <c r="J18" i="13"/>
  <c r="K18" i="13"/>
  <c r="L18" i="13"/>
  <c r="M18" i="13"/>
  <c r="N18" i="13"/>
  <c r="O18" i="13"/>
  <c r="P18" i="13"/>
  <c r="Q18" i="13"/>
  <c r="R18" i="13"/>
  <c r="S18" i="13"/>
  <c r="T18" i="13"/>
  <c r="U18" i="13"/>
  <c r="I19" i="13"/>
  <c r="J19" i="13"/>
  <c r="K19" i="13"/>
  <c r="L19" i="13"/>
  <c r="M19" i="13"/>
  <c r="N19" i="13"/>
  <c r="O19" i="13"/>
  <c r="P19" i="13"/>
  <c r="Q19" i="13"/>
  <c r="R19" i="13"/>
  <c r="S19" i="13"/>
  <c r="T19" i="13"/>
  <c r="U19" i="13"/>
  <c r="I20" i="13"/>
  <c r="J20" i="13"/>
  <c r="K20" i="13"/>
  <c r="L20" i="13"/>
  <c r="M20" i="13"/>
  <c r="N20" i="13"/>
  <c r="O20" i="13"/>
  <c r="P20" i="13"/>
  <c r="Q20" i="13"/>
  <c r="R20" i="13"/>
  <c r="S20" i="13"/>
  <c r="T20" i="13"/>
  <c r="U20" i="13"/>
  <c r="I21" i="13"/>
  <c r="J21" i="13"/>
  <c r="K21" i="13"/>
  <c r="L21" i="13"/>
  <c r="M21" i="13"/>
  <c r="N21" i="13"/>
  <c r="O21" i="13"/>
  <c r="P21" i="13"/>
  <c r="Q21" i="13"/>
  <c r="R21" i="13"/>
  <c r="S21" i="13"/>
  <c r="T21" i="13"/>
  <c r="U21" i="13"/>
  <c r="I22" i="13"/>
  <c r="J22" i="13"/>
  <c r="K22" i="13"/>
  <c r="L22" i="13"/>
  <c r="M22" i="13"/>
  <c r="N22" i="13"/>
  <c r="O22" i="13"/>
  <c r="P22" i="13"/>
  <c r="Q22" i="13"/>
  <c r="R22" i="13"/>
  <c r="S22" i="13"/>
  <c r="T22" i="13"/>
  <c r="U22" i="13"/>
  <c r="I23" i="13"/>
  <c r="J23" i="13"/>
  <c r="K23" i="13"/>
  <c r="L23" i="13"/>
  <c r="M23" i="13"/>
  <c r="N23" i="13"/>
  <c r="O23" i="13"/>
  <c r="P23" i="13"/>
  <c r="Q23" i="13"/>
  <c r="R23" i="13"/>
  <c r="S23" i="13"/>
  <c r="T23" i="13"/>
  <c r="U23" i="13"/>
  <c r="I24" i="13"/>
  <c r="J24" i="13"/>
  <c r="K24" i="13"/>
  <c r="L24" i="13"/>
  <c r="M24" i="13"/>
  <c r="N24" i="13"/>
  <c r="O24" i="13"/>
  <c r="P24" i="13"/>
  <c r="Q24" i="13"/>
  <c r="R24" i="13"/>
  <c r="S24" i="13"/>
  <c r="T24" i="13"/>
  <c r="U24" i="13"/>
  <c r="I25" i="13"/>
  <c r="J25" i="13"/>
  <c r="K25" i="13"/>
  <c r="L25" i="13"/>
  <c r="M25" i="13"/>
  <c r="N25" i="13"/>
  <c r="O25" i="13"/>
  <c r="P25" i="13"/>
  <c r="Q25" i="13"/>
  <c r="R25" i="13"/>
  <c r="S25" i="13"/>
  <c r="T25" i="13"/>
  <c r="U25" i="13"/>
  <c r="I26" i="13"/>
  <c r="J26" i="13"/>
  <c r="K26" i="13"/>
  <c r="L26" i="13"/>
  <c r="M26" i="13"/>
  <c r="N26" i="13"/>
  <c r="O26" i="13"/>
  <c r="P26" i="13"/>
  <c r="Q26" i="13"/>
  <c r="R26" i="13"/>
  <c r="S26" i="13"/>
  <c r="T26" i="13"/>
  <c r="U26" i="13"/>
  <c r="I27" i="13"/>
  <c r="J27" i="13"/>
  <c r="K27" i="13"/>
  <c r="L27" i="13"/>
  <c r="M27" i="13"/>
  <c r="N27" i="13"/>
  <c r="O27" i="13"/>
  <c r="P27" i="13"/>
  <c r="Q27" i="13"/>
  <c r="R27" i="13"/>
  <c r="S27" i="13"/>
  <c r="T27" i="13"/>
  <c r="U27" i="13"/>
  <c r="I28" i="13"/>
  <c r="J28" i="13"/>
  <c r="K28" i="13"/>
  <c r="L28" i="13"/>
  <c r="M28" i="13"/>
  <c r="N28" i="13"/>
  <c r="O28" i="13"/>
  <c r="P28" i="13"/>
  <c r="Q28" i="13"/>
  <c r="R28" i="13"/>
  <c r="S28" i="13"/>
  <c r="T28" i="13"/>
  <c r="U28" i="13"/>
  <c r="I29" i="13"/>
  <c r="J29" i="13"/>
  <c r="K29" i="13"/>
  <c r="L29" i="13"/>
  <c r="M29" i="13"/>
  <c r="N29" i="13"/>
  <c r="O29" i="13"/>
  <c r="P29" i="13"/>
  <c r="Q29" i="13"/>
  <c r="R29" i="13"/>
  <c r="S29" i="13"/>
  <c r="T29" i="13"/>
  <c r="U29" i="13"/>
  <c r="I30" i="13"/>
  <c r="J30" i="13"/>
  <c r="K30" i="13"/>
  <c r="L30" i="13"/>
  <c r="M30" i="13"/>
  <c r="N30" i="13"/>
  <c r="O30" i="13"/>
  <c r="P30" i="13"/>
  <c r="Q30" i="13"/>
  <c r="R30" i="13"/>
  <c r="S30" i="13"/>
  <c r="T30" i="13"/>
  <c r="U30" i="13"/>
  <c r="I31" i="13"/>
  <c r="J31" i="13"/>
  <c r="K31" i="13"/>
  <c r="L31" i="13"/>
  <c r="M31" i="13"/>
  <c r="N31" i="13"/>
  <c r="O31" i="13"/>
  <c r="P31" i="13"/>
  <c r="Q31" i="13"/>
  <c r="R31" i="13"/>
  <c r="S31" i="13"/>
  <c r="T31" i="13"/>
  <c r="U31" i="13"/>
  <c r="I32" i="13"/>
  <c r="J32" i="13"/>
  <c r="K32" i="13"/>
  <c r="L32" i="13"/>
  <c r="M32" i="13"/>
  <c r="N32" i="13"/>
  <c r="O32" i="13"/>
  <c r="P32" i="13"/>
  <c r="Q32" i="13"/>
  <c r="R32" i="13"/>
  <c r="S32" i="13"/>
  <c r="T32" i="13"/>
  <c r="U32" i="13"/>
  <c r="I33" i="13"/>
  <c r="J33" i="13"/>
  <c r="K33" i="13"/>
  <c r="L33" i="13"/>
  <c r="M33" i="13"/>
  <c r="N33" i="13"/>
  <c r="O33" i="13"/>
  <c r="P33" i="13"/>
  <c r="Q33" i="13"/>
  <c r="R33" i="13"/>
  <c r="S33" i="13"/>
  <c r="T33" i="13"/>
  <c r="U33" i="13"/>
  <c r="I34" i="13"/>
  <c r="J34" i="13"/>
  <c r="K34" i="13"/>
  <c r="L34" i="13"/>
  <c r="M34" i="13"/>
  <c r="N34" i="13"/>
  <c r="O34" i="13"/>
  <c r="P34" i="13"/>
  <c r="Q34" i="13"/>
  <c r="R34" i="13"/>
  <c r="S34" i="13"/>
  <c r="T34" i="13"/>
  <c r="U34" i="13"/>
  <c r="I35" i="13"/>
  <c r="J35" i="13"/>
  <c r="K35" i="13"/>
  <c r="L35" i="13"/>
  <c r="M35" i="13"/>
  <c r="N35" i="13"/>
  <c r="O35" i="13"/>
  <c r="P35" i="13"/>
  <c r="Q35" i="13"/>
  <c r="R35" i="13"/>
  <c r="S35" i="13"/>
  <c r="T35" i="13"/>
  <c r="U35" i="13"/>
  <c r="I36" i="13"/>
  <c r="J36" i="13"/>
  <c r="K36" i="13"/>
  <c r="L36" i="13"/>
  <c r="M36" i="13"/>
  <c r="N36" i="13"/>
  <c r="O36" i="13"/>
  <c r="P36" i="13"/>
  <c r="Q36" i="13"/>
  <c r="R36" i="13"/>
  <c r="S36" i="13"/>
  <c r="T36" i="13"/>
  <c r="U36" i="13"/>
  <c r="I37" i="13"/>
  <c r="J37" i="13"/>
  <c r="K37" i="13"/>
  <c r="L37" i="13"/>
  <c r="M37" i="13"/>
  <c r="N37" i="13"/>
  <c r="O37" i="13"/>
  <c r="P37" i="13"/>
  <c r="Q37" i="13"/>
  <c r="R37" i="13"/>
  <c r="S37" i="13"/>
  <c r="T37" i="13"/>
  <c r="U37" i="13"/>
  <c r="I38" i="13"/>
  <c r="J38" i="13"/>
  <c r="K38" i="13"/>
  <c r="L38" i="13"/>
  <c r="M38" i="13"/>
  <c r="N38" i="13"/>
  <c r="O38" i="13"/>
  <c r="P38" i="13"/>
  <c r="Q38" i="13"/>
  <c r="R38" i="13"/>
  <c r="S38" i="13"/>
  <c r="T38" i="13"/>
  <c r="U38" i="13"/>
  <c r="I39" i="13"/>
  <c r="J39" i="13"/>
  <c r="K39" i="13"/>
  <c r="L39" i="13"/>
  <c r="M39" i="13"/>
  <c r="N39" i="13"/>
  <c r="O39" i="13"/>
  <c r="P39" i="13"/>
  <c r="Q39" i="13"/>
  <c r="R39" i="13"/>
  <c r="S39" i="13"/>
  <c r="T39" i="13"/>
  <c r="U39" i="13"/>
  <c r="I40" i="13"/>
  <c r="J40" i="13"/>
  <c r="K40" i="13"/>
  <c r="L40" i="13"/>
  <c r="M40" i="13"/>
  <c r="N40" i="13"/>
  <c r="O40" i="13"/>
  <c r="P40" i="13"/>
  <c r="Q40" i="13"/>
  <c r="R40" i="13"/>
  <c r="S40" i="13"/>
  <c r="T40" i="13"/>
  <c r="U40" i="13"/>
  <c r="I41" i="13"/>
  <c r="J41" i="13"/>
  <c r="K41" i="13"/>
  <c r="L41" i="13"/>
  <c r="M41" i="13"/>
  <c r="N41" i="13"/>
  <c r="O41" i="13"/>
  <c r="P41" i="13"/>
  <c r="Q41" i="13"/>
  <c r="R41" i="13"/>
  <c r="S41" i="13"/>
  <c r="T41" i="13"/>
  <c r="U41" i="13"/>
  <c r="I42" i="13"/>
  <c r="J42" i="13"/>
  <c r="K42" i="13"/>
  <c r="L42" i="13"/>
  <c r="M42" i="13"/>
  <c r="N42" i="13"/>
  <c r="O42" i="13"/>
  <c r="P42" i="13"/>
  <c r="Q42" i="13"/>
  <c r="R42" i="13"/>
  <c r="S42" i="13"/>
  <c r="T42" i="13"/>
  <c r="U42" i="13"/>
  <c r="I43" i="13"/>
  <c r="J43" i="13"/>
  <c r="K43" i="13"/>
  <c r="L43" i="13"/>
  <c r="M43" i="13"/>
  <c r="N43" i="13"/>
  <c r="O43" i="13"/>
  <c r="P43" i="13"/>
  <c r="Q43" i="13"/>
  <c r="R43" i="13"/>
  <c r="S43" i="13"/>
  <c r="T43" i="13"/>
  <c r="U43" i="13"/>
  <c r="I44" i="13"/>
  <c r="J44" i="13"/>
  <c r="K44" i="13"/>
  <c r="L44" i="13"/>
  <c r="M44" i="13"/>
  <c r="N44" i="13"/>
  <c r="O44" i="13"/>
  <c r="P44" i="13"/>
  <c r="Q44" i="13"/>
  <c r="R44" i="13"/>
  <c r="S44" i="13"/>
  <c r="T44" i="13"/>
  <c r="U44" i="13"/>
  <c r="I45" i="13"/>
  <c r="J45" i="13"/>
  <c r="K45" i="13"/>
  <c r="L45" i="13"/>
  <c r="M45" i="13"/>
  <c r="N45" i="13"/>
  <c r="O45" i="13"/>
  <c r="P45" i="13"/>
  <c r="Q45" i="13"/>
  <c r="R45" i="13"/>
  <c r="S45" i="13"/>
  <c r="T45" i="13"/>
  <c r="U45" i="13"/>
  <c r="I46" i="13"/>
  <c r="J46" i="13"/>
  <c r="K46" i="13"/>
  <c r="L46" i="13"/>
  <c r="M46" i="13"/>
  <c r="N46" i="13"/>
  <c r="O46" i="13"/>
  <c r="P46" i="13"/>
  <c r="Q46" i="13"/>
  <c r="R46" i="13"/>
  <c r="S46" i="13"/>
  <c r="T46" i="13"/>
  <c r="U46" i="13"/>
  <c r="I47" i="13"/>
  <c r="J47" i="13"/>
  <c r="K47" i="13"/>
  <c r="L47" i="13"/>
  <c r="M47" i="13"/>
  <c r="N47" i="13"/>
  <c r="O47" i="13"/>
  <c r="P47" i="13"/>
  <c r="Q47" i="13"/>
  <c r="R47" i="13"/>
  <c r="S47" i="13"/>
  <c r="T47" i="13"/>
  <c r="U47" i="13"/>
  <c r="I48" i="13"/>
  <c r="J48" i="13"/>
  <c r="K48" i="13"/>
  <c r="L48" i="13"/>
  <c r="M48" i="13"/>
  <c r="N48" i="13"/>
  <c r="O48" i="13"/>
  <c r="P48" i="13"/>
  <c r="Q48" i="13"/>
  <c r="R48" i="13"/>
  <c r="S48" i="13"/>
  <c r="T48" i="13"/>
  <c r="U48" i="13"/>
  <c r="I49" i="13"/>
  <c r="J49" i="13"/>
  <c r="K49" i="13"/>
  <c r="L49" i="13"/>
  <c r="M49" i="13"/>
  <c r="N49" i="13"/>
  <c r="O49" i="13"/>
  <c r="P49" i="13"/>
  <c r="Q49" i="13"/>
  <c r="R49" i="13"/>
  <c r="S49" i="13"/>
  <c r="T49" i="13"/>
  <c r="U49" i="13"/>
  <c r="I50" i="13"/>
  <c r="J50" i="13"/>
  <c r="K50" i="13"/>
  <c r="L50" i="13"/>
  <c r="M50" i="13"/>
  <c r="N50" i="13"/>
  <c r="O50" i="13"/>
  <c r="P50" i="13"/>
  <c r="Q50" i="13"/>
  <c r="R50" i="13"/>
  <c r="S50" i="13"/>
  <c r="T50" i="13"/>
  <c r="U50" i="13"/>
  <c r="I51" i="13"/>
  <c r="J51" i="13"/>
  <c r="K51" i="13"/>
  <c r="L51" i="13"/>
  <c r="M51" i="13"/>
  <c r="N51" i="13"/>
  <c r="O51" i="13"/>
  <c r="P51" i="13"/>
  <c r="Q51" i="13"/>
  <c r="R51" i="13"/>
  <c r="S51" i="13"/>
  <c r="T51" i="13"/>
  <c r="U51" i="13"/>
  <c r="I52" i="13"/>
  <c r="J52" i="13"/>
  <c r="K52" i="13"/>
  <c r="L52" i="13"/>
  <c r="M52" i="13"/>
  <c r="N52" i="13"/>
  <c r="O52" i="13"/>
  <c r="P52" i="13"/>
  <c r="Q52" i="13"/>
  <c r="R52" i="13"/>
  <c r="S52" i="13"/>
  <c r="T52" i="13"/>
  <c r="U52" i="13"/>
  <c r="I53" i="13"/>
  <c r="J53" i="13"/>
  <c r="K53" i="13"/>
  <c r="L53" i="13"/>
  <c r="M53" i="13"/>
  <c r="N53" i="13"/>
  <c r="O53" i="13"/>
  <c r="P53" i="13"/>
  <c r="Q53" i="13"/>
  <c r="R53" i="13"/>
  <c r="S53" i="13"/>
  <c r="T53" i="13"/>
  <c r="U53" i="13"/>
  <c r="I54" i="13"/>
  <c r="J54" i="13"/>
  <c r="K54" i="13"/>
  <c r="L54" i="13"/>
  <c r="M54" i="13"/>
  <c r="N54" i="13"/>
  <c r="O54" i="13"/>
  <c r="P54" i="13"/>
  <c r="Q54" i="13"/>
  <c r="R54" i="13"/>
  <c r="S54" i="13"/>
  <c r="T54" i="13"/>
  <c r="U54" i="13"/>
  <c r="I55" i="13"/>
  <c r="J55" i="13"/>
  <c r="K55" i="13"/>
  <c r="L55" i="13"/>
  <c r="M55" i="13"/>
  <c r="N55" i="13"/>
  <c r="O55" i="13"/>
  <c r="P55" i="13"/>
  <c r="Q55" i="13"/>
  <c r="R55" i="13"/>
  <c r="S55" i="13"/>
  <c r="T55" i="13"/>
  <c r="U55" i="13"/>
  <c r="I56" i="13"/>
  <c r="J56" i="13"/>
  <c r="K56" i="13"/>
  <c r="L56" i="13"/>
  <c r="M56" i="13"/>
  <c r="N56" i="13"/>
  <c r="O56" i="13"/>
  <c r="P56" i="13"/>
  <c r="Q56" i="13"/>
  <c r="R56" i="13"/>
  <c r="S56" i="13"/>
  <c r="T56" i="13"/>
  <c r="U56" i="13"/>
  <c r="I57" i="13"/>
  <c r="J57" i="13"/>
  <c r="K57" i="13"/>
  <c r="L57" i="13"/>
  <c r="M57" i="13"/>
  <c r="N57" i="13"/>
  <c r="O57" i="13"/>
  <c r="P57" i="13"/>
  <c r="Q57" i="13"/>
  <c r="R57" i="13"/>
  <c r="S57" i="13"/>
  <c r="T57" i="13"/>
  <c r="U57" i="13"/>
  <c r="I58" i="13"/>
  <c r="J58" i="13"/>
  <c r="K58" i="13"/>
  <c r="L58" i="13"/>
  <c r="M58" i="13"/>
  <c r="N58" i="13"/>
  <c r="O58" i="13"/>
  <c r="P58" i="13"/>
  <c r="Q58" i="13"/>
  <c r="R58" i="13"/>
  <c r="S58" i="13"/>
  <c r="T58" i="13"/>
  <c r="U58" i="13"/>
  <c r="I59" i="13"/>
  <c r="J59" i="13"/>
  <c r="K59" i="13"/>
  <c r="L59" i="13"/>
  <c r="M59" i="13"/>
  <c r="N59" i="13"/>
  <c r="O59" i="13"/>
  <c r="P59" i="13"/>
  <c r="Q59" i="13"/>
  <c r="R59" i="13"/>
  <c r="S59" i="13"/>
  <c r="T59" i="13"/>
  <c r="U59" i="13"/>
  <c r="I60" i="13"/>
  <c r="J60" i="13"/>
  <c r="K60" i="13"/>
  <c r="L60" i="13"/>
  <c r="M60" i="13"/>
  <c r="N60" i="13"/>
  <c r="O60" i="13"/>
  <c r="P60" i="13"/>
  <c r="Q60" i="13"/>
  <c r="R60" i="13"/>
  <c r="S60" i="13"/>
  <c r="T60" i="13"/>
  <c r="U60" i="13"/>
  <c r="I61" i="13"/>
  <c r="J61" i="13"/>
  <c r="K61" i="13"/>
  <c r="L61" i="13"/>
  <c r="M61" i="13"/>
  <c r="N61" i="13"/>
  <c r="O61" i="13"/>
  <c r="P61" i="13"/>
  <c r="Q61" i="13"/>
  <c r="R61" i="13"/>
  <c r="S61" i="13"/>
  <c r="T61" i="13"/>
  <c r="U61" i="13"/>
  <c r="I62" i="13"/>
  <c r="J62" i="13"/>
  <c r="K62" i="13"/>
  <c r="L62" i="13"/>
  <c r="M62" i="13"/>
  <c r="N62" i="13"/>
  <c r="O62" i="13"/>
  <c r="P62" i="13"/>
  <c r="Q62" i="13"/>
  <c r="R62" i="13"/>
  <c r="S62" i="13"/>
  <c r="T62" i="13"/>
  <c r="U62" i="13"/>
  <c r="I63" i="13"/>
  <c r="J63" i="13"/>
  <c r="K63" i="13"/>
  <c r="L63" i="13"/>
  <c r="M63" i="13"/>
  <c r="N63" i="13"/>
  <c r="O63" i="13"/>
  <c r="P63" i="13"/>
  <c r="Q63" i="13"/>
  <c r="R63" i="13"/>
  <c r="S63" i="13"/>
  <c r="T63" i="13"/>
  <c r="U63" i="13"/>
  <c r="I64" i="13"/>
  <c r="J64" i="13"/>
  <c r="K64" i="13"/>
  <c r="L64" i="13"/>
  <c r="M64" i="13"/>
  <c r="N64" i="13"/>
  <c r="O64" i="13"/>
  <c r="P64" i="13"/>
  <c r="Q64" i="13"/>
  <c r="R64" i="13"/>
  <c r="S64" i="13"/>
  <c r="T64" i="13"/>
  <c r="U64" i="13"/>
  <c r="I65" i="13"/>
  <c r="J65" i="13"/>
  <c r="K65" i="13"/>
  <c r="L65" i="13"/>
  <c r="M65" i="13"/>
  <c r="N65" i="13"/>
  <c r="O65" i="13"/>
  <c r="P65" i="13"/>
  <c r="Q65" i="13"/>
  <c r="R65" i="13"/>
  <c r="S65" i="13"/>
  <c r="T65" i="13"/>
  <c r="U65" i="13"/>
  <c r="I66" i="13"/>
  <c r="J66" i="13"/>
  <c r="K66" i="13"/>
  <c r="L66" i="13"/>
  <c r="M66" i="13"/>
  <c r="N66" i="13"/>
  <c r="O66" i="13"/>
  <c r="P66" i="13"/>
  <c r="Q66" i="13"/>
  <c r="R66" i="13"/>
  <c r="S66" i="13"/>
  <c r="T66" i="13"/>
  <c r="U66" i="13"/>
  <c r="I67" i="13"/>
  <c r="J67" i="13"/>
  <c r="K67" i="13"/>
  <c r="L67" i="13"/>
  <c r="M67" i="13"/>
  <c r="N67" i="13"/>
  <c r="O67" i="13"/>
  <c r="P67" i="13"/>
  <c r="Q67" i="13"/>
  <c r="R67" i="13"/>
  <c r="S67" i="13"/>
  <c r="T67" i="13"/>
  <c r="U67" i="13"/>
  <c r="I68" i="13"/>
  <c r="J68" i="13"/>
  <c r="K68" i="13"/>
  <c r="L68" i="13"/>
  <c r="M68" i="13"/>
  <c r="N68" i="13"/>
  <c r="O68" i="13"/>
  <c r="P68" i="13"/>
  <c r="Q68" i="13"/>
  <c r="R68" i="13"/>
  <c r="S68" i="13"/>
  <c r="T68" i="13"/>
  <c r="U68" i="13"/>
  <c r="I69" i="13"/>
  <c r="J69" i="13"/>
  <c r="K69" i="13"/>
  <c r="L69" i="13"/>
  <c r="M69" i="13"/>
  <c r="N69" i="13"/>
  <c r="O69" i="13"/>
  <c r="P69" i="13"/>
  <c r="Q69" i="13"/>
  <c r="R69" i="13"/>
  <c r="S69" i="13"/>
  <c r="T69" i="13"/>
  <c r="U69" i="13"/>
  <c r="I70" i="13"/>
  <c r="J70" i="13"/>
  <c r="K70" i="13"/>
  <c r="L70" i="13"/>
  <c r="M70" i="13"/>
  <c r="N70" i="13"/>
  <c r="O70" i="13"/>
  <c r="P70" i="13"/>
  <c r="Q70" i="13"/>
  <c r="R70" i="13"/>
  <c r="S70" i="13"/>
  <c r="T70" i="13"/>
  <c r="U70" i="13"/>
  <c r="I71" i="13"/>
  <c r="J71" i="13"/>
  <c r="K71" i="13"/>
  <c r="L71" i="13"/>
  <c r="M71" i="13"/>
  <c r="N71" i="13"/>
  <c r="O71" i="13"/>
  <c r="P71" i="13"/>
  <c r="Q71" i="13"/>
  <c r="R71" i="13"/>
  <c r="S71" i="13"/>
  <c r="T71" i="13"/>
  <c r="U71" i="13"/>
  <c r="I72" i="13"/>
  <c r="J72" i="13"/>
  <c r="K72" i="13"/>
  <c r="L72" i="13"/>
  <c r="M72" i="13"/>
  <c r="N72" i="13"/>
  <c r="O72" i="13"/>
  <c r="P72" i="13"/>
  <c r="Q72" i="13"/>
  <c r="R72" i="13"/>
  <c r="S72" i="13"/>
  <c r="T72" i="13"/>
  <c r="U72" i="13"/>
  <c r="I73" i="13"/>
  <c r="J73" i="13"/>
  <c r="K73" i="13"/>
  <c r="L73" i="13"/>
  <c r="M73" i="13"/>
  <c r="N73" i="13"/>
  <c r="O73" i="13"/>
  <c r="P73" i="13"/>
  <c r="Q73" i="13"/>
  <c r="R73" i="13"/>
  <c r="S73" i="13"/>
  <c r="T73" i="13"/>
  <c r="U73" i="13"/>
  <c r="I74" i="13"/>
  <c r="J74" i="13"/>
  <c r="K74" i="13"/>
  <c r="L74" i="13"/>
  <c r="M74" i="13"/>
  <c r="N74" i="13"/>
  <c r="O74" i="13"/>
  <c r="P74" i="13"/>
  <c r="Q74" i="13"/>
  <c r="R74" i="13"/>
  <c r="S74" i="13"/>
  <c r="T74" i="13"/>
  <c r="U74" i="13"/>
  <c r="I75" i="13"/>
  <c r="J75" i="13"/>
  <c r="K75" i="13"/>
  <c r="L75" i="13"/>
  <c r="M75" i="13"/>
  <c r="N75" i="13"/>
  <c r="O75" i="13"/>
  <c r="P75" i="13"/>
  <c r="Q75" i="13"/>
  <c r="R75" i="13"/>
  <c r="S75" i="13"/>
  <c r="T75" i="13"/>
  <c r="U75" i="13"/>
  <c r="I76" i="13"/>
  <c r="J76" i="13"/>
  <c r="K76" i="13"/>
  <c r="L76" i="13"/>
  <c r="M76" i="13"/>
  <c r="N76" i="13"/>
  <c r="O76" i="13"/>
  <c r="P76" i="13"/>
  <c r="Q76" i="13"/>
  <c r="R76" i="13"/>
  <c r="S76" i="13"/>
  <c r="T76" i="13"/>
  <c r="U76" i="13"/>
  <c r="I77" i="13"/>
  <c r="J77" i="13"/>
  <c r="K77" i="13"/>
  <c r="L77" i="13"/>
  <c r="M77" i="13"/>
  <c r="N77" i="13"/>
  <c r="O77" i="13"/>
  <c r="P77" i="13"/>
  <c r="Q77" i="13"/>
  <c r="R77" i="13"/>
  <c r="S77" i="13"/>
  <c r="T77" i="13"/>
  <c r="U77" i="13"/>
  <c r="I78" i="13"/>
  <c r="J78" i="13"/>
  <c r="K78" i="13"/>
  <c r="L78" i="13"/>
  <c r="M78" i="13"/>
  <c r="N78" i="13"/>
  <c r="O78" i="13"/>
  <c r="P78" i="13"/>
  <c r="Q78" i="13"/>
  <c r="R78" i="13"/>
  <c r="S78" i="13"/>
  <c r="T78" i="13"/>
  <c r="U78" i="13"/>
  <c r="I79" i="13"/>
  <c r="J79" i="13"/>
  <c r="K79" i="13"/>
  <c r="L79" i="13"/>
  <c r="M79" i="13"/>
  <c r="N79" i="13"/>
  <c r="O79" i="13"/>
  <c r="P79" i="13"/>
  <c r="Q79" i="13"/>
  <c r="R79" i="13"/>
  <c r="S79" i="13"/>
  <c r="T79" i="13"/>
  <c r="U79" i="13"/>
  <c r="I80" i="13"/>
  <c r="J80" i="13"/>
  <c r="K80" i="13"/>
  <c r="L80" i="13"/>
  <c r="M80" i="13"/>
  <c r="N80" i="13"/>
  <c r="O80" i="13"/>
  <c r="P80" i="13"/>
  <c r="Q80" i="13"/>
  <c r="R80" i="13"/>
  <c r="S80" i="13"/>
  <c r="T80" i="13"/>
  <c r="U80" i="13"/>
  <c r="I81" i="13"/>
  <c r="J81" i="13"/>
  <c r="K81" i="13"/>
  <c r="L81" i="13"/>
  <c r="M81" i="13"/>
  <c r="N81" i="13"/>
  <c r="O81" i="13"/>
  <c r="P81" i="13"/>
  <c r="Q81" i="13"/>
  <c r="R81" i="13"/>
  <c r="S81" i="13"/>
  <c r="T81" i="13"/>
  <c r="U81" i="13"/>
  <c r="I82" i="13"/>
  <c r="J82" i="13"/>
  <c r="K82" i="13"/>
  <c r="L82" i="13"/>
  <c r="M82" i="13"/>
  <c r="N82" i="13"/>
  <c r="O82" i="13"/>
  <c r="P82" i="13"/>
  <c r="Q82" i="13"/>
  <c r="R82" i="13"/>
  <c r="S82" i="13"/>
  <c r="T82" i="13"/>
  <c r="U82" i="13"/>
  <c r="I83" i="13"/>
  <c r="J83" i="13"/>
  <c r="K83" i="13"/>
  <c r="L83" i="13"/>
  <c r="M83" i="13"/>
  <c r="N83" i="13"/>
  <c r="O83" i="13"/>
  <c r="P83" i="13"/>
  <c r="Q83" i="13"/>
  <c r="R83" i="13"/>
  <c r="S83" i="13"/>
  <c r="T83" i="13"/>
  <c r="U83" i="13"/>
  <c r="I84" i="13"/>
  <c r="J84" i="13"/>
  <c r="K84" i="13"/>
  <c r="L84" i="13"/>
  <c r="M84" i="13"/>
  <c r="N84" i="13"/>
  <c r="O84" i="13"/>
  <c r="P84" i="13"/>
  <c r="Q84" i="13"/>
  <c r="R84" i="13"/>
  <c r="S84" i="13"/>
  <c r="T84" i="13"/>
  <c r="U84" i="13"/>
  <c r="I85" i="13"/>
  <c r="J85" i="13"/>
  <c r="K85" i="13"/>
  <c r="L85" i="13"/>
  <c r="M85" i="13"/>
  <c r="N85" i="13"/>
  <c r="O85" i="13"/>
  <c r="P85" i="13"/>
  <c r="Q85" i="13"/>
  <c r="R85" i="13"/>
  <c r="S85" i="13"/>
  <c r="T85" i="13"/>
  <c r="U85" i="13"/>
  <c r="I86" i="13"/>
  <c r="J86" i="13"/>
  <c r="K86" i="13"/>
  <c r="L86" i="13"/>
  <c r="M86" i="13"/>
  <c r="N86" i="13"/>
  <c r="O86" i="13"/>
  <c r="P86" i="13"/>
  <c r="Q86" i="13"/>
  <c r="R86" i="13"/>
  <c r="S86" i="13"/>
  <c r="T86" i="13"/>
  <c r="U86" i="13"/>
  <c r="I87" i="13"/>
  <c r="J87" i="13"/>
  <c r="K87" i="13"/>
  <c r="L87" i="13"/>
  <c r="M87" i="13"/>
  <c r="N87" i="13"/>
  <c r="O87" i="13"/>
  <c r="P87" i="13"/>
  <c r="Q87" i="13"/>
  <c r="R87" i="13"/>
  <c r="S87" i="13"/>
  <c r="T87" i="13"/>
  <c r="U87" i="13"/>
  <c r="I88" i="13"/>
  <c r="J88" i="13"/>
  <c r="K88" i="13"/>
  <c r="L88" i="13"/>
  <c r="M88" i="13"/>
  <c r="N88" i="13"/>
  <c r="O88" i="13"/>
  <c r="P88" i="13"/>
  <c r="Q88" i="13"/>
  <c r="R88" i="13"/>
  <c r="S88" i="13"/>
  <c r="T88" i="13"/>
  <c r="U88" i="13"/>
  <c r="I89" i="13"/>
  <c r="J89" i="13"/>
  <c r="K89" i="13"/>
  <c r="L89" i="13"/>
  <c r="M89" i="13"/>
  <c r="N89" i="13"/>
  <c r="O89" i="13"/>
  <c r="P89" i="13"/>
  <c r="Q89" i="13"/>
  <c r="R89" i="13"/>
  <c r="S89" i="13"/>
  <c r="T89" i="13"/>
  <c r="U89" i="13"/>
  <c r="I90" i="13"/>
  <c r="J90" i="13"/>
  <c r="K90" i="13"/>
  <c r="L90" i="13"/>
  <c r="M90" i="13"/>
  <c r="N90" i="13"/>
  <c r="O90" i="13"/>
  <c r="P90" i="13"/>
  <c r="Q90" i="13"/>
  <c r="R90" i="13"/>
  <c r="S90" i="13"/>
  <c r="T90" i="13"/>
  <c r="U90" i="13"/>
  <c r="I91" i="13"/>
  <c r="J91" i="13"/>
  <c r="K91" i="13"/>
  <c r="L91" i="13"/>
  <c r="M91" i="13"/>
  <c r="N91" i="13"/>
  <c r="O91" i="13"/>
  <c r="P91" i="13"/>
  <c r="Q91" i="13"/>
  <c r="R91" i="13"/>
  <c r="S91" i="13"/>
  <c r="T91" i="13"/>
  <c r="U91" i="13"/>
  <c r="I92" i="13"/>
  <c r="J92" i="13"/>
  <c r="K92" i="13"/>
  <c r="L92" i="13"/>
  <c r="M92" i="13"/>
  <c r="N92" i="13"/>
  <c r="O92" i="13"/>
  <c r="P92" i="13"/>
  <c r="Q92" i="13"/>
  <c r="R92" i="13"/>
  <c r="S92" i="13"/>
  <c r="T92" i="13"/>
  <c r="U92" i="13"/>
  <c r="I93" i="13"/>
  <c r="J93" i="13"/>
  <c r="K93" i="13"/>
  <c r="L93" i="13"/>
  <c r="M93" i="13"/>
  <c r="N93" i="13"/>
  <c r="O93" i="13"/>
  <c r="P93" i="13"/>
  <c r="Q93" i="13"/>
  <c r="R93" i="13"/>
  <c r="S93" i="13"/>
  <c r="T93" i="13"/>
  <c r="U93" i="13"/>
  <c r="I94" i="13"/>
  <c r="J94" i="13"/>
  <c r="K94" i="13"/>
  <c r="L94" i="13"/>
  <c r="M94" i="13"/>
  <c r="N94" i="13"/>
  <c r="O94" i="13"/>
  <c r="P94" i="13"/>
  <c r="Q94" i="13"/>
  <c r="R94" i="13"/>
  <c r="S94" i="13"/>
  <c r="T94" i="13"/>
  <c r="U94" i="13"/>
  <c r="I95" i="13"/>
  <c r="J95" i="13"/>
  <c r="K95" i="13"/>
  <c r="L95" i="13"/>
  <c r="M95" i="13"/>
  <c r="N95" i="13"/>
  <c r="O95" i="13"/>
  <c r="P95" i="13"/>
  <c r="Q95" i="13"/>
  <c r="R95" i="13"/>
  <c r="S95" i="13"/>
  <c r="T95" i="13"/>
  <c r="U95" i="13"/>
  <c r="I96" i="13"/>
  <c r="J96" i="13"/>
  <c r="K96" i="13"/>
  <c r="L96" i="13"/>
  <c r="M96" i="13"/>
  <c r="N96" i="13"/>
  <c r="O96" i="13"/>
  <c r="P96" i="13"/>
  <c r="Q96" i="13"/>
  <c r="R96" i="13"/>
  <c r="S96" i="13"/>
  <c r="T96" i="13"/>
  <c r="U96" i="13"/>
  <c r="I97" i="13"/>
  <c r="J97" i="13"/>
  <c r="K97" i="13"/>
  <c r="L97" i="13"/>
  <c r="M97" i="13"/>
  <c r="N97" i="13"/>
  <c r="O97" i="13"/>
  <c r="P97" i="13"/>
  <c r="Q97" i="13"/>
  <c r="R97" i="13"/>
  <c r="S97" i="13"/>
  <c r="T97" i="13"/>
  <c r="U97" i="13"/>
  <c r="I98" i="13"/>
  <c r="J98" i="13"/>
  <c r="K98" i="13"/>
  <c r="L98" i="13"/>
  <c r="M98" i="13"/>
  <c r="N98" i="13"/>
  <c r="O98" i="13"/>
  <c r="P98" i="13"/>
  <c r="Q98" i="13"/>
  <c r="R98" i="13"/>
  <c r="S98" i="13"/>
  <c r="T98" i="13"/>
  <c r="U98" i="13"/>
  <c r="I99" i="13"/>
  <c r="J99" i="13"/>
  <c r="K99" i="13"/>
  <c r="L99" i="13"/>
  <c r="M99" i="13"/>
  <c r="N99" i="13"/>
  <c r="O99" i="13"/>
  <c r="P99" i="13"/>
  <c r="Q99" i="13"/>
  <c r="R99" i="13"/>
  <c r="S99" i="13"/>
  <c r="T99" i="13"/>
  <c r="U99" i="13"/>
  <c r="I100" i="13"/>
  <c r="J100" i="13"/>
  <c r="K100" i="13"/>
  <c r="L100" i="13"/>
  <c r="M100" i="13"/>
  <c r="N100" i="13"/>
  <c r="O100" i="13"/>
  <c r="P100" i="13"/>
  <c r="Q100" i="13"/>
  <c r="R100" i="13"/>
  <c r="S100" i="13"/>
  <c r="T100" i="13"/>
  <c r="U100" i="13"/>
  <c r="I4" i="12"/>
  <c r="J4" i="12"/>
  <c r="K4" i="12"/>
  <c r="L4" i="12"/>
  <c r="M4" i="12"/>
  <c r="N4" i="12"/>
  <c r="O4" i="12"/>
  <c r="P4" i="12"/>
  <c r="Q4" i="12"/>
  <c r="R4" i="12"/>
  <c r="S4" i="12"/>
  <c r="T4" i="12"/>
  <c r="U4" i="12"/>
  <c r="I5" i="12"/>
  <c r="J5" i="12"/>
  <c r="K5" i="12"/>
  <c r="L5" i="12"/>
  <c r="M5" i="12"/>
  <c r="N5" i="12"/>
  <c r="O5" i="12"/>
  <c r="P5" i="12"/>
  <c r="Q5" i="12"/>
  <c r="R5" i="12"/>
  <c r="S5" i="12"/>
  <c r="T5" i="12"/>
  <c r="U5" i="12"/>
  <c r="I6" i="12"/>
  <c r="J6" i="12"/>
  <c r="K6" i="12"/>
  <c r="L6" i="12"/>
  <c r="M6" i="12"/>
  <c r="N6" i="12"/>
  <c r="O6" i="12"/>
  <c r="P6" i="12"/>
  <c r="Q6" i="12"/>
  <c r="R6" i="12"/>
  <c r="S6" i="12"/>
  <c r="T6" i="12"/>
  <c r="U6" i="12"/>
  <c r="I7" i="12"/>
  <c r="J7" i="12"/>
  <c r="K7" i="12"/>
  <c r="L7" i="12"/>
  <c r="M7" i="12"/>
  <c r="N7" i="12"/>
  <c r="O7" i="12"/>
  <c r="P7" i="12"/>
  <c r="Q7" i="12"/>
  <c r="R7" i="12"/>
  <c r="S7" i="12"/>
  <c r="T7" i="12"/>
  <c r="U7" i="12"/>
  <c r="I8" i="12"/>
  <c r="J8" i="12"/>
  <c r="K8" i="12"/>
  <c r="L8" i="12"/>
  <c r="M8" i="12"/>
  <c r="N8" i="12"/>
  <c r="O8" i="12"/>
  <c r="P8" i="12"/>
  <c r="Q8" i="12"/>
  <c r="R8" i="12"/>
  <c r="S8" i="12"/>
  <c r="T8" i="12"/>
  <c r="U8" i="12"/>
  <c r="I9" i="12"/>
  <c r="J9" i="12"/>
  <c r="K9" i="12"/>
  <c r="L9" i="12"/>
  <c r="M9" i="12"/>
  <c r="N9" i="12"/>
  <c r="O9" i="12"/>
  <c r="P9" i="12"/>
  <c r="Q9" i="12"/>
  <c r="R9" i="12"/>
  <c r="S9" i="12"/>
  <c r="T9" i="12"/>
  <c r="U9" i="12"/>
  <c r="I10" i="12"/>
  <c r="J10" i="12"/>
  <c r="K10" i="12"/>
  <c r="L10" i="12"/>
  <c r="M10" i="12"/>
  <c r="N10" i="12"/>
  <c r="O10" i="12"/>
  <c r="P10" i="12"/>
  <c r="Q10" i="12"/>
  <c r="R10" i="12"/>
  <c r="S10" i="12"/>
  <c r="T10" i="12"/>
  <c r="U10" i="12"/>
  <c r="I11" i="12"/>
  <c r="J11" i="12"/>
  <c r="K11" i="12"/>
  <c r="L11" i="12"/>
  <c r="M11" i="12"/>
  <c r="N11" i="12"/>
  <c r="O11" i="12"/>
  <c r="P11" i="12"/>
  <c r="Q11" i="12"/>
  <c r="R11" i="12"/>
  <c r="S11" i="12"/>
  <c r="T11" i="12"/>
  <c r="U11" i="12"/>
  <c r="I12" i="12"/>
  <c r="J12" i="12"/>
  <c r="K12" i="12"/>
  <c r="L12" i="12"/>
  <c r="M12" i="12"/>
  <c r="N12" i="12"/>
  <c r="O12" i="12"/>
  <c r="P12" i="12"/>
  <c r="Q12" i="12"/>
  <c r="R12" i="12"/>
  <c r="S12" i="12"/>
  <c r="T12" i="12"/>
  <c r="U12" i="12"/>
  <c r="I13" i="12"/>
  <c r="J13" i="12"/>
  <c r="K13" i="12"/>
  <c r="L13" i="12"/>
  <c r="M13" i="12"/>
  <c r="N13" i="12"/>
  <c r="O13" i="12"/>
  <c r="P13" i="12"/>
  <c r="Q13" i="12"/>
  <c r="R13" i="12"/>
  <c r="S13" i="12"/>
  <c r="T13" i="12"/>
  <c r="U13" i="12"/>
  <c r="I14" i="12"/>
  <c r="J14" i="12"/>
  <c r="K14" i="12"/>
  <c r="L14" i="12"/>
  <c r="M14" i="12"/>
  <c r="N14" i="12"/>
  <c r="O14" i="12"/>
  <c r="P14" i="12"/>
  <c r="Q14" i="12"/>
  <c r="R14" i="12"/>
  <c r="S14" i="12"/>
  <c r="T14" i="12"/>
  <c r="U14" i="12"/>
  <c r="I15" i="12"/>
  <c r="J15" i="12"/>
  <c r="K15" i="12"/>
  <c r="L15" i="12"/>
  <c r="M15" i="12"/>
  <c r="N15" i="12"/>
  <c r="O15" i="12"/>
  <c r="P15" i="12"/>
  <c r="Q15" i="12"/>
  <c r="R15" i="12"/>
  <c r="S15" i="12"/>
  <c r="T15" i="12"/>
  <c r="U15" i="12"/>
  <c r="I16" i="12"/>
  <c r="J16" i="12"/>
  <c r="K16" i="12"/>
  <c r="L16" i="12"/>
  <c r="M16" i="12"/>
  <c r="N16" i="12"/>
  <c r="O16" i="12"/>
  <c r="P16" i="12"/>
  <c r="Q16" i="12"/>
  <c r="R16" i="12"/>
  <c r="S16" i="12"/>
  <c r="T16" i="12"/>
  <c r="U16" i="12"/>
  <c r="I17" i="12"/>
  <c r="J17" i="12"/>
  <c r="K17" i="12"/>
  <c r="L17" i="12"/>
  <c r="M17" i="12"/>
  <c r="N17" i="12"/>
  <c r="O17" i="12"/>
  <c r="P17" i="12"/>
  <c r="Q17" i="12"/>
  <c r="R17" i="12"/>
  <c r="S17" i="12"/>
  <c r="T17" i="12"/>
  <c r="U17" i="12"/>
  <c r="I18" i="12"/>
  <c r="J18" i="12"/>
  <c r="K18" i="12"/>
  <c r="L18" i="12"/>
  <c r="M18" i="12"/>
  <c r="N18" i="12"/>
  <c r="O18" i="12"/>
  <c r="P18" i="12"/>
  <c r="Q18" i="12"/>
  <c r="R18" i="12"/>
  <c r="S18" i="12"/>
  <c r="T18" i="12"/>
  <c r="U18" i="12"/>
  <c r="I19" i="12"/>
  <c r="J19" i="12"/>
  <c r="K19" i="12"/>
  <c r="L19" i="12"/>
  <c r="M19" i="12"/>
  <c r="N19" i="12"/>
  <c r="O19" i="12"/>
  <c r="P19" i="12"/>
  <c r="Q19" i="12"/>
  <c r="R19" i="12"/>
  <c r="S19" i="12"/>
  <c r="T19" i="12"/>
  <c r="U19" i="12"/>
  <c r="I20" i="12"/>
  <c r="J20" i="12"/>
  <c r="K20" i="12"/>
  <c r="L20" i="12"/>
  <c r="M20" i="12"/>
  <c r="N20" i="12"/>
  <c r="O20" i="12"/>
  <c r="P20" i="12"/>
  <c r="Q20" i="12"/>
  <c r="R20" i="12"/>
  <c r="S20" i="12"/>
  <c r="T20" i="12"/>
  <c r="U20" i="12"/>
  <c r="I21" i="12"/>
  <c r="J21" i="12"/>
  <c r="K21" i="12"/>
  <c r="L21" i="12"/>
  <c r="M21" i="12"/>
  <c r="N21" i="12"/>
  <c r="O21" i="12"/>
  <c r="P21" i="12"/>
  <c r="Q21" i="12"/>
  <c r="R21" i="12"/>
  <c r="S21" i="12"/>
  <c r="T21" i="12"/>
  <c r="U21" i="12"/>
  <c r="I22" i="12"/>
  <c r="J22" i="12"/>
  <c r="K22" i="12"/>
  <c r="L22" i="12"/>
  <c r="M22" i="12"/>
  <c r="N22" i="12"/>
  <c r="O22" i="12"/>
  <c r="P22" i="12"/>
  <c r="Q22" i="12"/>
  <c r="R22" i="12"/>
  <c r="S22" i="12"/>
  <c r="T22" i="12"/>
  <c r="U22" i="12"/>
  <c r="I23" i="12"/>
  <c r="J23" i="12"/>
  <c r="K23" i="12"/>
  <c r="L23" i="12"/>
  <c r="M23" i="12"/>
  <c r="N23" i="12"/>
  <c r="O23" i="12"/>
  <c r="P23" i="12"/>
  <c r="Q23" i="12"/>
  <c r="R23" i="12"/>
  <c r="S23" i="12"/>
  <c r="T23" i="12"/>
  <c r="U23" i="12"/>
  <c r="I24" i="12"/>
  <c r="J24" i="12"/>
  <c r="K24" i="12"/>
  <c r="L24" i="12"/>
  <c r="M24" i="12"/>
  <c r="N24" i="12"/>
  <c r="O24" i="12"/>
  <c r="P24" i="12"/>
  <c r="Q24" i="12"/>
  <c r="R24" i="12"/>
  <c r="S24" i="12"/>
  <c r="T24" i="12"/>
  <c r="U24" i="12"/>
  <c r="I25" i="12"/>
  <c r="J25" i="12"/>
  <c r="K25" i="12"/>
  <c r="L25" i="12"/>
  <c r="M25" i="12"/>
  <c r="N25" i="12"/>
  <c r="O25" i="12"/>
  <c r="P25" i="12"/>
  <c r="Q25" i="12"/>
  <c r="R25" i="12"/>
  <c r="S25" i="12"/>
  <c r="T25" i="12"/>
  <c r="U25" i="12"/>
  <c r="I26" i="12"/>
  <c r="J26" i="12"/>
  <c r="K26" i="12"/>
  <c r="L26" i="12"/>
  <c r="M26" i="12"/>
  <c r="N26" i="12"/>
  <c r="O26" i="12"/>
  <c r="P26" i="12"/>
  <c r="Q26" i="12"/>
  <c r="R26" i="12"/>
  <c r="S26" i="12"/>
  <c r="T26" i="12"/>
  <c r="U26" i="12"/>
  <c r="I27" i="12"/>
  <c r="J27" i="12"/>
  <c r="K27" i="12"/>
  <c r="L27" i="12"/>
  <c r="M27" i="12"/>
  <c r="N27" i="12"/>
  <c r="O27" i="12"/>
  <c r="P27" i="12"/>
  <c r="Q27" i="12"/>
  <c r="R27" i="12"/>
  <c r="S27" i="12"/>
  <c r="T27" i="12"/>
  <c r="U27" i="12"/>
  <c r="I28" i="12"/>
  <c r="J28" i="12"/>
  <c r="K28" i="12"/>
  <c r="L28" i="12"/>
  <c r="M28" i="12"/>
  <c r="N28" i="12"/>
  <c r="O28" i="12"/>
  <c r="P28" i="12"/>
  <c r="Q28" i="12"/>
  <c r="R28" i="12"/>
  <c r="S28" i="12"/>
  <c r="T28" i="12"/>
  <c r="U28" i="12"/>
  <c r="I29" i="12"/>
  <c r="J29" i="12"/>
  <c r="K29" i="12"/>
  <c r="L29" i="12"/>
  <c r="M29" i="12"/>
  <c r="N29" i="12"/>
  <c r="O29" i="12"/>
  <c r="P29" i="12"/>
  <c r="Q29" i="12"/>
  <c r="R29" i="12"/>
  <c r="S29" i="12"/>
  <c r="T29" i="12"/>
  <c r="U29" i="12"/>
  <c r="I30" i="12"/>
  <c r="J30" i="12"/>
  <c r="K30" i="12"/>
  <c r="L30" i="12"/>
  <c r="M30" i="12"/>
  <c r="N30" i="12"/>
  <c r="O30" i="12"/>
  <c r="P30" i="12"/>
  <c r="Q30" i="12"/>
  <c r="R30" i="12"/>
  <c r="S30" i="12"/>
  <c r="T30" i="12"/>
  <c r="U30" i="12"/>
  <c r="I31" i="12"/>
  <c r="J31" i="12"/>
  <c r="K31" i="12"/>
  <c r="L31" i="12"/>
  <c r="M31" i="12"/>
  <c r="N31" i="12"/>
  <c r="O31" i="12"/>
  <c r="P31" i="12"/>
  <c r="Q31" i="12"/>
  <c r="R31" i="12"/>
  <c r="S31" i="12"/>
  <c r="T31" i="12"/>
  <c r="U31" i="12"/>
  <c r="I32" i="12"/>
  <c r="J32" i="12"/>
  <c r="K32" i="12"/>
  <c r="L32" i="12"/>
  <c r="M32" i="12"/>
  <c r="N32" i="12"/>
  <c r="O32" i="12"/>
  <c r="P32" i="12"/>
  <c r="Q32" i="12"/>
  <c r="R32" i="12"/>
  <c r="S32" i="12"/>
  <c r="T32" i="12"/>
  <c r="U32" i="12"/>
  <c r="I33" i="12"/>
  <c r="J33" i="12"/>
  <c r="K33" i="12"/>
  <c r="L33" i="12"/>
  <c r="M33" i="12"/>
  <c r="N33" i="12"/>
  <c r="O33" i="12"/>
  <c r="P33" i="12"/>
  <c r="Q33" i="12"/>
  <c r="R33" i="12"/>
  <c r="S33" i="12"/>
  <c r="T33" i="12"/>
  <c r="U33" i="12"/>
  <c r="I34" i="12"/>
  <c r="J34" i="12"/>
  <c r="K34" i="12"/>
  <c r="L34" i="12"/>
  <c r="M34" i="12"/>
  <c r="N34" i="12"/>
  <c r="O34" i="12"/>
  <c r="P34" i="12"/>
  <c r="Q34" i="12"/>
  <c r="R34" i="12"/>
  <c r="S34" i="12"/>
  <c r="T34" i="12"/>
  <c r="U34" i="12"/>
  <c r="I35" i="12"/>
  <c r="J35" i="12"/>
  <c r="K35" i="12"/>
  <c r="L35" i="12"/>
  <c r="M35" i="12"/>
  <c r="N35" i="12"/>
  <c r="O35" i="12"/>
  <c r="P35" i="12"/>
  <c r="Q35" i="12"/>
  <c r="R35" i="12"/>
  <c r="S35" i="12"/>
  <c r="T35" i="12"/>
  <c r="U35" i="12"/>
  <c r="I36" i="12"/>
  <c r="J36" i="12"/>
  <c r="K36" i="12"/>
  <c r="L36" i="12"/>
  <c r="M36" i="12"/>
  <c r="N36" i="12"/>
  <c r="O36" i="12"/>
  <c r="P36" i="12"/>
  <c r="Q36" i="12"/>
  <c r="R36" i="12"/>
  <c r="S36" i="12"/>
  <c r="T36" i="12"/>
  <c r="U36" i="12"/>
  <c r="I37" i="12"/>
  <c r="J37" i="12"/>
  <c r="K37" i="12"/>
  <c r="L37" i="12"/>
  <c r="M37" i="12"/>
  <c r="N37" i="12"/>
  <c r="O37" i="12"/>
  <c r="P37" i="12"/>
  <c r="Q37" i="12"/>
  <c r="R37" i="12"/>
  <c r="S37" i="12"/>
  <c r="T37" i="12"/>
  <c r="U37" i="12"/>
  <c r="I38" i="12"/>
  <c r="J38" i="12"/>
  <c r="K38" i="12"/>
  <c r="L38" i="12"/>
  <c r="M38" i="12"/>
  <c r="N38" i="12"/>
  <c r="O38" i="12"/>
  <c r="P38" i="12"/>
  <c r="Q38" i="12"/>
  <c r="R38" i="12"/>
  <c r="S38" i="12"/>
  <c r="T38" i="12"/>
  <c r="U38" i="12"/>
  <c r="I39" i="12"/>
  <c r="J39" i="12"/>
  <c r="K39" i="12"/>
  <c r="L39" i="12"/>
  <c r="M39" i="12"/>
  <c r="N39" i="12"/>
  <c r="O39" i="12"/>
  <c r="P39" i="12"/>
  <c r="Q39" i="12"/>
  <c r="R39" i="12"/>
  <c r="S39" i="12"/>
  <c r="T39" i="12"/>
  <c r="U39" i="12"/>
  <c r="I40" i="12"/>
  <c r="J40" i="12"/>
  <c r="K40" i="12"/>
  <c r="L40" i="12"/>
  <c r="M40" i="12"/>
  <c r="N40" i="12"/>
  <c r="O40" i="12"/>
  <c r="P40" i="12"/>
  <c r="Q40" i="12"/>
  <c r="R40" i="12"/>
  <c r="S40" i="12"/>
  <c r="T40" i="12"/>
  <c r="U40" i="12"/>
  <c r="I41" i="12"/>
  <c r="J41" i="12"/>
  <c r="K41" i="12"/>
  <c r="L41" i="12"/>
  <c r="M41" i="12"/>
  <c r="N41" i="12"/>
  <c r="O41" i="12"/>
  <c r="P41" i="12"/>
  <c r="Q41" i="12"/>
  <c r="R41" i="12"/>
  <c r="S41" i="12"/>
  <c r="T41" i="12"/>
  <c r="U41" i="12"/>
  <c r="I42" i="12"/>
  <c r="J42" i="12"/>
  <c r="K42" i="12"/>
  <c r="L42" i="12"/>
  <c r="M42" i="12"/>
  <c r="N42" i="12"/>
  <c r="O42" i="12"/>
  <c r="P42" i="12"/>
  <c r="Q42" i="12"/>
  <c r="R42" i="12"/>
  <c r="S42" i="12"/>
  <c r="T42" i="12"/>
  <c r="U42" i="12"/>
  <c r="I43" i="12"/>
  <c r="J43" i="12"/>
  <c r="K43" i="12"/>
  <c r="L43" i="12"/>
  <c r="M43" i="12"/>
  <c r="N43" i="12"/>
  <c r="O43" i="12"/>
  <c r="P43" i="12"/>
  <c r="Q43" i="12"/>
  <c r="R43" i="12"/>
  <c r="S43" i="12"/>
  <c r="T43" i="12"/>
  <c r="U43" i="12"/>
  <c r="I44" i="12"/>
  <c r="J44" i="12"/>
  <c r="K44" i="12"/>
  <c r="L44" i="12"/>
  <c r="M44" i="12"/>
  <c r="N44" i="12"/>
  <c r="O44" i="12"/>
  <c r="P44" i="12"/>
  <c r="Q44" i="12"/>
  <c r="R44" i="12"/>
  <c r="S44" i="12"/>
  <c r="T44" i="12"/>
  <c r="U44" i="12"/>
  <c r="I45" i="12"/>
  <c r="J45" i="12"/>
  <c r="K45" i="12"/>
  <c r="L45" i="12"/>
  <c r="M45" i="12"/>
  <c r="N45" i="12"/>
  <c r="O45" i="12"/>
  <c r="P45" i="12"/>
  <c r="Q45" i="12"/>
  <c r="R45" i="12"/>
  <c r="S45" i="12"/>
  <c r="T45" i="12"/>
  <c r="U45" i="12"/>
  <c r="I46" i="12"/>
  <c r="J46" i="12"/>
  <c r="K46" i="12"/>
  <c r="L46" i="12"/>
  <c r="M46" i="12"/>
  <c r="N46" i="12"/>
  <c r="O46" i="12"/>
  <c r="P46" i="12"/>
  <c r="Q46" i="12"/>
  <c r="R46" i="12"/>
  <c r="S46" i="12"/>
  <c r="T46" i="12"/>
  <c r="U46" i="12"/>
  <c r="I47" i="12"/>
  <c r="J47" i="12"/>
  <c r="K47" i="12"/>
  <c r="L47" i="12"/>
  <c r="M47" i="12"/>
  <c r="N47" i="12"/>
  <c r="O47" i="12"/>
  <c r="P47" i="12"/>
  <c r="Q47" i="12"/>
  <c r="R47" i="12"/>
  <c r="S47" i="12"/>
  <c r="T47" i="12"/>
  <c r="U47" i="12"/>
  <c r="I48" i="12"/>
  <c r="J48" i="12"/>
  <c r="K48" i="12"/>
  <c r="L48" i="12"/>
  <c r="M48" i="12"/>
  <c r="N48" i="12"/>
  <c r="O48" i="12"/>
  <c r="P48" i="12"/>
  <c r="Q48" i="12"/>
  <c r="R48" i="12"/>
  <c r="S48" i="12"/>
  <c r="T48" i="12"/>
  <c r="U48" i="12"/>
  <c r="I49" i="12"/>
  <c r="J49" i="12"/>
  <c r="K49" i="12"/>
  <c r="L49" i="12"/>
  <c r="M49" i="12"/>
  <c r="N49" i="12"/>
  <c r="O49" i="12"/>
  <c r="P49" i="12"/>
  <c r="Q49" i="12"/>
  <c r="R49" i="12"/>
  <c r="S49" i="12"/>
  <c r="T49" i="12"/>
  <c r="U49" i="12"/>
  <c r="I50" i="12"/>
  <c r="J50" i="12"/>
  <c r="K50" i="12"/>
  <c r="L50" i="12"/>
  <c r="M50" i="12"/>
  <c r="N50" i="12"/>
  <c r="O50" i="12"/>
  <c r="P50" i="12"/>
  <c r="Q50" i="12"/>
  <c r="R50" i="12"/>
  <c r="S50" i="12"/>
  <c r="T50" i="12"/>
  <c r="U50" i="12"/>
  <c r="I51" i="12"/>
  <c r="J51" i="12"/>
  <c r="K51" i="12"/>
  <c r="L51" i="12"/>
  <c r="M51" i="12"/>
  <c r="N51" i="12"/>
  <c r="O51" i="12"/>
  <c r="P51" i="12"/>
  <c r="Q51" i="12"/>
  <c r="R51" i="12"/>
  <c r="S51" i="12"/>
  <c r="T51" i="12"/>
  <c r="U51" i="12"/>
  <c r="I52" i="12"/>
  <c r="J52" i="12"/>
  <c r="K52" i="12"/>
  <c r="L52" i="12"/>
  <c r="M52" i="12"/>
  <c r="N52" i="12"/>
  <c r="O52" i="12"/>
  <c r="P52" i="12"/>
  <c r="Q52" i="12"/>
  <c r="R52" i="12"/>
  <c r="S52" i="12"/>
  <c r="T52" i="12"/>
  <c r="U52" i="12"/>
  <c r="I53" i="12"/>
  <c r="J53" i="12"/>
  <c r="K53" i="12"/>
  <c r="L53" i="12"/>
  <c r="M53" i="12"/>
  <c r="N53" i="12"/>
  <c r="O53" i="12"/>
  <c r="P53" i="12"/>
  <c r="Q53" i="12"/>
  <c r="R53" i="12"/>
  <c r="S53" i="12"/>
  <c r="T53" i="12"/>
  <c r="U53" i="12"/>
  <c r="I54" i="12"/>
  <c r="J54" i="12"/>
  <c r="K54" i="12"/>
  <c r="L54" i="12"/>
  <c r="M54" i="12"/>
  <c r="N54" i="12"/>
  <c r="O54" i="12"/>
  <c r="P54" i="12"/>
  <c r="Q54" i="12"/>
  <c r="R54" i="12"/>
  <c r="S54" i="12"/>
  <c r="T54" i="12"/>
  <c r="U54" i="12"/>
  <c r="I55" i="12"/>
  <c r="J55" i="12"/>
  <c r="K55" i="12"/>
  <c r="L55" i="12"/>
  <c r="M55" i="12"/>
  <c r="N55" i="12"/>
  <c r="O55" i="12"/>
  <c r="P55" i="12"/>
  <c r="Q55" i="12"/>
  <c r="R55" i="12"/>
  <c r="S55" i="12"/>
  <c r="T55" i="12"/>
  <c r="U55" i="12"/>
  <c r="I56" i="12"/>
  <c r="J56" i="12"/>
  <c r="K56" i="12"/>
  <c r="L56" i="12"/>
  <c r="M56" i="12"/>
  <c r="N56" i="12"/>
  <c r="O56" i="12"/>
  <c r="P56" i="12"/>
  <c r="Q56" i="12"/>
  <c r="R56" i="12"/>
  <c r="S56" i="12"/>
  <c r="T56" i="12"/>
  <c r="U56" i="12"/>
  <c r="I57" i="12"/>
  <c r="J57" i="12"/>
  <c r="K57" i="12"/>
  <c r="L57" i="12"/>
  <c r="M57" i="12"/>
  <c r="N57" i="12"/>
  <c r="O57" i="12"/>
  <c r="P57" i="12"/>
  <c r="Q57" i="12"/>
  <c r="R57" i="12"/>
  <c r="S57" i="12"/>
  <c r="T57" i="12"/>
  <c r="U57" i="12"/>
  <c r="I58" i="12"/>
  <c r="J58" i="12"/>
  <c r="K58" i="12"/>
  <c r="L58" i="12"/>
  <c r="M58" i="12"/>
  <c r="N58" i="12"/>
  <c r="O58" i="12"/>
  <c r="P58" i="12"/>
  <c r="Q58" i="12"/>
  <c r="R58" i="12"/>
  <c r="S58" i="12"/>
  <c r="T58" i="12"/>
  <c r="U58" i="12"/>
  <c r="I59" i="12"/>
  <c r="J59" i="12"/>
  <c r="K59" i="12"/>
  <c r="L59" i="12"/>
  <c r="M59" i="12"/>
  <c r="N59" i="12"/>
  <c r="O59" i="12"/>
  <c r="P59" i="12"/>
  <c r="Q59" i="12"/>
  <c r="R59" i="12"/>
  <c r="S59" i="12"/>
  <c r="T59" i="12"/>
  <c r="U59" i="12"/>
  <c r="I60" i="12"/>
  <c r="J60" i="12"/>
  <c r="K60" i="12"/>
  <c r="L60" i="12"/>
  <c r="M60" i="12"/>
  <c r="N60" i="12"/>
  <c r="O60" i="12"/>
  <c r="P60" i="12"/>
  <c r="Q60" i="12"/>
  <c r="R60" i="12"/>
  <c r="S60" i="12"/>
  <c r="T60" i="12"/>
  <c r="U60" i="12"/>
  <c r="I61" i="12"/>
  <c r="J61" i="12"/>
  <c r="K61" i="12"/>
  <c r="L61" i="12"/>
  <c r="M61" i="12"/>
  <c r="N61" i="12"/>
  <c r="O61" i="12"/>
  <c r="P61" i="12"/>
  <c r="Q61" i="12"/>
  <c r="R61" i="12"/>
  <c r="S61" i="12"/>
  <c r="T61" i="12"/>
  <c r="U61" i="12"/>
  <c r="I62" i="12"/>
  <c r="J62" i="12"/>
  <c r="K62" i="12"/>
  <c r="L62" i="12"/>
  <c r="M62" i="12"/>
  <c r="N62" i="12"/>
  <c r="O62" i="12"/>
  <c r="P62" i="12"/>
  <c r="Q62" i="12"/>
  <c r="R62" i="12"/>
  <c r="S62" i="12"/>
  <c r="T62" i="12"/>
  <c r="U62" i="12"/>
  <c r="I63" i="12"/>
  <c r="J63" i="12"/>
  <c r="K63" i="12"/>
  <c r="L63" i="12"/>
  <c r="M63" i="12"/>
  <c r="N63" i="12"/>
  <c r="O63" i="12"/>
  <c r="P63" i="12"/>
  <c r="Q63" i="12"/>
  <c r="R63" i="12"/>
  <c r="S63" i="12"/>
  <c r="T63" i="12"/>
  <c r="U63" i="12"/>
  <c r="I64" i="12"/>
  <c r="J64" i="12"/>
  <c r="K64" i="12"/>
  <c r="L64" i="12"/>
  <c r="M64" i="12"/>
  <c r="N64" i="12"/>
  <c r="O64" i="12"/>
  <c r="P64" i="12"/>
  <c r="Q64" i="12"/>
  <c r="R64" i="12"/>
  <c r="S64" i="12"/>
  <c r="T64" i="12"/>
  <c r="U64" i="12"/>
  <c r="I65" i="12"/>
  <c r="J65" i="12"/>
  <c r="K65" i="12"/>
  <c r="L65" i="12"/>
  <c r="M65" i="12"/>
  <c r="N65" i="12"/>
  <c r="O65" i="12"/>
  <c r="P65" i="12"/>
  <c r="Q65" i="12"/>
  <c r="R65" i="12"/>
  <c r="S65" i="12"/>
  <c r="T65" i="12"/>
  <c r="U65" i="12"/>
  <c r="I66" i="12"/>
  <c r="J66" i="12"/>
  <c r="K66" i="12"/>
  <c r="L66" i="12"/>
  <c r="M66" i="12"/>
  <c r="N66" i="12"/>
  <c r="O66" i="12"/>
  <c r="P66" i="12"/>
  <c r="Q66" i="12"/>
  <c r="R66" i="12"/>
  <c r="S66" i="12"/>
  <c r="T66" i="12"/>
  <c r="U66" i="12"/>
  <c r="I67" i="12"/>
  <c r="J67" i="12"/>
  <c r="K67" i="12"/>
  <c r="L67" i="12"/>
  <c r="M67" i="12"/>
  <c r="N67" i="12"/>
  <c r="O67" i="12"/>
  <c r="P67" i="12"/>
  <c r="Q67" i="12"/>
  <c r="R67" i="12"/>
  <c r="S67" i="12"/>
  <c r="T67" i="12"/>
  <c r="U67" i="12"/>
  <c r="I68" i="12"/>
  <c r="J68" i="12"/>
  <c r="K68" i="12"/>
  <c r="L68" i="12"/>
  <c r="M68" i="12"/>
  <c r="N68" i="12"/>
  <c r="O68" i="12"/>
  <c r="P68" i="12"/>
  <c r="Q68" i="12"/>
  <c r="R68" i="12"/>
  <c r="S68" i="12"/>
  <c r="T68" i="12"/>
  <c r="U68" i="12"/>
  <c r="I69" i="12"/>
  <c r="J69" i="12"/>
  <c r="K69" i="12"/>
  <c r="L69" i="12"/>
  <c r="M69" i="12"/>
  <c r="N69" i="12"/>
  <c r="O69" i="12"/>
  <c r="P69" i="12"/>
  <c r="Q69" i="12"/>
  <c r="R69" i="12"/>
  <c r="S69" i="12"/>
  <c r="T69" i="12"/>
  <c r="U69" i="12"/>
  <c r="I70" i="12"/>
  <c r="J70" i="12"/>
  <c r="K70" i="12"/>
  <c r="L70" i="12"/>
  <c r="M70" i="12"/>
  <c r="N70" i="12"/>
  <c r="O70" i="12"/>
  <c r="P70" i="12"/>
  <c r="Q70" i="12"/>
  <c r="R70" i="12"/>
  <c r="S70" i="12"/>
  <c r="T70" i="12"/>
  <c r="U70" i="12"/>
  <c r="I71" i="12"/>
  <c r="J71" i="12"/>
  <c r="K71" i="12"/>
  <c r="L71" i="12"/>
  <c r="M71" i="12"/>
  <c r="N71" i="12"/>
  <c r="O71" i="12"/>
  <c r="P71" i="12"/>
  <c r="Q71" i="12"/>
  <c r="R71" i="12"/>
  <c r="S71" i="12"/>
  <c r="T71" i="12"/>
  <c r="U71" i="12"/>
  <c r="I72" i="12"/>
  <c r="J72" i="12"/>
  <c r="K72" i="12"/>
  <c r="L72" i="12"/>
  <c r="M72" i="12"/>
  <c r="N72" i="12"/>
  <c r="O72" i="12"/>
  <c r="P72" i="12"/>
  <c r="Q72" i="12"/>
  <c r="R72" i="12"/>
  <c r="S72" i="12"/>
  <c r="T72" i="12"/>
  <c r="U72" i="12"/>
  <c r="I73" i="12"/>
  <c r="J73" i="12"/>
  <c r="K73" i="12"/>
  <c r="L73" i="12"/>
  <c r="M73" i="12"/>
  <c r="N73" i="12"/>
  <c r="O73" i="12"/>
  <c r="P73" i="12"/>
  <c r="Q73" i="12"/>
  <c r="R73" i="12"/>
  <c r="S73" i="12"/>
  <c r="T73" i="12"/>
  <c r="U73" i="12"/>
  <c r="I74" i="12"/>
  <c r="J74" i="12"/>
  <c r="K74" i="12"/>
  <c r="L74" i="12"/>
  <c r="M74" i="12"/>
  <c r="N74" i="12"/>
  <c r="O74" i="12"/>
  <c r="P74" i="12"/>
  <c r="Q74" i="12"/>
  <c r="R74" i="12"/>
  <c r="S74" i="12"/>
  <c r="T74" i="12"/>
  <c r="U74" i="12"/>
  <c r="I75" i="12"/>
  <c r="J75" i="12"/>
  <c r="K75" i="12"/>
  <c r="L75" i="12"/>
  <c r="M75" i="12"/>
  <c r="N75" i="12"/>
  <c r="O75" i="12"/>
  <c r="P75" i="12"/>
  <c r="Q75" i="12"/>
  <c r="R75" i="12"/>
  <c r="S75" i="12"/>
  <c r="T75" i="12"/>
  <c r="U75" i="12"/>
  <c r="I76" i="12"/>
  <c r="J76" i="12"/>
  <c r="K76" i="12"/>
  <c r="L76" i="12"/>
  <c r="M76" i="12"/>
  <c r="N76" i="12"/>
  <c r="O76" i="12"/>
  <c r="P76" i="12"/>
  <c r="Q76" i="12"/>
  <c r="R76" i="12"/>
  <c r="S76" i="12"/>
  <c r="T76" i="12"/>
  <c r="U76" i="12"/>
  <c r="I77" i="12"/>
  <c r="J77" i="12"/>
  <c r="K77" i="12"/>
  <c r="L77" i="12"/>
  <c r="M77" i="12"/>
  <c r="N77" i="12"/>
  <c r="O77" i="12"/>
  <c r="P77" i="12"/>
  <c r="Q77" i="12"/>
  <c r="R77" i="12"/>
  <c r="S77" i="12"/>
  <c r="T77" i="12"/>
  <c r="U77" i="12"/>
  <c r="I78" i="12"/>
  <c r="J78" i="12"/>
  <c r="K78" i="12"/>
  <c r="L78" i="12"/>
  <c r="M78" i="12"/>
  <c r="N78" i="12"/>
  <c r="O78" i="12"/>
  <c r="P78" i="12"/>
  <c r="Q78" i="12"/>
  <c r="R78" i="12"/>
  <c r="S78" i="12"/>
  <c r="T78" i="12"/>
  <c r="U78" i="12"/>
  <c r="I79" i="12"/>
  <c r="J79" i="12"/>
  <c r="K79" i="12"/>
  <c r="L79" i="12"/>
  <c r="M79" i="12"/>
  <c r="N79" i="12"/>
  <c r="O79" i="12"/>
  <c r="P79" i="12"/>
  <c r="Q79" i="12"/>
  <c r="R79" i="12"/>
  <c r="S79" i="12"/>
  <c r="T79" i="12"/>
  <c r="U79" i="12"/>
  <c r="I80" i="12"/>
  <c r="J80" i="12"/>
  <c r="K80" i="12"/>
  <c r="L80" i="12"/>
  <c r="M80" i="12"/>
  <c r="N80" i="12"/>
  <c r="O80" i="12"/>
  <c r="P80" i="12"/>
  <c r="Q80" i="12"/>
  <c r="R80" i="12"/>
  <c r="S80" i="12"/>
  <c r="T80" i="12"/>
  <c r="U80" i="12"/>
  <c r="I81" i="12"/>
  <c r="J81" i="12"/>
  <c r="K81" i="12"/>
  <c r="L81" i="12"/>
  <c r="M81" i="12"/>
  <c r="N81" i="12"/>
  <c r="O81" i="12"/>
  <c r="P81" i="12"/>
  <c r="Q81" i="12"/>
  <c r="R81" i="12"/>
  <c r="S81" i="12"/>
  <c r="T81" i="12"/>
  <c r="U81" i="12"/>
  <c r="I82" i="12"/>
  <c r="J82" i="12"/>
  <c r="K82" i="12"/>
  <c r="L82" i="12"/>
  <c r="M82" i="12"/>
  <c r="N82" i="12"/>
  <c r="O82" i="12"/>
  <c r="P82" i="12"/>
  <c r="Q82" i="12"/>
  <c r="R82" i="12"/>
  <c r="S82" i="12"/>
  <c r="T82" i="12"/>
  <c r="U82" i="12"/>
  <c r="I83" i="12"/>
  <c r="J83" i="12"/>
  <c r="K83" i="12"/>
  <c r="L83" i="12"/>
  <c r="M83" i="12"/>
  <c r="N83" i="12"/>
  <c r="O83" i="12"/>
  <c r="P83" i="12"/>
  <c r="Q83" i="12"/>
  <c r="R83" i="12"/>
  <c r="S83" i="12"/>
  <c r="T83" i="12"/>
  <c r="U83" i="12"/>
  <c r="I84" i="12"/>
  <c r="J84" i="12"/>
  <c r="K84" i="12"/>
  <c r="L84" i="12"/>
  <c r="M84" i="12"/>
  <c r="N84" i="12"/>
  <c r="O84" i="12"/>
  <c r="P84" i="12"/>
  <c r="Q84" i="12"/>
  <c r="R84" i="12"/>
  <c r="S84" i="12"/>
  <c r="T84" i="12"/>
  <c r="U84" i="12"/>
  <c r="I85" i="12"/>
  <c r="J85" i="12"/>
  <c r="K85" i="12"/>
  <c r="L85" i="12"/>
  <c r="M85" i="12"/>
  <c r="N85" i="12"/>
  <c r="O85" i="12"/>
  <c r="P85" i="12"/>
  <c r="Q85" i="12"/>
  <c r="R85" i="12"/>
  <c r="S85" i="12"/>
  <c r="T85" i="12"/>
  <c r="U85" i="12"/>
  <c r="I86" i="12"/>
  <c r="J86" i="12"/>
  <c r="K86" i="12"/>
  <c r="L86" i="12"/>
  <c r="M86" i="12"/>
  <c r="N86" i="12"/>
  <c r="O86" i="12"/>
  <c r="P86" i="12"/>
  <c r="Q86" i="12"/>
  <c r="R86" i="12"/>
  <c r="S86" i="12"/>
  <c r="T86" i="12"/>
  <c r="U86" i="12"/>
  <c r="I87" i="12"/>
  <c r="J87" i="12"/>
  <c r="K87" i="12"/>
  <c r="L87" i="12"/>
  <c r="M87" i="12"/>
  <c r="N87" i="12"/>
  <c r="O87" i="12"/>
  <c r="P87" i="12"/>
  <c r="Q87" i="12"/>
  <c r="R87" i="12"/>
  <c r="S87" i="12"/>
  <c r="T87" i="12"/>
  <c r="U87" i="12"/>
  <c r="I88" i="12"/>
  <c r="J88" i="12"/>
  <c r="K88" i="12"/>
  <c r="L88" i="12"/>
  <c r="M88" i="12"/>
  <c r="N88" i="12"/>
  <c r="O88" i="12"/>
  <c r="P88" i="12"/>
  <c r="Q88" i="12"/>
  <c r="R88" i="12"/>
  <c r="S88" i="12"/>
  <c r="T88" i="12"/>
  <c r="U88" i="12"/>
  <c r="I89" i="12"/>
  <c r="J89" i="12"/>
  <c r="K89" i="12"/>
  <c r="L89" i="12"/>
  <c r="M89" i="12"/>
  <c r="N89" i="12"/>
  <c r="O89" i="12"/>
  <c r="P89" i="12"/>
  <c r="Q89" i="12"/>
  <c r="R89" i="12"/>
  <c r="S89" i="12"/>
  <c r="T89" i="12"/>
  <c r="U89" i="12"/>
  <c r="I90" i="12"/>
  <c r="J90" i="12"/>
  <c r="K90" i="12"/>
  <c r="L90" i="12"/>
  <c r="M90" i="12"/>
  <c r="N90" i="12"/>
  <c r="O90" i="12"/>
  <c r="P90" i="12"/>
  <c r="Q90" i="12"/>
  <c r="R90" i="12"/>
  <c r="S90" i="12"/>
  <c r="T90" i="12"/>
  <c r="U90" i="12"/>
  <c r="I91" i="12"/>
  <c r="J91" i="12"/>
  <c r="K91" i="12"/>
  <c r="L91" i="12"/>
  <c r="M91" i="12"/>
  <c r="N91" i="12"/>
  <c r="O91" i="12"/>
  <c r="P91" i="12"/>
  <c r="Q91" i="12"/>
  <c r="R91" i="12"/>
  <c r="S91" i="12"/>
  <c r="T91" i="12"/>
  <c r="U91" i="12"/>
  <c r="I92" i="12"/>
  <c r="J92" i="12"/>
  <c r="K92" i="12"/>
  <c r="L92" i="12"/>
  <c r="M92" i="12"/>
  <c r="N92" i="12"/>
  <c r="O92" i="12"/>
  <c r="P92" i="12"/>
  <c r="Q92" i="12"/>
  <c r="R92" i="12"/>
  <c r="S92" i="12"/>
  <c r="T92" i="12"/>
  <c r="U92" i="12"/>
  <c r="I93" i="12"/>
  <c r="J93" i="12"/>
  <c r="K93" i="12"/>
  <c r="L93" i="12"/>
  <c r="M93" i="12"/>
  <c r="N93" i="12"/>
  <c r="O93" i="12"/>
  <c r="P93" i="12"/>
  <c r="Q93" i="12"/>
  <c r="R93" i="12"/>
  <c r="S93" i="12"/>
  <c r="T93" i="12"/>
  <c r="U93" i="12"/>
  <c r="I94" i="12"/>
  <c r="J94" i="12"/>
  <c r="K94" i="12"/>
  <c r="L94" i="12"/>
  <c r="M94" i="12"/>
  <c r="N94" i="12"/>
  <c r="O94" i="12"/>
  <c r="P94" i="12"/>
  <c r="Q94" i="12"/>
  <c r="R94" i="12"/>
  <c r="S94" i="12"/>
  <c r="T94" i="12"/>
  <c r="U94" i="12"/>
  <c r="I95" i="12"/>
  <c r="J95" i="12"/>
  <c r="K95" i="12"/>
  <c r="L95" i="12"/>
  <c r="M95" i="12"/>
  <c r="N95" i="12"/>
  <c r="O95" i="12"/>
  <c r="P95" i="12"/>
  <c r="Q95" i="12"/>
  <c r="R95" i="12"/>
  <c r="S95" i="12"/>
  <c r="T95" i="12"/>
  <c r="U95" i="12"/>
  <c r="I96" i="12"/>
  <c r="J96" i="12"/>
  <c r="K96" i="12"/>
  <c r="L96" i="12"/>
  <c r="M96" i="12"/>
  <c r="N96" i="12"/>
  <c r="O96" i="12"/>
  <c r="P96" i="12"/>
  <c r="Q96" i="12"/>
  <c r="R96" i="12"/>
  <c r="S96" i="12"/>
  <c r="T96" i="12"/>
  <c r="U96" i="12"/>
  <c r="I97" i="12"/>
  <c r="J97" i="12"/>
  <c r="K97" i="12"/>
  <c r="L97" i="12"/>
  <c r="M97" i="12"/>
  <c r="N97" i="12"/>
  <c r="O97" i="12"/>
  <c r="P97" i="12"/>
  <c r="Q97" i="12"/>
  <c r="R97" i="12"/>
  <c r="S97" i="12"/>
  <c r="T97" i="12"/>
  <c r="U97" i="12"/>
  <c r="I98" i="12"/>
  <c r="J98" i="12"/>
  <c r="K98" i="12"/>
  <c r="L98" i="12"/>
  <c r="M98" i="12"/>
  <c r="N98" i="12"/>
  <c r="O98" i="12"/>
  <c r="P98" i="12"/>
  <c r="Q98" i="12"/>
  <c r="R98" i="12"/>
  <c r="S98" i="12"/>
  <c r="T98" i="12"/>
  <c r="U98" i="12"/>
  <c r="I99" i="12"/>
  <c r="J99" i="12"/>
  <c r="K99" i="12"/>
  <c r="L99" i="12"/>
  <c r="M99" i="12"/>
  <c r="N99" i="12"/>
  <c r="O99" i="12"/>
  <c r="P99" i="12"/>
  <c r="Q99" i="12"/>
  <c r="R99" i="12"/>
  <c r="S99" i="12"/>
  <c r="T99" i="12"/>
  <c r="U99" i="12"/>
  <c r="I100" i="12"/>
  <c r="J100" i="12"/>
  <c r="K100" i="12"/>
  <c r="L100" i="12"/>
  <c r="M100" i="12"/>
  <c r="N100" i="12"/>
  <c r="O100" i="12"/>
  <c r="P100" i="12"/>
  <c r="Q100" i="12"/>
  <c r="R100" i="12"/>
  <c r="S100" i="12"/>
  <c r="T100" i="12"/>
  <c r="U100" i="12"/>
  <c r="I4" i="11"/>
  <c r="J4" i="11"/>
  <c r="K4" i="11"/>
  <c r="L4" i="11"/>
  <c r="M4" i="11"/>
  <c r="N4" i="11"/>
  <c r="O4" i="11"/>
  <c r="P4" i="11"/>
  <c r="Q4" i="11"/>
  <c r="R4" i="11"/>
  <c r="S4" i="11"/>
  <c r="T4" i="11"/>
  <c r="U4" i="11"/>
  <c r="I5" i="11"/>
  <c r="J5" i="11"/>
  <c r="K5" i="11"/>
  <c r="L5" i="11"/>
  <c r="M5" i="11"/>
  <c r="N5" i="11"/>
  <c r="O5" i="11"/>
  <c r="P5" i="11"/>
  <c r="Q5" i="11"/>
  <c r="R5" i="11"/>
  <c r="S5" i="11"/>
  <c r="T5" i="11"/>
  <c r="U5" i="11"/>
  <c r="I6" i="11"/>
  <c r="J6" i="11"/>
  <c r="K6" i="11"/>
  <c r="L6" i="11"/>
  <c r="M6" i="11"/>
  <c r="N6" i="11"/>
  <c r="O6" i="11"/>
  <c r="P6" i="11"/>
  <c r="Q6" i="11"/>
  <c r="R6" i="11"/>
  <c r="S6" i="11"/>
  <c r="T6" i="11"/>
  <c r="U6" i="11"/>
  <c r="I7" i="11"/>
  <c r="J7" i="11"/>
  <c r="K7" i="11"/>
  <c r="L7" i="11"/>
  <c r="M7" i="11"/>
  <c r="N7" i="11"/>
  <c r="O7" i="11"/>
  <c r="P7" i="11"/>
  <c r="Q7" i="11"/>
  <c r="R7" i="11"/>
  <c r="S7" i="11"/>
  <c r="T7" i="11"/>
  <c r="U7" i="11"/>
  <c r="I8" i="11"/>
  <c r="J8" i="11"/>
  <c r="K8" i="11"/>
  <c r="L8" i="11"/>
  <c r="M8" i="11"/>
  <c r="N8" i="11"/>
  <c r="O8" i="11"/>
  <c r="P8" i="11"/>
  <c r="Q8" i="11"/>
  <c r="R8" i="11"/>
  <c r="S8" i="11"/>
  <c r="T8" i="11"/>
  <c r="U8" i="11"/>
  <c r="I9" i="11"/>
  <c r="J9" i="11"/>
  <c r="K9" i="11"/>
  <c r="L9" i="11"/>
  <c r="M9" i="11"/>
  <c r="N9" i="11"/>
  <c r="O9" i="11"/>
  <c r="P9" i="11"/>
  <c r="Q9" i="11"/>
  <c r="R9" i="11"/>
  <c r="S9" i="11"/>
  <c r="T9" i="11"/>
  <c r="U9" i="11"/>
  <c r="I10" i="11"/>
  <c r="J10" i="11"/>
  <c r="K10" i="11"/>
  <c r="L10" i="11"/>
  <c r="M10" i="11"/>
  <c r="N10" i="11"/>
  <c r="O10" i="11"/>
  <c r="P10" i="11"/>
  <c r="Q10" i="11"/>
  <c r="R10" i="11"/>
  <c r="S10" i="11"/>
  <c r="T10" i="11"/>
  <c r="U10" i="11"/>
  <c r="I11" i="11"/>
  <c r="J11" i="11"/>
  <c r="K11" i="11"/>
  <c r="L11" i="11"/>
  <c r="M11" i="11"/>
  <c r="N11" i="11"/>
  <c r="O11" i="11"/>
  <c r="P11" i="11"/>
  <c r="Q11" i="11"/>
  <c r="R11" i="11"/>
  <c r="S11" i="11"/>
  <c r="T11" i="11"/>
  <c r="U11" i="11"/>
  <c r="I12" i="11"/>
  <c r="J12" i="11"/>
  <c r="K12" i="11"/>
  <c r="L12" i="11"/>
  <c r="M12" i="11"/>
  <c r="N12" i="11"/>
  <c r="O12" i="11"/>
  <c r="P12" i="11"/>
  <c r="Q12" i="11"/>
  <c r="R12" i="11"/>
  <c r="S12" i="11"/>
  <c r="T12" i="11"/>
  <c r="U12" i="11"/>
  <c r="I13" i="11"/>
  <c r="J13" i="11"/>
  <c r="K13" i="11"/>
  <c r="L13" i="11"/>
  <c r="M13" i="11"/>
  <c r="N13" i="11"/>
  <c r="O13" i="11"/>
  <c r="P13" i="11"/>
  <c r="Q13" i="11"/>
  <c r="R13" i="11"/>
  <c r="S13" i="11"/>
  <c r="T13" i="11"/>
  <c r="U13" i="11"/>
  <c r="I14" i="11"/>
  <c r="J14" i="11"/>
  <c r="K14" i="11"/>
  <c r="L14" i="11"/>
  <c r="M14" i="11"/>
  <c r="N14" i="11"/>
  <c r="O14" i="11"/>
  <c r="P14" i="11"/>
  <c r="Q14" i="11"/>
  <c r="R14" i="11"/>
  <c r="S14" i="11"/>
  <c r="T14" i="11"/>
  <c r="U14" i="11"/>
  <c r="I15" i="11"/>
  <c r="J15" i="11"/>
  <c r="K15" i="11"/>
  <c r="L15" i="11"/>
  <c r="M15" i="11"/>
  <c r="N15" i="11"/>
  <c r="O15" i="11"/>
  <c r="P15" i="11"/>
  <c r="Q15" i="11"/>
  <c r="R15" i="11"/>
  <c r="S15" i="11"/>
  <c r="T15" i="11"/>
  <c r="U15" i="11"/>
  <c r="I16" i="11"/>
  <c r="J16" i="11"/>
  <c r="K16" i="11"/>
  <c r="L16" i="11"/>
  <c r="M16" i="11"/>
  <c r="N16" i="11"/>
  <c r="O16" i="11"/>
  <c r="P16" i="11"/>
  <c r="Q16" i="11"/>
  <c r="R16" i="11"/>
  <c r="S16" i="11"/>
  <c r="T16" i="11"/>
  <c r="U16" i="11"/>
  <c r="I17" i="11"/>
  <c r="J17" i="11"/>
  <c r="K17" i="11"/>
  <c r="L17" i="11"/>
  <c r="M17" i="11"/>
  <c r="N17" i="11"/>
  <c r="O17" i="11"/>
  <c r="P17" i="11"/>
  <c r="Q17" i="11"/>
  <c r="R17" i="11"/>
  <c r="S17" i="11"/>
  <c r="T17" i="11"/>
  <c r="U17" i="11"/>
  <c r="I18" i="11"/>
  <c r="J18" i="11"/>
  <c r="K18" i="11"/>
  <c r="L18" i="11"/>
  <c r="M18" i="11"/>
  <c r="N18" i="11"/>
  <c r="O18" i="11"/>
  <c r="P18" i="11"/>
  <c r="Q18" i="11"/>
  <c r="R18" i="11"/>
  <c r="S18" i="11"/>
  <c r="T18" i="11"/>
  <c r="U18" i="11"/>
  <c r="I19" i="11"/>
  <c r="J19" i="11"/>
  <c r="K19" i="11"/>
  <c r="L19" i="11"/>
  <c r="M19" i="11"/>
  <c r="N19" i="11"/>
  <c r="O19" i="11"/>
  <c r="P19" i="11"/>
  <c r="Q19" i="11"/>
  <c r="R19" i="11"/>
  <c r="S19" i="11"/>
  <c r="T19" i="11"/>
  <c r="U19" i="11"/>
  <c r="I20" i="11"/>
  <c r="J20" i="11"/>
  <c r="K20" i="11"/>
  <c r="L20" i="11"/>
  <c r="M20" i="11"/>
  <c r="N20" i="11"/>
  <c r="O20" i="11"/>
  <c r="P20" i="11"/>
  <c r="Q20" i="11"/>
  <c r="R20" i="11"/>
  <c r="S20" i="11"/>
  <c r="T20" i="11"/>
  <c r="U20" i="11"/>
  <c r="I21" i="11"/>
  <c r="J21" i="11"/>
  <c r="K21" i="11"/>
  <c r="L21" i="11"/>
  <c r="M21" i="11"/>
  <c r="N21" i="11"/>
  <c r="O21" i="11"/>
  <c r="P21" i="11"/>
  <c r="Q21" i="11"/>
  <c r="R21" i="11"/>
  <c r="S21" i="11"/>
  <c r="T21" i="11"/>
  <c r="U21" i="11"/>
  <c r="I22" i="11"/>
  <c r="J22" i="11"/>
  <c r="K22" i="11"/>
  <c r="L22" i="11"/>
  <c r="M22" i="11"/>
  <c r="N22" i="11"/>
  <c r="O22" i="11"/>
  <c r="P22" i="11"/>
  <c r="Q22" i="11"/>
  <c r="R22" i="11"/>
  <c r="S22" i="11"/>
  <c r="T22" i="11"/>
  <c r="U22" i="11"/>
  <c r="I23" i="11"/>
  <c r="J23" i="11"/>
  <c r="K23" i="11"/>
  <c r="L23" i="11"/>
  <c r="M23" i="11"/>
  <c r="N23" i="11"/>
  <c r="O23" i="11"/>
  <c r="P23" i="11"/>
  <c r="Q23" i="11"/>
  <c r="R23" i="11"/>
  <c r="S23" i="11"/>
  <c r="T23" i="11"/>
  <c r="U23" i="11"/>
  <c r="I24" i="11"/>
  <c r="J24" i="11"/>
  <c r="K24" i="11"/>
  <c r="L24" i="11"/>
  <c r="M24" i="11"/>
  <c r="N24" i="11"/>
  <c r="O24" i="11"/>
  <c r="P24" i="11"/>
  <c r="Q24" i="11"/>
  <c r="R24" i="11"/>
  <c r="S24" i="11"/>
  <c r="T24" i="11"/>
  <c r="U24" i="11"/>
  <c r="I25" i="11"/>
  <c r="J25" i="11"/>
  <c r="K25" i="11"/>
  <c r="L25" i="11"/>
  <c r="M25" i="11"/>
  <c r="N25" i="11"/>
  <c r="O25" i="11"/>
  <c r="P25" i="11"/>
  <c r="Q25" i="11"/>
  <c r="R25" i="11"/>
  <c r="S25" i="11"/>
  <c r="T25" i="11"/>
  <c r="U25" i="11"/>
  <c r="I26" i="11"/>
  <c r="J26" i="11"/>
  <c r="K26" i="11"/>
  <c r="L26" i="11"/>
  <c r="M26" i="11"/>
  <c r="N26" i="11"/>
  <c r="O26" i="11"/>
  <c r="P26" i="11"/>
  <c r="Q26" i="11"/>
  <c r="R26" i="11"/>
  <c r="S26" i="11"/>
  <c r="T26" i="11"/>
  <c r="U26" i="11"/>
  <c r="I27" i="11"/>
  <c r="J27" i="11"/>
  <c r="K27" i="11"/>
  <c r="L27" i="11"/>
  <c r="M27" i="11"/>
  <c r="N27" i="11"/>
  <c r="O27" i="11"/>
  <c r="P27" i="11"/>
  <c r="Q27" i="11"/>
  <c r="R27" i="11"/>
  <c r="S27" i="11"/>
  <c r="T27" i="11"/>
  <c r="U27" i="11"/>
  <c r="I28" i="11"/>
  <c r="J28" i="11"/>
  <c r="K28" i="11"/>
  <c r="L28" i="11"/>
  <c r="M28" i="11"/>
  <c r="N28" i="11"/>
  <c r="O28" i="11"/>
  <c r="P28" i="11"/>
  <c r="Q28" i="11"/>
  <c r="R28" i="11"/>
  <c r="S28" i="11"/>
  <c r="T28" i="11"/>
  <c r="U28" i="11"/>
  <c r="I29" i="11"/>
  <c r="J29" i="11"/>
  <c r="K29" i="11"/>
  <c r="L29" i="11"/>
  <c r="M29" i="11"/>
  <c r="N29" i="11"/>
  <c r="O29" i="11"/>
  <c r="P29" i="11"/>
  <c r="Q29" i="11"/>
  <c r="R29" i="11"/>
  <c r="S29" i="11"/>
  <c r="T29" i="11"/>
  <c r="U29" i="11"/>
  <c r="I30" i="11"/>
  <c r="J30" i="11"/>
  <c r="K30" i="11"/>
  <c r="L30" i="11"/>
  <c r="M30" i="11"/>
  <c r="N30" i="11"/>
  <c r="O30" i="11"/>
  <c r="P30" i="11"/>
  <c r="Q30" i="11"/>
  <c r="R30" i="11"/>
  <c r="S30" i="11"/>
  <c r="T30" i="11"/>
  <c r="U30" i="11"/>
  <c r="I31" i="11"/>
  <c r="J31" i="11"/>
  <c r="K31" i="11"/>
  <c r="L31" i="11"/>
  <c r="M31" i="11"/>
  <c r="N31" i="11"/>
  <c r="O31" i="11"/>
  <c r="P31" i="11"/>
  <c r="Q31" i="11"/>
  <c r="R31" i="11"/>
  <c r="S31" i="11"/>
  <c r="T31" i="11"/>
  <c r="U31" i="11"/>
  <c r="I32" i="11"/>
  <c r="J32" i="11"/>
  <c r="K32" i="11"/>
  <c r="L32" i="11"/>
  <c r="M32" i="11"/>
  <c r="N32" i="11"/>
  <c r="O32" i="11"/>
  <c r="P32" i="11"/>
  <c r="Q32" i="11"/>
  <c r="R32" i="11"/>
  <c r="S32" i="11"/>
  <c r="T32" i="11"/>
  <c r="U32" i="11"/>
  <c r="I33" i="11"/>
  <c r="J33" i="11"/>
  <c r="K33" i="11"/>
  <c r="L33" i="11"/>
  <c r="M33" i="11"/>
  <c r="N33" i="11"/>
  <c r="O33" i="11"/>
  <c r="P33" i="11"/>
  <c r="Q33" i="11"/>
  <c r="R33" i="11"/>
  <c r="S33" i="11"/>
  <c r="T33" i="11"/>
  <c r="U33" i="11"/>
  <c r="I34" i="11"/>
  <c r="J34" i="11"/>
  <c r="K34" i="11"/>
  <c r="L34" i="11"/>
  <c r="M34" i="11"/>
  <c r="N34" i="11"/>
  <c r="O34" i="11"/>
  <c r="P34" i="11"/>
  <c r="Q34" i="11"/>
  <c r="R34" i="11"/>
  <c r="S34" i="11"/>
  <c r="T34" i="11"/>
  <c r="U34" i="11"/>
  <c r="I35" i="11"/>
  <c r="J35" i="11"/>
  <c r="K35" i="11"/>
  <c r="L35" i="11"/>
  <c r="M35" i="11"/>
  <c r="N35" i="11"/>
  <c r="O35" i="11"/>
  <c r="P35" i="11"/>
  <c r="Q35" i="11"/>
  <c r="R35" i="11"/>
  <c r="S35" i="11"/>
  <c r="T35" i="11"/>
  <c r="U35" i="11"/>
  <c r="I36" i="11"/>
  <c r="J36" i="11"/>
  <c r="K36" i="11"/>
  <c r="L36" i="11"/>
  <c r="M36" i="11"/>
  <c r="N36" i="11"/>
  <c r="O36" i="11"/>
  <c r="P36" i="11"/>
  <c r="Q36" i="11"/>
  <c r="R36" i="11"/>
  <c r="S36" i="11"/>
  <c r="T36" i="11"/>
  <c r="U36" i="11"/>
  <c r="I37" i="11"/>
  <c r="J37" i="11"/>
  <c r="K37" i="11"/>
  <c r="L37" i="11"/>
  <c r="M37" i="11"/>
  <c r="N37" i="11"/>
  <c r="O37" i="11"/>
  <c r="P37" i="11"/>
  <c r="Q37" i="11"/>
  <c r="R37" i="11"/>
  <c r="S37" i="11"/>
  <c r="T37" i="11"/>
  <c r="U37" i="11"/>
  <c r="I38" i="11"/>
  <c r="J38" i="11"/>
  <c r="K38" i="11"/>
  <c r="L38" i="11"/>
  <c r="M38" i="11"/>
  <c r="N38" i="11"/>
  <c r="O38" i="11"/>
  <c r="P38" i="11"/>
  <c r="Q38" i="11"/>
  <c r="R38" i="11"/>
  <c r="S38" i="11"/>
  <c r="T38" i="11"/>
  <c r="U38" i="11"/>
  <c r="I39" i="11"/>
  <c r="J39" i="11"/>
  <c r="K39" i="11"/>
  <c r="L39" i="11"/>
  <c r="M39" i="11"/>
  <c r="N39" i="11"/>
  <c r="O39" i="11"/>
  <c r="P39" i="11"/>
  <c r="Q39" i="11"/>
  <c r="R39" i="11"/>
  <c r="S39" i="11"/>
  <c r="T39" i="11"/>
  <c r="U39" i="11"/>
  <c r="I40" i="11"/>
  <c r="J40" i="11"/>
  <c r="K40" i="11"/>
  <c r="L40" i="11"/>
  <c r="M40" i="11"/>
  <c r="N40" i="11"/>
  <c r="O40" i="11"/>
  <c r="P40" i="11"/>
  <c r="Q40" i="11"/>
  <c r="R40" i="11"/>
  <c r="S40" i="11"/>
  <c r="T40" i="11"/>
  <c r="U40" i="11"/>
  <c r="I41" i="11"/>
  <c r="J41" i="11"/>
  <c r="K41" i="11"/>
  <c r="L41" i="11"/>
  <c r="M41" i="11"/>
  <c r="N41" i="11"/>
  <c r="O41" i="11"/>
  <c r="P41" i="11"/>
  <c r="Q41" i="11"/>
  <c r="R41" i="11"/>
  <c r="S41" i="11"/>
  <c r="T41" i="11"/>
  <c r="U41" i="11"/>
  <c r="I42" i="11"/>
  <c r="J42" i="11"/>
  <c r="K42" i="11"/>
  <c r="L42" i="11"/>
  <c r="M42" i="11"/>
  <c r="N42" i="11"/>
  <c r="O42" i="11"/>
  <c r="P42" i="11"/>
  <c r="Q42" i="11"/>
  <c r="R42" i="11"/>
  <c r="S42" i="11"/>
  <c r="T42" i="11"/>
  <c r="U42" i="11"/>
  <c r="I43" i="11"/>
  <c r="J43" i="11"/>
  <c r="K43" i="11"/>
  <c r="L43" i="11"/>
  <c r="M43" i="11"/>
  <c r="N43" i="11"/>
  <c r="O43" i="11"/>
  <c r="P43" i="11"/>
  <c r="Q43" i="11"/>
  <c r="R43" i="11"/>
  <c r="S43" i="11"/>
  <c r="T43" i="11"/>
  <c r="U43" i="11"/>
  <c r="I44" i="11"/>
  <c r="J44" i="11"/>
  <c r="K44" i="11"/>
  <c r="L44" i="11"/>
  <c r="M44" i="11"/>
  <c r="N44" i="11"/>
  <c r="O44" i="11"/>
  <c r="P44" i="11"/>
  <c r="Q44" i="11"/>
  <c r="R44" i="11"/>
  <c r="S44" i="11"/>
  <c r="T44" i="11"/>
  <c r="U44" i="11"/>
  <c r="I45" i="11"/>
  <c r="J45" i="11"/>
  <c r="K45" i="11"/>
  <c r="L45" i="11"/>
  <c r="M45" i="11"/>
  <c r="N45" i="11"/>
  <c r="O45" i="11"/>
  <c r="P45" i="11"/>
  <c r="Q45" i="11"/>
  <c r="R45" i="11"/>
  <c r="S45" i="11"/>
  <c r="T45" i="11"/>
  <c r="U45" i="11"/>
  <c r="I46" i="11"/>
  <c r="J46" i="11"/>
  <c r="K46" i="11"/>
  <c r="L46" i="11"/>
  <c r="M46" i="11"/>
  <c r="N46" i="11"/>
  <c r="O46" i="11"/>
  <c r="P46" i="11"/>
  <c r="Q46" i="11"/>
  <c r="R46" i="11"/>
  <c r="S46" i="11"/>
  <c r="T46" i="11"/>
  <c r="U46" i="11"/>
  <c r="I47" i="11"/>
  <c r="J47" i="11"/>
  <c r="K47" i="11"/>
  <c r="L47" i="11"/>
  <c r="M47" i="11"/>
  <c r="N47" i="11"/>
  <c r="O47" i="11"/>
  <c r="P47" i="11"/>
  <c r="Q47" i="11"/>
  <c r="R47" i="11"/>
  <c r="S47" i="11"/>
  <c r="T47" i="11"/>
  <c r="U47" i="11"/>
  <c r="I48" i="11"/>
  <c r="J48" i="11"/>
  <c r="K48" i="11"/>
  <c r="L48" i="11"/>
  <c r="M48" i="11"/>
  <c r="N48" i="11"/>
  <c r="O48" i="11"/>
  <c r="P48" i="11"/>
  <c r="Q48" i="11"/>
  <c r="R48" i="11"/>
  <c r="S48" i="11"/>
  <c r="T48" i="11"/>
  <c r="U48" i="11"/>
  <c r="I49" i="11"/>
  <c r="J49" i="11"/>
  <c r="K49" i="11"/>
  <c r="L49" i="11"/>
  <c r="M49" i="11"/>
  <c r="N49" i="11"/>
  <c r="O49" i="11"/>
  <c r="P49" i="11"/>
  <c r="Q49" i="11"/>
  <c r="R49" i="11"/>
  <c r="S49" i="11"/>
  <c r="T49" i="11"/>
  <c r="U49" i="11"/>
  <c r="I50" i="11"/>
  <c r="J50" i="11"/>
  <c r="K50" i="11"/>
  <c r="L50" i="11"/>
  <c r="M50" i="11"/>
  <c r="N50" i="11"/>
  <c r="O50" i="11"/>
  <c r="P50" i="11"/>
  <c r="Q50" i="11"/>
  <c r="R50" i="11"/>
  <c r="S50" i="11"/>
  <c r="T50" i="11"/>
  <c r="U50" i="11"/>
  <c r="I51" i="11"/>
  <c r="J51" i="11"/>
  <c r="K51" i="11"/>
  <c r="L51" i="11"/>
  <c r="M51" i="11"/>
  <c r="N51" i="11"/>
  <c r="O51" i="11"/>
  <c r="P51" i="11"/>
  <c r="Q51" i="11"/>
  <c r="R51" i="11"/>
  <c r="S51" i="11"/>
  <c r="T51" i="11"/>
  <c r="U51" i="11"/>
  <c r="I52" i="11"/>
  <c r="J52" i="11"/>
  <c r="K52" i="11"/>
  <c r="L52" i="11"/>
  <c r="M52" i="11"/>
  <c r="N52" i="11"/>
  <c r="O52" i="11"/>
  <c r="P52" i="11"/>
  <c r="Q52" i="11"/>
  <c r="R52" i="11"/>
  <c r="S52" i="11"/>
  <c r="T52" i="11"/>
  <c r="U52" i="11"/>
  <c r="I53" i="11"/>
  <c r="J53" i="11"/>
  <c r="K53" i="11"/>
  <c r="L53" i="11"/>
  <c r="M53" i="11"/>
  <c r="N53" i="11"/>
  <c r="O53" i="11"/>
  <c r="P53" i="11"/>
  <c r="Q53" i="11"/>
  <c r="R53" i="11"/>
  <c r="S53" i="11"/>
  <c r="T53" i="11"/>
  <c r="U53" i="11"/>
  <c r="I54" i="11"/>
  <c r="J54" i="11"/>
  <c r="K54" i="11"/>
  <c r="L54" i="11"/>
  <c r="M54" i="11"/>
  <c r="N54" i="11"/>
  <c r="O54" i="11"/>
  <c r="P54" i="11"/>
  <c r="Q54" i="11"/>
  <c r="R54" i="11"/>
  <c r="S54" i="11"/>
  <c r="T54" i="11"/>
  <c r="U54" i="11"/>
  <c r="I55" i="11"/>
  <c r="J55" i="11"/>
  <c r="K55" i="11"/>
  <c r="L55" i="11"/>
  <c r="M55" i="11"/>
  <c r="N55" i="11"/>
  <c r="O55" i="11"/>
  <c r="P55" i="11"/>
  <c r="Q55" i="11"/>
  <c r="R55" i="11"/>
  <c r="S55" i="11"/>
  <c r="T55" i="11"/>
  <c r="U55" i="11"/>
  <c r="I56" i="11"/>
  <c r="J56" i="11"/>
  <c r="K56" i="11"/>
  <c r="L56" i="11"/>
  <c r="M56" i="11"/>
  <c r="N56" i="11"/>
  <c r="O56" i="11"/>
  <c r="P56" i="11"/>
  <c r="Q56" i="11"/>
  <c r="R56" i="11"/>
  <c r="S56" i="11"/>
  <c r="T56" i="11"/>
  <c r="U56" i="11"/>
  <c r="I57" i="11"/>
  <c r="J57" i="11"/>
  <c r="K57" i="11"/>
  <c r="L57" i="11"/>
  <c r="M57" i="11"/>
  <c r="N57" i="11"/>
  <c r="O57" i="11"/>
  <c r="P57" i="11"/>
  <c r="Q57" i="11"/>
  <c r="R57" i="11"/>
  <c r="S57" i="11"/>
  <c r="T57" i="11"/>
  <c r="U57" i="11"/>
  <c r="I58" i="11"/>
  <c r="J58" i="11"/>
  <c r="K58" i="11"/>
  <c r="L58" i="11"/>
  <c r="M58" i="11"/>
  <c r="N58" i="11"/>
  <c r="O58" i="11"/>
  <c r="P58" i="11"/>
  <c r="Q58" i="11"/>
  <c r="R58" i="11"/>
  <c r="S58" i="11"/>
  <c r="T58" i="11"/>
  <c r="U58" i="11"/>
  <c r="I59" i="11"/>
  <c r="J59" i="11"/>
  <c r="K59" i="11"/>
  <c r="L59" i="11"/>
  <c r="M59" i="11"/>
  <c r="N59" i="11"/>
  <c r="O59" i="11"/>
  <c r="P59" i="11"/>
  <c r="Q59" i="11"/>
  <c r="R59" i="11"/>
  <c r="S59" i="11"/>
  <c r="T59" i="11"/>
  <c r="U59" i="11"/>
  <c r="I60" i="11"/>
  <c r="J60" i="11"/>
  <c r="K60" i="11"/>
  <c r="L60" i="11"/>
  <c r="M60" i="11"/>
  <c r="N60" i="11"/>
  <c r="O60" i="11"/>
  <c r="P60" i="11"/>
  <c r="Q60" i="11"/>
  <c r="R60" i="11"/>
  <c r="S60" i="11"/>
  <c r="T60" i="11"/>
  <c r="U60" i="11"/>
  <c r="I61" i="11"/>
  <c r="J61" i="11"/>
  <c r="K61" i="11"/>
  <c r="L61" i="11"/>
  <c r="M61" i="11"/>
  <c r="N61" i="11"/>
  <c r="O61" i="11"/>
  <c r="P61" i="11"/>
  <c r="Q61" i="11"/>
  <c r="R61" i="11"/>
  <c r="S61" i="11"/>
  <c r="T61" i="11"/>
  <c r="U61" i="11"/>
  <c r="I62" i="11"/>
  <c r="J62" i="11"/>
  <c r="K62" i="11"/>
  <c r="L62" i="11"/>
  <c r="M62" i="11"/>
  <c r="N62" i="11"/>
  <c r="O62" i="11"/>
  <c r="P62" i="11"/>
  <c r="Q62" i="11"/>
  <c r="R62" i="11"/>
  <c r="S62" i="11"/>
  <c r="T62" i="11"/>
  <c r="U62" i="11"/>
  <c r="I63" i="11"/>
  <c r="J63" i="11"/>
  <c r="K63" i="11"/>
  <c r="L63" i="11"/>
  <c r="M63" i="11"/>
  <c r="N63" i="11"/>
  <c r="O63" i="11"/>
  <c r="P63" i="11"/>
  <c r="Q63" i="11"/>
  <c r="R63" i="11"/>
  <c r="S63" i="11"/>
  <c r="T63" i="11"/>
  <c r="U63" i="11"/>
  <c r="I64" i="11"/>
  <c r="J64" i="11"/>
  <c r="K64" i="11"/>
  <c r="L64" i="11"/>
  <c r="M64" i="11"/>
  <c r="N64" i="11"/>
  <c r="O64" i="11"/>
  <c r="P64" i="11"/>
  <c r="Q64" i="11"/>
  <c r="R64" i="11"/>
  <c r="S64" i="11"/>
  <c r="T64" i="11"/>
  <c r="U64" i="11"/>
  <c r="I65" i="11"/>
  <c r="J65" i="11"/>
  <c r="K65" i="11"/>
  <c r="L65" i="11"/>
  <c r="M65" i="11"/>
  <c r="N65" i="11"/>
  <c r="O65" i="11"/>
  <c r="P65" i="11"/>
  <c r="Q65" i="11"/>
  <c r="R65" i="11"/>
  <c r="S65" i="11"/>
  <c r="T65" i="11"/>
  <c r="U65" i="11"/>
  <c r="I66" i="11"/>
  <c r="J66" i="11"/>
  <c r="K66" i="11"/>
  <c r="L66" i="11"/>
  <c r="M66" i="11"/>
  <c r="N66" i="11"/>
  <c r="O66" i="11"/>
  <c r="P66" i="11"/>
  <c r="Q66" i="11"/>
  <c r="R66" i="11"/>
  <c r="S66" i="11"/>
  <c r="T66" i="11"/>
  <c r="U66" i="11"/>
  <c r="I67" i="11"/>
  <c r="J67" i="11"/>
  <c r="K67" i="11"/>
  <c r="L67" i="11"/>
  <c r="M67" i="11"/>
  <c r="N67" i="11"/>
  <c r="O67" i="11"/>
  <c r="P67" i="11"/>
  <c r="Q67" i="11"/>
  <c r="R67" i="11"/>
  <c r="S67" i="11"/>
  <c r="T67" i="11"/>
  <c r="U67" i="11"/>
  <c r="I68" i="11"/>
  <c r="J68" i="11"/>
  <c r="K68" i="11"/>
  <c r="L68" i="11"/>
  <c r="M68" i="11"/>
  <c r="N68" i="11"/>
  <c r="O68" i="11"/>
  <c r="P68" i="11"/>
  <c r="Q68" i="11"/>
  <c r="R68" i="11"/>
  <c r="S68" i="11"/>
  <c r="T68" i="11"/>
  <c r="U68" i="11"/>
  <c r="I69" i="11"/>
  <c r="J69" i="11"/>
  <c r="K69" i="11"/>
  <c r="L69" i="11"/>
  <c r="M69" i="11"/>
  <c r="N69" i="11"/>
  <c r="O69" i="11"/>
  <c r="P69" i="11"/>
  <c r="Q69" i="11"/>
  <c r="R69" i="11"/>
  <c r="S69" i="11"/>
  <c r="T69" i="11"/>
  <c r="U69" i="11"/>
  <c r="I70" i="11"/>
  <c r="J70" i="11"/>
  <c r="K70" i="11"/>
  <c r="L70" i="11"/>
  <c r="M70" i="11"/>
  <c r="N70" i="11"/>
  <c r="O70" i="11"/>
  <c r="P70" i="11"/>
  <c r="Q70" i="11"/>
  <c r="R70" i="11"/>
  <c r="S70" i="11"/>
  <c r="T70" i="11"/>
  <c r="U70" i="11"/>
  <c r="I71" i="11"/>
  <c r="J71" i="11"/>
  <c r="K71" i="11"/>
  <c r="L71" i="11"/>
  <c r="M71" i="11"/>
  <c r="N71" i="11"/>
  <c r="O71" i="11"/>
  <c r="P71" i="11"/>
  <c r="Q71" i="11"/>
  <c r="R71" i="11"/>
  <c r="S71" i="11"/>
  <c r="T71" i="11"/>
  <c r="U71" i="11"/>
  <c r="I72" i="11"/>
  <c r="J72" i="11"/>
  <c r="K72" i="11"/>
  <c r="L72" i="11"/>
  <c r="M72" i="11"/>
  <c r="N72" i="11"/>
  <c r="O72" i="11"/>
  <c r="P72" i="11"/>
  <c r="Q72" i="11"/>
  <c r="R72" i="11"/>
  <c r="S72" i="11"/>
  <c r="T72" i="11"/>
  <c r="U72" i="11"/>
  <c r="I73" i="11"/>
  <c r="J73" i="11"/>
  <c r="K73" i="11"/>
  <c r="L73" i="11"/>
  <c r="M73" i="11"/>
  <c r="N73" i="11"/>
  <c r="O73" i="11"/>
  <c r="P73" i="11"/>
  <c r="Q73" i="11"/>
  <c r="R73" i="11"/>
  <c r="S73" i="11"/>
  <c r="T73" i="11"/>
  <c r="U73" i="11"/>
  <c r="I74" i="11"/>
  <c r="J74" i="11"/>
  <c r="K74" i="11"/>
  <c r="L74" i="11"/>
  <c r="M74" i="11"/>
  <c r="N74" i="11"/>
  <c r="O74" i="11"/>
  <c r="P74" i="11"/>
  <c r="Q74" i="11"/>
  <c r="R74" i="11"/>
  <c r="S74" i="11"/>
  <c r="T74" i="11"/>
  <c r="U74" i="11"/>
  <c r="I75" i="11"/>
  <c r="J75" i="11"/>
  <c r="K75" i="11"/>
  <c r="L75" i="11"/>
  <c r="M75" i="11"/>
  <c r="N75" i="11"/>
  <c r="O75" i="11"/>
  <c r="P75" i="11"/>
  <c r="Q75" i="11"/>
  <c r="R75" i="11"/>
  <c r="S75" i="11"/>
  <c r="T75" i="11"/>
  <c r="U75" i="11"/>
  <c r="I76" i="11"/>
  <c r="J76" i="11"/>
  <c r="K76" i="11"/>
  <c r="L76" i="11"/>
  <c r="M76" i="11"/>
  <c r="N76" i="11"/>
  <c r="O76" i="11"/>
  <c r="P76" i="11"/>
  <c r="Q76" i="11"/>
  <c r="R76" i="11"/>
  <c r="S76" i="11"/>
  <c r="T76" i="11"/>
  <c r="U76" i="11"/>
  <c r="I77" i="11"/>
  <c r="J77" i="11"/>
  <c r="K77" i="11"/>
  <c r="L77" i="11"/>
  <c r="M77" i="11"/>
  <c r="N77" i="11"/>
  <c r="O77" i="11"/>
  <c r="P77" i="11"/>
  <c r="Q77" i="11"/>
  <c r="R77" i="11"/>
  <c r="S77" i="11"/>
  <c r="T77" i="11"/>
  <c r="U77" i="11"/>
  <c r="I78" i="11"/>
  <c r="J78" i="11"/>
  <c r="K78" i="11"/>
  <c r="L78" i="11"/>
  <c r="M78" i="11"/>
  <c r="N78" i="11"/>
  <c r="O78" i="11"/>
  <c r="P78" i="11"/>
  <c r="Q78" i="11"/>
  <c r="R78" i="11"/>
  <c r="S78" i="11"/>
  <c r="T78" i="11"/>
  <c r="U78" i="11"/>
  <c r="I79" i="11"/>
  <c r="J79" i="11"/>
  <c r="K79" i="11"/>
  <c r="L79" i="11"/>
  <c r="M79" i="11"/>
  <c r="N79" i="11"/>
  <c r="O79" i="11"/>
  <c r="P79" i="11"/>
  <c r="Q79" i="11"/>
  <c r="R79" i="11"/>
  <c r="S79" i="11"/>
  <c r="T79" i="11"/>
  <c r="U79" i="11"/>
  <c r="I80" i="11"/>
  <c r="J80" i="11"/>
  <c r="K80" i="11"/>
  <c r="L80" i="11"/>
  <c r="M80" i="11"/>
  <c r="N80" i="11"/>
  <c r="O80" i="11"/>
  <c r="P80" i="11"/>
  <c r="Q80" i="11"/>
  <c r="R80" i="11"/>
  <c r="S80" i="11"/>
  <c r="T80" i="11"/>
  <c r="U80" i="11"/>
  <c r="I81" i="11"/>
  <c r="J81" i="11"/>
  <c r="K81" i="11"/>
  <c r="L81" i="11"/>
  <c r="M81" i="11"/>
  <c r="N81" i="11"/>
  <c r="O81" i="11"/>
  <c r="P81" i="11"/>
  <c r="Q81" i="11"/>
  <c r="R81" i="11"/>
  <c r="S81" i="11"/>
  <c r="T81" i="11"/>
  <c r="U81" i="11"/>
  <c r="I82" i="11"/>
  <c r="J82" i="11"/>
  <c r="K82" i="11"/>
  <c r="L82" i="11"/>
  <c r="M82" i="11"/>
  <c r="N82" i="11"/>
  <c r="O82" i="11"/>
  <c r="P82" i="11"/>
  <c r="Q82" i="11"/>
  <c r="R82" i="11"/>
  <c r="S82" i="11"/>
  <c r="T82" i="11"/>
  <c r="U82" i="11"/>
  <c r="I83" i="11"/>
  <c r="J83" i="11"/>
  <c r="K83" i="11"/>
  <c r="L83" i="11"/>
  <c r="M83" i="11"/>
  <c r="N83" i="11"/>
  <c r="O83" i="11"/>
  <c r="P83" i="11"/>
  <c r="Q83" i="11"/>
  <c r="R83" i="11"/>
  <c r="S83" i="11"/>
  <c r="T83" i="11"/>
  <c r="U83" i="11"/>
  <c r="I84" i="11"/>
  <c r="J84" i="11"/>
  <c r="K84" i="11"/>
  <c r="L84" i="11"/>
  <c r="M84" i="11"/>
  <c r="N84" i="11"/>
  <c r="O84" i="11"/>
  <c r="P84" i="11"/>
  <c r="Q84" i="11"/>
  <c r="R84" i="11"/>
  <c r="S84" i="11"/>
  <c r="T84" i="11"/>
  <c r="U84" i="11"/>
  <c r="I85" i="11"/>
  <c r="J85" i="11"/>
  <c r="K85" i="11"/>
  <c r="L85" i="11"/>
  <c r="M85" i="11"/>
  <c r="N85" i="11"/>
  <c r="O85" i="11"/>
  <c r="P85" i="11"/>
  <c r="Q85" i="11"/>
  <c r="R85" i="11"/>
  <c r="S85" i="11"/>
  <c r="T85" i="11"/>
  <c r="U85" i="11"/>
  <c r="I86" i="11"/>
  <c r="J86" i="11"/>
  <c r="K86" i="11"/>
  <c r="L86" i="11"/>
  <c r="M86" i="11"/>
  <c r="N86" i="11"/>
  <c r="O86" i="11"/>
  <c r="P86" i="11"/>
  <c r="Q86" i="11"/>
  <c r="R86" i="11"/>
  <c r="S86" i="11"/>
  <c r="T86" i="11"/>
  <c r="U86" i="11"/>
  <c r="I87" i="11"/>
  <c r="J87" i="11"/>
  <c r="K87" i="11"/>
  <c r="L87" i="11"/>
  <c r="M87" i="11"/>
  <c r="N87" i="11"/>
  <c r="O87" i="11"/>
  <c r="P87" i="11"/>
  <c r="Q87" i="11"/>
  <c r="R87" i="11"/>
  <c r="S87" i="11"/>
  <c r="T87" i="11"/>
  <c r="U87" i="11"/>
  <c r="I88" i="11"/>
  <c r="J88" i="11"/>
  <c r="K88" i="11"/>
  <c r="L88" i="11"/>
  <c r="M88" i="11"/>
  <c r="N88" i="11"/>
  <c r="O88" i="11"/>
  <c r="P88" i="11"/>
  <c r="Q88" i="11"/>
  <c r="R88" i="11"/>
  <c r="S88" i="11"/>
  <c r="T88" i="11"/>
  <c r="U88" i="11"/>
  <c r="I89" i="11"/>
  <c r="J89" i="11"/>
  <c r="K89" i="11"/>
  <c r="L89" i="11"/>
  <c r="M89" i="11"/>
  <c r="N89" i="11"/>
  <c r="O89" i="11"/>
  <c r="P89" i="11"/>
  <c r="Q89" i="11"/>
  <c r="R89" i="11"/>
  <c r="S89" i="11"/>
  <c r="T89" i="11"/>
  <c r="U89" i="11"/>
  <c r="I90" i="11"/>
  <c r="J90" i="11"/>
  <c r="K90" i="11"/>
  <c r="L90" i="11"/>
  <c r="M90" i="11"/>
  <c r="N90" i="11"/>
  <c r="O90" i="11"/>
  <c r="P90" i="11"/>
  <c r="Q90" i="11"/>
  <c r="R90" i="11"/>
  <c r="S90" i="11"/>
  <c r="T90" i="11"/>
  <c r="U90" i="11"/>
  <c r="I91" i="11"/>
  <c r="J91" i="11"/>
  <c r="K91" i="11"/>
  <c r="L91" i="11"/>
  <c r="M91" i="11"/>
  <c r="N91" i="11"/>
  <c r="O91" i="11"/>
  <c r="P91" i="11"/>
  <c r="Q91" i="11"/>
  <c r="R91" i="11"/>
  <c r="S91" i="11"/>
  <c r="T91" i="11"/>
  <c r="U91" i="11"/>
  <c r="I92" i="11"/>
  <c r="J92" i="11"/>
  <c r="K92" i="11"/>
  <c r="L92" i="11"/>
  <c r="M92" i="11"/>
  <c r="N92" i="11"/>
  <c r="O92" i="11"/>
  <c r="P92" i="11"/>
  <c r="Q92" i="11"/>
  <c r="R92" i="11"/>
  <c r="S92" i="11"/>
  <c r="T92" i="11"/>
  <c r="U92" i="11"/>
  <c r="I93" i="11"/>
  <c r="J93" i="11"/>
  <c r="K93" i="11"/>
  <c r="L93" i="11"/>
  <c r="M93" i="11"/>
  <c r="N93" i="11"/>
  <c r="O93" i="11"/>
  <c r="P93" i="11"/>
  <c r="Q93" i="11"/>
  <c r="R93" i="11"/>
  <c r="S93" i="11"/>
  <c r="T93" i="11"/>
  <c r="U93" i="11"/>
  <c r="I94" i="11"/>
  <c r="J94" i="11"/>
  <c r="K94" i="11"/>
  <c r="L94" i="11"/>
  <c r="M94" i="11"/>
  <c r="N94" i="11"/>
  <c r="O94" i="11"/>
  <c r="P94" i="11"/>
  <c r="Q94" i="11"/>
  <c r="R94" i="11"/>
  <c r="S94" i="11"/>
  <c r="T94" i="11"/>
  <c r="U94" i="11"/>
  <c r="I95" i="11"/>
  <c r="J95" i="11"/>
  <c r="K95" i="11"/>
  <c r="L95" i="11"/>
  <c r="M95" i="11"/>
  <c r="N95" i="11"/>
  <c r="O95" i="11"/>
  <c r="P95" i="11"/>
  <c r="Q95" i="11"/>
  <c r="R95" i="11"/>
  <c r="S95" i="11"/>
  <c r="T95" i="11"/>
  <c r="U95" i="11"/>
  <c r="I96" i="11"/>
  <c r="J96" i="11"/>
  <c r="K96" i="11"/>
  <c r="L96" i="11"/>
  <c r="M96" i="11"/>
  <c r="N96" i="11"/>
  <c r="O96" i="11"/>
  <c r="P96" i="11"/>
  <c r="Q96" i="11"/>
  <c r="R96" i="11"/>
  <c r="S96" i="11"/>
  <c r="T96" i="11"/>
  <c r="U96" i="11"/>
  <c r="I97" i="11"/>
  <c r="J97" i="11"/>
  <c r="K97" i="11"/>
  <c r="L97" i="11"/>
  <c r="M97" i="11"/>
  <c r="N97" i="11"/>
  <c r="O97" i="11"/>
  <c r="P97" i="11"/>
  <c r="Q97" i="11"/>
  <c r="R97" i="11"/>
  <c r="S97" i="11"/>
  <c r="T97" i="11"/>
  <c r="U97" i="11"/>
  <c r="I98" i="11"/>
  <c r="J98" i="11"/>
  <c r="K98" i="11"/>
  <c r="L98" i="11"/>
  <c r="M98" i="11"/>
  <c r="N98" i="11"/>
  <c r="O98" i="11"/>
  <c r="P98" i="11"/>
  <c r="Q98" i="11"/>
  <c r="R98" i="11"/>
  <c r="S98" i="11"/>
  <c r="T98" i="11"/>
  <c r="U98" i="11"/>
  <c r="I99" i="11"/>
  <c r="J99" i="11"/>
  <c r="K99" i="11"/>
  <c r="L99" i="11"/>
  <c r="M99" i="11"/>
  <c r="N99" i="11"/>
  <c r="O99" i="11"/>
  <c r="P99" i="11"/>
  <c r="Q99" i="11"/>
  <c r="R99" i="11"/>
  <c r="S99" i="11"/>
  <c r="T99" i="11"/>
  <c r="U99" i="11"/>
  <c r="I100" i="11"/>
  <c r="J100" i="11"/>
  <c r="K100" i="11"/>
  <c r="L100" i="11"/>
  <c r="M100" i="11"/>
  <c r="N100" i="11"/>
  <c r="O100" i="11"/>
  <c r="P100" i="11"/>
  <c r="Q100" i="11"/>
  <c r="R100" i="11"/>
  <c r="S100" i="11"/>
  <c r="T100" i="11"/>
  <c r="U100" i="11"/>
  <c r="I4" i="10"/>
  <c r="J4" i="10"/>
  <c r="K4" i="10"/>
  <c r="L4" i="10"/>
  <c r="M4" i="10"/>
  <c r="N4" i="10"/>
  <c r="O4" i="10"/>
  <c r="P4" i="10"/>
  <c r="Q4" i="10"/>
  <c r="R4" i="10"/>
  <c r="S4" i="10"/>
  <c r="T4" i="10"/>
  <c r="V4" i="10"/>
  <c r="I5" i="10"/>
  <c r="J5" i="10"/>
  <c r="K5" i="10"/>
  <c r="L5" i="10"/>
  <c r="M5" i="10"/>
  <c r="N5" i="10"/>
  <c r="O5" i="10"/>
  <c r="P5" i="10"/>
  <c r="Q5" i="10"/>
  <c r="R5" i="10"/>
  <c r="S5" i="10"/>
  <c r="T5" i="10"/>
  <c r="V5" i="10"/>
  <c r="I6" i="10"/>
  <c r="J6" i="10"/>
  <c r="K6" i="10"/>
  <c r="L6" i="10"/>
  <c r="M6" i="10"/>
  <c r="N6" i="10"/>
  <c r="O6" i="10"/>
  <c r="P6" i="10"/>
  <c r="Q6" i="10"/>
  <c r="R6" i="10"/>
  <c r="S6" i="10"/>
  <c r="T6" i="10"/>
  <c r="V6" i="10"/>
  <c r="I7" i="10"/>
  <c r="J7" i="10"/>
  <c r="K7" i="10"/>
  <c r="L7" i="10"/>
  <c r="M7" i="10"/>
  <c r="N7" i="10"/>
  <c r="O7" i="10"/>
  <c r="P7" i="10"/>
  <c r="Q7" i="10"/>
  <c r="R7" i="10"/>
  <c r="S7" i="10"/>
  <c r="T7" i="10"/>
  <c r="V7" i="10"/>
  <c r="I8" i="10"/>
  <c r="J8" i="10"/>
  <c r="K8" i="10"/>
  <c r="L8" i="10"/>
  <c r="M8" i="10"/>
  <c r="N8" i="10"/>
  <c r="O8" i="10"/>
  <c r="P8" i="10"/>
  <c r="Q8" i="10"/>
  <c r="R8" i="10"/>
  <c r="S8" i="10"/>
  <c r="T8" i="10"/>
  <c r="V8" i="10"/>
  <c r="I9" i="10"/>
  <c r="J9" i="10"/>
  <c r="K9" i="10"/>
  <c r="L9" i="10"/>
  <c r="M9" i="10"/>
  <c r="N9" i="10"/>
  <c r="O9" i="10"/>
  <c r="P9" i="10"/>
  <c r="Q9" i="10"/>
  <c r="R9" i="10"/>
  <c r="S9" i="10"/>
  <c r="T9" i="10"/>
  <c r="V9" i="10"/>
  <c r="I10" i="10"/>
  <c r="J10" i="10"/>
  <c r="K10" i="10"/>
  <c r="L10" i="10"/>
  <c r="M10" i="10"/>
  <c r="N10" i="10"/>
  <c r="O10" i="10"/>
  <c r="P10" i="10"/>
  <c r="Q10" i="10"/>
  <c r="R10" i="10"/>
  <c r="S10" i="10"/>
  <c r="T10" i="10"/>
  <c r="V10" i="10"/>
  <c r="I11" i="10"/>
  <c r="J11" i="10"/>
  <c r="K11" i="10"/>
  <c r="L11" i="10"/>
  <c r="M11" i="10"/>
  <c r="N11" i="10"/>
  <c r="O11" i="10"/>
  <c r="P11" i="10"/>
  <c r="Q11" i="10"/>
  <c r="R11" i="10"/>
  <c r="S11" i="10"/>
  <c r="T11" i="10"/>
  <c r="V11" i="10"/>
  <c r="I12" i="10"/>
  <c r="J12" i="10"/>
  <c r="K12" i="10"/>
  <c r="L12" i="10"/>
  <c r="M12" i="10"/>
  <c r="N12" i="10"/>
  <c r="O12" i="10"/>
  <c r="P12" i="10"/>
  <c r="Q12" i="10"/>
  <c r="R12" i="10"/>
  <c r="S12" i="10"/>
  <c r="T12" i="10"/>
  <c r="V12" i="10"/>
  <c r="I13" i="10"/>
  <c r="J13" i="10"/>
  <c r="K13" i="10"/>
  <c r="L13" i="10"/>
  <c r="M13" i="10"/>
  <c r="N13" i="10"/>
  <c r="O13" i="10"/>
  <c r="P13" i="10"/>
  <c r="Q13" i="10"/>
  <c r="R13" i="10"/>
  <c r="S13" i="10"/>
  <c r="T13" i="10"/>
  <c r="V13" i="10"/>
  <c r="I14" i="10"/>
  <c r="J14" i="10"/>
  <c r="K14" i="10"/>
  <c r="L14" i="10"/>
  <c r="M14" i="10"/>
  <c r="N14" i="10"/>
  <c r="O14" i="10"/>
  <c r="P14" i="10"/>
  <c r="Q14" i="10"/>
  <c r="R14" i="10"/>
  <c r="S14" i="10"/>
  <c r="T14" i="10"/>
  <c r="V14" i="10"/>
  <c r="I15" i="10"/>
  <c r="J15" i="10"/>
  <c r="K15" i="10"/>
  <c r="L15" i="10"/>
  <c r="M15" i="10"/>
  <c r="N15" i="10"/>
  <c r="O15" i="10"/>
  <c r="P15" i="10"/>
  <c r="Q15" i="10"/>
  <c r="R15" i="10"/>
  <c r="S15" i="10"/>
  <c r="T15" i="10"/>
  <c r="V15" i="10"/>
  <c r="I16" i="10"/>
  <c r="J16" i="10"/>
  <c r="K16" i="10"/>
  <c r="L16" i="10"/>
  <c r="M16" i="10"/>
  <c r="N16" i="10"/>
  <c r="O16" i="10"/>
  <c r="P16" i="10"/>
  <c r="Q16" i="10"/>
  <c r="R16" i="10"/>
  <c r="S16" i="10"/>
  <c r="T16" i="10"/>
  <c r="V16" i="10"/>
  <c r="I17" i="10"/>
  <c r="J17" i="10"/>
  <c r="K17" i="10"/>
  <c r="L17" i="10"/>
  <c r="M17" i="10"/>
  <c r="N17" i="10"/>
  <c r="O17" i="10"/>
  <c r="P17" i="10"/>
  <c r="Q17" i="10"/>
  <c r="R17" i="10"/>
  <c r="S17" i="10"/>
  <c r="T17" i="10"/>
  <c r="V17" i="10"/>
  <c r="I18" i="10"/>
  <c r="J18" i="10"/>
  <c r="K18" i="10"/>
  <c r="L18" i="10"/>
  <c r="M18" i="10"/>
  <c r="N18" i="10"/>
  <c r="O18" i="10"/>
  <c r="P18" i="10"/>
  <c r="Q18" i="10"/>
  <c r="R18" i="10"/>
  <c r="S18" i="10"/>
  <c r="T18" i="10"/>
  <c r="V18" i="10"/>
  <c r="I19" i="10"/>
  <c r="J19" i="10"/>
  <c r="K19" i="10"/>
  <c r="L19" i="10"/>
  <c r="M19" i="10"/>
  <c r="N19" i="10"/>
  <c r="O19" i="10"/>
  <c r="P19" i="10"/>
  <c r="Q19" i="10"/>
  <c r="R19" i="10"/>
  <c r="S19" i="10"/>
  <c r="T19" i="10"/>
  <c r="V19" i="10"/>
  <c r="I20" i="10"/>
  <c r="J20" i="10"/>
  <c r="K20" i="10"/>
  <c r="L20" i="10"/>
  <c r="M20" i="10"/>
  <c r="N20" i="10"/>
  <c r="O20" i="10"/>
  <c r="P20" i="10"/>
  <c r="Q20" i="10"/>
  <c r="R20" i="10"/>
  <c r="S20" i="10"/>
  <c r="T20" i="10"/>
  <c r="V20" i="10"/>
  <c r="I21" i="10"/>
  <c r="J21" i="10"/>
  <c r="K21" i="10"/>
  <c r="L21" i="10"/>
  <c r="M21" i="10"/>
  <c r="N21" i="10"/>
  <c r="O21" i="10"/>
  <c r="P21" i="10"/>
  <c r="Q21" i="10"/>
  <c r="R21" i="10"/>
  <c r="S21" i="10"/>
  <c r="T21" i="10"/>
  <c r="V21" i="10"/>
  <c r="I22" i="10"/>
  <c r="J22" i="10"/>
  <c r="K22" i="10"/>
  <c r="L22" i="10"/>
  <c r="M22" i="10"/>
  <c r="N22" i="10"/>
  <c r="O22" i="10"/>
  <c r="P22" i="10"/>
  <c r="Q22" i="10"/>
  <c r="R22" i="10"/>
  <c r="S22" i="10"/>
  <c r="T22" i="10"/>
  <c r="V22" i="10"/>
  <c r="I23" i="10"/>
  <c r="J23" i="10"/>
  <c r="K23" i="10"/>
  <c r="L23" i="10"/>
  <c r="M23" i="10"/>
  <c r="N23" i="10"/>
  <c r="O23" i="10"/>
  <c r="P23" i="10"/>
  <c r="Q23" i="10"/>
  <c r="R23" i="10"/>
  <c r="S23" i="10"/>
  <c r="T23" i="10"/>
  <c r="V23" i="10"/>
  <c r="I24" i="10"/>
  <c r="J24" i="10"/>
  <c r="K24" i="10"/>
  <c r="L24" i="10"/>
  <c r="M24" i="10"/>
  <c r="N24" i="10"/>
  <c r="O24" i="10"/>
  <c r="P24" i="10"/>
  <c r="Q24" i="10"/>
  <c r="R24" i="10"/>
  <c r="S24" i="10"/>
  <c r="T24" i="10"/>
  <c r="V24" i="10"/>
  <c r="I25" i="10"/>
  <c r="J25" i="10"/>
  <c r="K25" i="10"/>
  <c r="L25" i="10"/>
  <c r="M25" i="10"/>
  <c r="N25" i="10"/>
  <c r="O25" i="10"/>
  <c r="P25" i="10"/>
  <c r="Q25" i="10"/>
  <c r="R25" i="10"/>
  <c r="S25" i="10"/>
  <c r="T25" i="10"/>
  <c r="V25" i="10"/>
  <c r="I26" i="10"/>
  <c r="J26" i="10"/>
  <c r="K26" i="10"/>
  <c r="L26" i="10"/>
  <c r="M26" i="10"/>
  <c r="N26" i="10"/>
  <c r="O26" i="10"/>
  <c r="P26" i="10"/>
  <c r="Q26" i="10"/>
  <c r="R26" i="10"/>
  <c r="S26" i="10"/>
  <c r="T26" i="10"/>
  <c r="V26" i="10"/>
  <c r="I27" i="10"/>
  <c r="J27" i="10"/>
  <c r="K27" i="10"/>
  <c r="L27" i="10"/>
  <c r="M27" i="10"/>
  <c r="N27" i="10"/>
  <c r="O27" i="10"/>
  <c r="P27" i="10"/>
  <c r="Q27" i="10"/>
  <c r="R27" i="10"/>
  <c r="S27" i="10"/>
  <c r="T27" i="10"/>
  <c r="V27" i="10"/>
  <c r="I28" i="10"/>
  <c r="J28" i="10"/>
  <c r="K28" i="10"/>
  <c r="L28" i="10"/>
  <c r="M28" i="10"/>
  <c r="N28" i="10"/>
  <c r="O28" i="10"/>
  <c r="P28" i="10"/>
  <c r="Q28" i="10"/>
  <c r="R28" i="10"/>
  <c r="S28" i="10"/>
  <c r="T28" i="10"/>
  <c r="V28" i="10"/>
  <c r="I29" i="10"/>
  <c r="J29" i="10"/>
  <c r="K29" i="10"/>
  <c r="L29" i="10"/>
  <c r="M29" i="10"/>
  <c r="N29" i="10"/>
  <c r="O29" i="10"/>
  <c r="P29" i="10"/>
  <c r="Q29" i="10"/>
  <c r="R29" i="10"/>
  <c r="S29" i="10"/>
  <c r="T29" i="10"/>
  <c r="V29" i="10"/>
  <c r="I30" i="10"/>
  <c r="J30" i="10"/>
  <c r="K30" i="10"/>
  <c r="L30" i="10"/>
  <c r="M30" i="10"/>
  <c r="N30" i="10"/>
  <c r="O30" i="10"/>
  <c r="P30" i="10"/>
  <c r="Q30" i="10"/>
  <c r="R30" i="10"/>
  <c r="S30" i="10"/>
  <c r="T30" i="10"/>
  <c r="V30" i="10"/>
  <c r="I31" i="10"/>
  <c r="J31" i="10"/>
  <c r="K31" i="10"/>
  <c r="L31" i="10"/>
  <c r="M31" i="10"/>
  <c r="N31" i="10"/>
  <c r="O31" i="10"/>
  <c r="P31" i="10"/>
  <c r="Q31" i="10"/>
  <c r="R31" i="10"/>
  <c r="S31" i="10"/>
  <c r="T31" i="10"/>
  <c r="V31" i="10"/>
  <c r="I32" i="10"/>
  <c r="J32" i="10"/>
  <c r="K32" i="10"/>
  <c r="L32" i="10"/>
  <c r="M32" i="10"/>
  <c r="N32" i="10"/>
  <c r="O32" i="10"/>
  <c r="P32" i="10"/>
  <c r="Q32" i="10"/>
  <c r="R32" i="10"/>
  <c r="S32" i="10"/>
  <c r="T32" i="10"/>
  <c r="V32" i="10"/>
  <c r="I33" i="10"/>
  <c r="J33" i="10"/>
  <c r="K33" i="10"/>
  <c r="L33" i="10"/>
  <c r="M33" i="10"/>
  <c r="N33" i="10"/>
  <c r="O33" i="10"/>
  <c r="P33" i="10"/>
  <c r="Q33" i="10"/>
  <c r="R33" i="10"/>
  <c r="S33" i="10"/>
  <c r="T33" i="10"/>
  <c r="V33" i="10"/>
  <c r="I34" i="10"/>
  <c r="J34" i="10"/>
  <c r="K34" i="10"/>
  <c r="L34" i="10"/>
  <c r="M34" i="10"/>
  <c r="N34" i="10"/>
  <c r="O34" i="10"/>
  <c r="P34" i="10"/>
  <c r="Q34" i="10"/>
  <c r="R34" i="10"/>
  <c r="S34" i="10"/>
  <c r="T34" i="10"/>
  <c r="V34" i="10"/>
  <c r="I35" i="10"/>
  <c r="J35" i="10"/>
  <c r="K35" i="10"/>
  <c r="L35" i="10"/>
  <c r="M35" i="10"/>
  <c r="N35" i="10"/>
  <c r="O35" i="10"/>
  <c r="P35" i="10"/>
  <c r="Q35" i="10"/>
  <c r="R35" i="10"/>
  <c r="S35" i="10"/>
  <c r="T35" i="10"/>
  <c r="V35" i="10"/>
  <c r="I36" i="10"/>
  <c r="J36" i="10"/>
  <c r="K36" i="10"/>
  <c r="L36" i="10"/>
  <c r="M36" i="10"/>
  <c r="N36" i="10"/>
  <c r="O36" i="10"/>
  <c r="P36" i="10"/>
  <c r="Q36" i="10"/>
  <c r="R36" i="10"/>
  <c r="S36" i="10"/>
  <c r="T36" i="10"/>
  <c r="V36" i="10"/>
  <c r="I37" i="10"/>
  <c r="J37" i="10"/>
  <c r="K37" i="10"/>
  <c r="L37" i="10"/>
  <c r="M37" i="10"/>
  <c r="N37" i="10"/>
  <c r="O37" i="10"/>
  <c r="P37" i="10"/>
  <c r="Q37" i="10"/>
  <c r="R37" i="10"/>
  <c r="S37" i="10"/>
  <c r="T37" i="10"/>
  <c r="V37" i="10"/>
  <c r="I38" i="10"/>
  <c r="J38" i="10"/>
  <c r="K38" i="10"/>
  <c r="L38" i="10"/>
  <c r="M38" i="10"/>
  <c r="N38" i="10"/>
  <c r="O38" i="10"/>
  <c r="P38" i="10"/>
  <c r="Q38" i="10"/>
  <c r="R38" i="10"/>
  <c r="S38" i="10"/>
  <c r="T38" i="10"/>
  <c r="V38" i="10"/>
  <c r="I39" i="10"/>
  <c r="J39" i="10"/>
  <c r="K39" i="10"/>
  <c r="L39" i="10"/>
  <c r="M39" i="10"/>
  <c r="N39" i="10"/>
  <c r="O39" i="10"/>
  <c r="P39" i="10"/>
  <c r="Q39" i="10"/>
  <c r="R39" i="10"/>
  <c r="S39" i="10"/>
  <c r="T39" i="10"/>
  <c r="V39" i="10"/>
  <c r="I40" i="10"/>
  <c r="J40" i="10"/>
  <c r="K40" i="10"/>
  <c r="L40" i="10"/>
  <c r="M40" i="10"/>
  <c r="N40" i="10"/>
  <c r="O40" i="10"/>
  <c r="P40" i="10"/>
  <c r="Q40" i="10"/>
  <c r="R40" i="10"/>
  <c r="S40" i="10"/>
  <c r="T40" i="10"/>
  <c r="V40" i="10"/>
  <c r="I41" i="10"/>
  <c r="J41" i="10"/>
  <c r="K41" i="10"/>
  <c r="L41" i="10"/>
  <c r="M41" i="10"/>
  <c r="N41" i="10"/>
  <c r="O41" i="10"/>
  <c r="P41" i="10"/>
  <c r="Q41" i="10"/>
  <c r="R41" i="10"/>
  <c r="S41" i="10"/>
  <c r="T41" i="10"/>
  <c r="V41" i="10"/>
  <c r="I42" i="10"/>
  <c r="J42" i="10"/>
  <c r="K42" i="10"/>
  <c r="L42" i="10"/>
  <c r="M42" i="10"/>
  <c r="N42" i="10"/>
  <c r="O42" i="10"/>
  <c r="P42" i="10"/>
  <c r="Q42" i="10"/>
  <c r="R42" i="10"/>
  <c r="S42" i="10"/>
  <c r="T42" i="10"/>
  <c r="V42" i="10"/>
  <c r="I43" i="10"/>
  <c r="J43" i="10"/>
  <c r="K43" i="10"/>
  <c r="L43" i="10"/>
  <c r="M43" i="10"/>
  <c r="N43" i="10"/>
  <c r="O43" i="10"/>
  <c r="P43" i="10"/>
  <c r="Q43" i="10"/>
  <c r="R43" i="10"/>
  <c r="S43" i="10"/>
  <c r="T43" i="10"/>
  <c r="V43" i="10"/>
  <c r="I44" i="10"/>
  <c r="J44" i="10"/>
  <c r="K44" i="10"/>
  <c r="L44" i="10"/>
  <c r="M44" i="10"/>
  <c r="N44" i="10"/>
  <c r="O44" i="10"/>
  <c r="P44" i="10"/>
  <c r="Q44" i="10"/>
  <c r="R44" i="10"/>
  <c r="S44" i="10"/>
  <c r="T44" i="10"/>
  <c r="V44" i="10"/>
  <c r="I45" i="10"/>
  <c r="J45" i="10"/>
  <c r="K45" i="10"/>
  <c r="L45" i="10"/>
  <c r="M45" i="10"/>
  <c r="N45" i="10"/>
  <c r="O45" i="10"/>
  <c r="P45" i="10"/>
  <c r="Q45" i="10"/>
  <c r="R45" i="10"/>
  <c r="S45" i="10"/>
  <c r="T45" i="10"/>
  <c r="V45" i="10"/>
  <c r="I46" i="10"/>
  <c r="J46" i="10"/>
  <c r="K46" i="10"/>
  <c r="L46" i="10"/>
  <c r="M46" i="10"/>
  <c r="N46" i="10"/>
  <c r="O46" i="10"/>
  <c r="P46" i="10"/>
  <c r="Q46" i="10"/>
  <c r="R46" i="10"/>
  <c r="S46" i="10"/>
  <c r="T46" i="10"/>
  <c r="V46" i="10"/>
  <c r="I47" i="10"/>
  <c r="J47" i="10"/>
  <c r="K47" i="10"/>
  <c r="L47" i="10"/>
  <c r="M47" i="10"/>
  <c r="N47" i="10"/>
  <c r="O47" i="10"/>
  <c r="P47" i="10"/>
  <c r="Q47" i="10"/>
  <c r="R47" i="10"/>
  <c r="S47" i="10"/>
  <c r="T47" i="10"/>
  <c r="V47" i="10"/>
  <c r="I48" i="10"/>
  <c r="J48" i="10"/>
  <c r="K48" i="10"/>
  <c r="L48" i="10"/>
  <c r="M48" i="10"/>
  <c r="N48" i="10"/>
  <c r="O48" i="10"/>
  <c r="P48" i="10"/>
  <c r="Q48" i="10"/>
  <c r="R48" i="10"/>
  <c r="S48" i="10"/>
  <c r="T48" i="10"/>
  <c r="V48" i="10"/>
  <c r="I49" i="10"/>
  <c r="J49" i="10"/>
  <c r="K49" i="10"/>
  <c r="L49" i="10"/>
  <c r="M49" i="10"/>
  <c r="N49" i="10"/>
  <c r="O49" i="10"/>
  <c r="P49" i="10"/>
  <c r="Q49" i="10"/>
  <c r="R49" i="10"/>
  <c r="S49" i="10"/>
  <c r="T49" i="10"/>
  <c r="V49" i="10"/>
  <c r="I50" i="10"/>
  <c r="J50" i="10"/>
  <c r="K50" i="10"/>
  <c r="L50" i="10"/>
  <c r="M50" i="10"/>
  <c r="N50" i="10"/>
  <c r="O50" i="10"/>
  <c r="P50" i="10"/>
  <c r="Q50" i="10"/>
  <c r="R50" i="10"/>
  <c r="S50" i="10"/>
  <c r="T50" i="10"/>
  <c r="V50" i="10"/>
  <c r="I51" i="10"/>
  <c r="J51" i="10"/>
  <c r="K51" i="10"/>
  <c r="L51" i="10"/>
  <c r="M51" i="10"/>
  <c r="N51" i="10"/>
  <c r="O51" i="10"/>
  <c r="P51" i="10"/>
  <c r="Q51" i="10"/>
  <c r="R51" i="10"/>
  <c r="S51" i="10"/>
  <c r="T51" i="10"/>
  <c r="V51" i="10"/>
  <c r="I52" i="10"/>
  <c r="J52" i="10"/>
  <c r="K52" i="10"/>
  <c r="L52" i="10"/>
  <c r="M52" i="10"/>
  <c r="N52" i="10"/>
  <c r="O52" i="10"/>
  <c r="P52" i="10"/>
  <c r="Q52" i="10"/>
  <c r="R52" i="10"/>
  <c r="S52" i="10"/>
  <c r="T52" i="10"/>
  <c r="V52" i="10"/>
  <c r="I53" i="10"/>
  <c r="J53" i="10"/>
  <c r="K53" i="10"/>
  <c r="L53" i="10"/>
  <c r="M53" i="10"/>
  <c r="N53" i="10"/>
  <c r="O53" i="10"/>
  <c r="P53" i="10"/>
  <c r="Q53" i="10"/>
  <c r="R53" i="10"/>
  <c r="S53" i="10"/>
  <c r="T53" i="10"/>
  <c r="V53" i="10"/>
  <c r="I54" i="10"/>
  <c r="J54" i="10"/>
  <c r="K54" i="10"/>
  <c r="L54" i="10"/>
  <c r="M54" i="10"/>
  <c r="N54" i="10"/>
  <c r="O54" i="10"/>
  <c r="P54" i="10"/>
  <c r="Q54" i="10"/>
  <c r="R54" i="10"/>
  <c r="S54" i="10"/>
  <c r="T54" i="10"/>
  <c r="V54" i="10"/>
  <c r="I55" i="10"/>
  <c r="J55" i="10"/>
  <c r="K55" i="10"/>
  <c r="L55" i="10"/>
  <c r="M55" i="10"/>
  <c r="N55" i="10"/>
  <c r="O55" i="10"/>
  <c r="P55" i="10"/>
  <c r="Q55" i="10"/>
  <c r="R55" i="10"/>
  <c r="S55" i="10"/>
  <c r="T55" i="10"/>
  <c r="V55" i="10"/>
  <c r="I56" i="10"/>
  <c r="J56" i="10"/>
  <c r="K56" i="10"/>
  <c r="L56" i="10"/>
  <c r="M56" i="10"/>
  <c r="N56" i="10"/>
  <c r="O56" i="10"/>
  <c r="P56" i="10"/>
  <c r="Q56" i="10"/>
  <c r="R56" i="10"/>
  <c r="S56" i="10"/>
  <c r="T56" i="10"/>
  <c r="V56" i="10"/>
  <c r="I57" i="10"/>
  <c r="J57" i="10"/>
  <c r="K57" i="10"/>
  <c r="L57" i="10"/>
  <c r="M57" i="10"/>
  <c r="N57" i="10"/>
  <c r="O57" i="10"/>
  <c r="P57" i="10"/>
  <c r="Q57" i="10"/>
  <c r="R57" i="10"/>
  <c r="S57" i="10"/>
  <c r="T57" i="10"/>
  <c r="V57" i="10"/>
  <c r="I58" i="10"/>
  <c r="J58" i="10"/>
  <c r="K58" i="10"/>
  <c r="L58" i="10"/>
  <c r="M58" i="10"/>
  <c r="N58" i="10"/>
  <c r="O58" i="10"/>
  <c r="P58" i="10"/>
  <c r="Q58" i="10"/>
  <c r="R58" i="10"/>
  <c r="S58" i="10"/>
  <c r="T58" i="10"/>
  <c r="V58" i="10"/>
  <c r="I59" i="10"/>
  <c r="J59" i="10"/>
  <c r="K59" i="10"/>
  <c r="L59" i="10"/>
  <c r="M59" i="10"/>
  <c r="N59" i="10"/>
  <c r="O59" i="10"/>
  <c r="P59" i="10"/>
  <c r="Q59" i="10"/>
  <c r="R59" i="10"/>
  <c r="S59" i="10"/>
  <c r="T59" i="10"/>
  <c r="V59" i="10"/>
  <c r="I60" i="10"/>
  <c r="J60" i="10"/>
  <c r="K60" i="10"/>
  <c r="L60" i="10"/>
  <c r="M60" i="10"/>
  <c r="N60" i="10"/>
  <c r="O60" i="10"/>
  <c r="P60" i="10"/>
  <c r="Q60" i="10"/>
  <c r="R60" i="10"/>
  <c r="S60" i="10"/>
  <c r="T60" i="10"/>
  <c r="V60" i="10"/>
  <c r="I61" i="10"/>
  <c r="J61" i="10"/>
  <c r="K61" i="10"/>
  <c r="L61" i="10"/>
  <c r="M61" i="10"/>
  <c r="N61" i="10"/>
  <c r="O61" i="10"/>
  <c r="P61" i="10"/>
  <c r="Q61" i="10"/>
  <c r="R61" i="10"/>
  <c r="S61" i="10"/>
  <c r="T61" i="10"/>
  <c r="V61" i="10"/>
  <c r="I62" i="10"/>
  <c r="J62" i="10"/>
  <c r="K62" i="10"/>
  <c r="L62" i="10"/>
  <c r="M62" i="10"/>
  <c r="N62" i="10"/>
  <c r="O62" i="10"/>
  <c r="P62" i="10"/>
  <c r="Q62" i="10"/>
  <c r="R62" i="10"/>
  <c r="S62" i="10"/>
  <c r="T62" i="10"/>
  <c r="V62" i="10"/>
  <c r="I63" i="10"/>
  <c r="J63" i="10"/>
  <c r="K63" i="10"/>
  <c r="L63" i="10"/>
  <c r="M63" i="10"/>
  <c r="N63" i="10"/>
  <c r="O63" i="10"/>
  <c r="P63" i="10"/>
  <c r="Q63" i="10"/>
  <c r="R63" i="10"/>
  <c r="S63" i="10"/>
  <c r="T63" i="10"/>
  <c r="V63" i="10"/>
  <c r="I64" i="10"/>
  <c r="J64" i="10"/>
  <c r="K64" i="10"/>
  <c r="L64" i="10"/>
  <c r="M64" i="10"/>
  <c r="N64" i="10"/>
  <c r="O64" i="10"/>
  <c r="P64" i="10"/>
  <c r="Q64" i="10"/>
  <c r="R64" i="10"/>
  <c r="S64" i="10"/>
  <c r="T64" i="10"/>
  <c r="V64" i="10"/>
  <c r="I65" i="10"/>
  <c r="J65" i="10"/>
  <c r="K65" i="10"/>
  <c r="L65" i="10"/>
  <c r="M65" i="10"/>
  <c r="N65" i="10"/>
  <c r="O65" i="10"/>
  <c r="P65" i="10"/>
  <c r="Q65" i="10"/>
  <c r="R65" i="10"/>
  <c r="S65" i="10"/>
  <c r="T65" i="10"/>
  <c r="V65" i="10"/>
  <c r="I66" i="10"/>
  <c r="J66" i="10"/>
  <c r="K66" i="10"/>
  <c r="L66" i="10"/>
  <c r="M66" i="10"/>
  <c r="N66" i="10"/>
  <c r="O66" i="10"/>
  <c r="P66" i="10"/>
  <c r="Q66" i="10"/>
  <c r="R66" i="10"/>
  <c r="S66" i="10"/>
  <c r="T66" i="10"/>
  <c r="V66" i="10"/>
  <c r="I67" i="10"/>
  <c r="J67" i="10"/>
  <c r="K67" i="10"/>
  <c r="L67" i="10"/>
  <c r="M67" i="10"/>
  <c r="N67" i="10"/>
  <c r="O67" i="10"/>
  <c r="P67" i="10"/>
  <c r="Q67" i="10"/>
  <c r="R67" i="10"/>
  <c r="S67" i="10"/>
  <c r="T67" i="10"/>
  <c r="V67" i="10"/>
  <c r="I68" i="10"/>
  <c r="J68" i="10"/>
  <c r="K68" i="10"/>
  <c r="L68" i="10"/>
  <c r="M68" i="10"/>
  <c r="N68" i="10"/>
  <c r="O68" i="10"/>
  <c r="P68" i="10"/>
  <c r="Q68" i="10"/>
  <c r="R68" i="10"/>
  <c r="S68" i="10"/>
  <c r="T68" i="10"/>
  <c r="V68" i="10"/>
  <c r="I69" i="10"/>
  <c r="J69" i="10"/>
  <c r="K69" i="10"/>
  <c r="L69" i="10"/>
  <c r="M69" i="10"/>
  <c r="N69" i="10"/>
  <c r="O69" i="10"/>
  <c r="P69" i="10"/>
  <c r="Q69" i="10"/>
  <c r="R69" i="10"/>
  <c r="S69" i="10"/>
  <c r="T69" i="10"/>
  <c r="V69" i="10"/>
  <c r="I70" i="10"/>
  <c r="J70" i="10"/>
  <c r="K70" i="10"/>
  <c r="L70" i="10"/>
  <c r="M70" i="10"/>
  <c r="N70" i="10"/>
  <c r="O70" i="10"/>
  <c r="P70" i="10"/>
  <c r="Q70" i="10"/>
  <c r="R70" i="10"/>
  <c r="S70" i="10"/>
  <c r="T70" i="10"/>
  <c r="V70" i="10"/>
  <c r="I71" i="10"/>
  <c r="J71" i="10"/>
  <c r="K71" i="10"/>
  <c r="L71" i="10"/>
  <c r="M71" i="10"/>
  <c r="N71" i="10"/>
  <c r="O71" i="10"/>
  <c r="P71" i="10"/>
  <c r="Q71" i="10"/>
  <c r="R71" i="10"/>
  <c r="S71" i="10"/>
  <c r="T71" i="10"/>
  <c r="V71" i="10"/>
  <c r="I72" i="10"/>
  <c r="J72" i="10"/>
  <c r="K72" i="10"/>
  <c r="L72" i="10"/>
  <c r="M72" i="10"/>
  <c r="N72" i="10"/>
  <c r="O72" i="10"/>
  <c r="P72" i="10"/>
  <c r="Q72" i="10"/>
  <c r="R72" i="10"/>
  <c r="S72" i="10"/>
  <c r="T72" i="10"/>
  <c r="V72" i="10"/>
  <c r="I73" i="10"/>
  <c r="J73" i="10"/>
  <c r="K73" i="10"/>
  <c r="L73" i="10"/>
  <c r="M73" i="10"/>
  <c r="N73" i="10"/>
  <c r="O73" i="10"/>
  <c r="P73" i="10"/>
  <c r="Q73" i="10"/>
  <c r="R73" i="10"/>
  <c r="S73" i="10"/>
  <c r="T73" i="10"/>
  <c r="V73" i="10"/>
  <c r="I74" i="10"/>
  <c r="J74" i="10"/>
  <c r="K74" i="10"/>
  <c r="L74" i="10"/>
  <c r="M74" i="10"/>
  <c r="N74" i="10"/>
  <c r="O74" i="10"/>
  <c r="P74" i="10"/>
  <c r="Q74" i="10"/>
  <c r="R74" i="10"/>
  <c r="S74" i="10"/>
  <c r="T74" i="10"/>
  <c r="V74" i="10"/>
  <c r="I75" i="10"/>
  <c r="J75" i="10"/>
  <c r="K75" i="10"/>
  <c r="L75" i="10"/>
  <c r="M75" i="10"/>
  <c r="N75" i="10"/>
  <c r="O75" i="10"/>
  <c r="P75" i="10"/>
  <c r="Q75" i="10"/>
  <c r="R75" i="10"/>
  <c r="S75" i="10"/>
  <c r="T75" i="10"/>
  <c r="V75" i="10"/>
  <c r="I76" i="10"/>
  <c r="J76" i="10"/>
  <c r="K76" i="10"/>
  <c r="L76" i="10"/>
  <c r="M76" i="10"/>
  <c r="N76" i="10"/>
  <c r="O76" i="10"/>
  <c r="P76" i="10"/>
  <c r="Q76" i="10"/>
  <c r="R76" i="10"/>
  <c r="S76" i="10"/>
  <c r="T76" i="10"/>
  <c r="V76" i="10"/>
  <c r="I77" i="10"/>
  <c r="J77" i="10"/>
  <c r="K77" i="10"/>
  <c r="L77" i="10"/>
  <c r="M77" i="10"/>
  <c r="N77" i="10"/>
  <c r="O77" i="10"/>
  <c r="P77" i="10"/>
  <c r="Q77" i="10"/>
  <c r="R77" i="10"/>
  <c r="S77" i="10"/>
  <c r="T77" i="10"/>
  <c r="V77" i="10"/>
  <c r="I78" i="10"/>
  <c r="J78" i="10"/>
  <c r="K78" i="10"/>
  <c r="L78" i="10"/>
  <c r="M78" i="10"/>
  <c r="N78" i="10"/>
  <c r="O78" i="10"/>
  <c r="P78" i="10"/>
  <c r="Q78" i="10"/>
  <c r="R78" i="10"/>
  <c r="S78" i="10"/>
  <c r="T78" i="10"/>
  <c r="V78" i="10"/>
  <c r="I79" i="10"/>
  <c r="J79" i="10"/>
  <c r="K79" i="10"/>
  <c r="L79" i="10"/>
  <c r="M79" i="10"/>
  <c r="N79" i="10"/>
  <c r="O79" i="10"/>
  <c r="P79" i="10"/>
  <c r="Q79" i="10"/>
  <c r="R79" i="10"/>
  <c r="S79" i="10"/>
  <c r="T79" i="10"/>
  <c r="V79" i="10"/>
  <c r="I80" i="10"/>
  <c r="J80" i="10"/>
  <c r="K80" i="10"/>
  <c r="L80" i="10"/>
  <c r="M80" i="10"/>
  <c r="N80" i="10"/>
  <c r="O80" i="10"/>
  <c r="P80" i="10"/>
  <c r="Q80" i="10"/>
  <c r="R80" i="10"/>
  <c r="S80" i="10"/>
  <c r="T80" i="10"/>
  <c r="V80" i="10"/>
  <c r="I81" i="10"/>
  <c r="J81" i="10"/>
  <c r="K81" i="10"/>
  <c r="L81" i="10"/>
  <c r="M81" i="10"/>
  <c r="N81" i="10"/>
  <c r="O81" i="10"/>
  <c r="P81" i="10"/>
  <c r="Q81" i="10"/>
  <c r="R81" i="10"/>
  <c r="S81" i="10"/>
  <c r="T81" i="10"/>
  <c r="V81" i="10"/>
  <c r="I82" i="10"/>
  <c r="J82" i="10"/>
  <c r="K82" i="10"/>
  <c r="L82" i="10"/>
  <c r="M82" i="10"/>
  <c r="N82" i="10"/>
  <c r="O82" i="10"/>
  <c r="P82" i="10"/>
  <c r="Q82" i="10"/>
  <c r="R82" i="10"/>
  <c r="S82" i="10"/>
  <c r="T82" i="10"/>
  <c r="V82" i="10"/>
  <c r="I83" i="10"/>
  <c r="J83" i="10"/>
  <c r="K83" i="10"/>
  <c r="L83" i="10"/>
  <c r="M83" i="10"/>
  <c r="N83" i="10"/>
  <c r="O83" i="10"/>
  <c r="P83" i="10"/>
  <c r="Q83" i="10"/>
  <c r="R83" i="10"/>
  <c r="S83" i="10"/>
  <c r="T83" i="10"/>
  <c r="V83" i="10"/>
  <c r="I84" i="10"/>
  <c r="J84" i="10"/>
  <c r="K84" i="10"/>
  <c r="L84" i="10"/>
  <c r="M84" i="10"/>
  <c r="N84" i="10"/>
  <c r="O84" i="10"/>
  <c r="P84" i="10"/>
  <c r="Q84" i="10"/>
  <c r="R84" i="10"/>
  <c r="S84" i="10"/>
  <c r="T84" i="10"/>
  <c r="V84" i="10"/>
  <c r="I85" i="10"/>
  <c r="J85" i="10"/>
  <c r="K85" i="10"/>
  <c r="L85" i="10"/>
  <c r="M85" i="10"/>
  <c r="N85" i="10"/>
  <c r="O85" i="10"/>
  <c r="P85" i="10"/>
  <c r="Q85" i="10"/>
  <c r="R85" i="10"/>
  <c r="S85" i="10"/>
  <c r="T85" i="10"/>
  <c r="V85" i="10"/>
  <c r="I86" i="10"/>
  <c r="J86" i="10"/>
  <c r="K86" i="10"/>
  <c r="L86" i="10"/>
  <c r="M86" i="10"/>
  <c r="N86" i="10"/>
  <c r="O86" i="10"/>
  <c r="P86" i="10"/>
  <c r="Q86" i="10"/>
  <c r="R86" i="10"/>
  <c r="S86" i="10"/>
  <c r="T86" i="10"/>
  <c r="V86" i="10"/>
  <c r="I87" i="10"/>
  <c r="J87" i="10"/>
  <c r="K87" i="10"/>
  <c r="L87" i="10"/>
  <c r="M87" i="10"/>
  <c r="N87" i="10"/>
  <c r="O87" i="10"/>
  <c r="P87" i="10"/>
  <c r="Q87" i="10"/>
  <c r="R87" i="10"/>
  <c r="S87" i="10"/>
  <c r="T87" i="10"/>
  <c r="V87" i="10"/>
  <c r="I88" i="10"/>
  <c r="J88" i="10"/>
  <c r="K88" i="10"/>
  <c r="L88" i="10"/>
  <c r="M88" i="10"/>
  <c r="N88" i="10"/>
  <c r="O88" i="10"/>
  <c r="P88" i="10"/>
  <c r="Q88" i="10"/>
  <c r="R88" i="10"/>
  <c r="S88" i="10"/>
  <c r="T88" i="10"/>
  <c r="V88" i="10"/>
  <c r="I89" i="10"/>
  <c r="J89" i="10"/>
  <c r="K89" i="10"/>
  <c r="L89" i="10"/>
  <c r="M89" i="10"/>
  <c r="N89" i="10"/>
  <c r="O89" i="10"/>
  <c r="P89" i="10"/>
  <c r="Q89" i="10"/>
  <c r="R89" i="10"/>
  <c r="S89" i="10"/>
  <c r="T89" i="10"/>
  <c r="V89" i="10"/>
  <c r="I90" i="10"/>
  <c r="J90" i="10"/>
  <c r="K90" i="10"/>
  <c r="L90" i="10"/>
  <c r="M90" i="10"/>
  <c r="N90" i="10"/>
  <c r="O90" i="10"/>
  <c r="P90" i="10"/>
  <c r="Q90" i="10"/>
  <c r="R90" i="10"/>
  <c r="S90" i="10"/>
  <c r="T90" i="10"/>
  <c r="V90" i="10"/>
  <c r="I91" i="10"/>
  <c r="J91" i="10"/>
  <c r="K91" i="10"/>
  <c r="L91" i="10"/>
  <c r="M91" i="10"/>
  <c r="N91" i="10"/>
  <c r="O91" i="10"/>
  <c r="P91" i="10"/>
  <c r="Q91" i="10"/>
  <c r="R91" i="10"/>
  <c r="S91" i="10"/>
  <c r="T91" i="10"/>
  <c r="V91" i="10"/>
  <c r="I92" i="10"/>
  <c r="J92" i="10"/>
  <c r="K92" i="10"/>
  <c r="L92" i="10"/>
  <c r="M92" i="10"/>
  <c r="N92" i="10"/>
  <c r="O92" i="10"/>
  <c r="P92" i="10"/>
  <c r="Q92" i="10"/>
  <c r="R92" i="10"/>
  <c r="S92" i="10"/>
  <c r="T92" i="10"/>
  <c r="V92" i="10"/>
  <c r="I93" i="10"/>
  <c r="J93" i="10"/>
  <c r="K93" i="10"/>
  <c r="L93" i="10"/>
  <c r="M93" i="10"/>
  <c r="N93" i="10"/>
  <c r="O93" i="10"/>
  <c r="P93" i="10"/>
  <c r="Q93" i="10"/>
  <c r="R93" i="10"/>
  <c r="S93" i="10"/>
  <c r="T93" i="10"/>
  <c r="V93" i="10"/>
  <c r="I94" i="10"/>
  <c r="J94" i="10"/>
  <c r="K94" i="10"/>
  <c r="L94" i="10"/>
  <c r="M94" i="10"/>
  <c r="N94" i="10"/>
  <c r="O94" i="10"/>
  <c r="P94" i="10"/>
  <c r="Q94" i="10"/>
  <c r="R94" i="10"/>
  <c r="S94" i="10"/>
  <c r="T94" i="10"/>
  <c r="V94" i="10"/>
  <c r="I95" i="10"/>
  <c r="J95" i="10"/>
  <c r="K95" i="10"/>
  <c r="L95" i="10"/>
  <c r="M95" i="10"/>
  <c r="N95" i="10"/>
  <c r="O95" i="10"/>
  <c r="P95" i="10"/>
  <c r="Q95" i="10"/>
  <c r="R95" i="10"/>
  <c r="S95" i="10"/>
  <c r="T95" i="10"/>
  <c r="V95" i="10"/>
  <c r="I96" i="10"/>
  <c r="J96" i="10"/>
  <c r="K96" i="10"/>
  <c r="L96" i="10"/>
  <c r="M96" i="10"/>
  <c r="N96" i="10"/>
  <c r="O96" i="10"/>
  <c r="P96" i="10"/>
  <c r="Q96" i="10"/>
  <c r="R96" i="10"/>
  <c r="S96" i="10"/>
  <c r="T96" i="10"/>
  <c r="V96" i="10"/>
  <c r="I97" i="10"/>
  <c r="J97" i="10"/>
  <c r="K97" i="10"/>
  <c r="L97" i="10"/>
  <c r="M97" i="10"/>
  <c r="N97" i="10"/>
  <c r="O97" i="10"/>
  <c r="P97" i="10"/>
  <c r="Q97" i="10"/>
  <c r="R97" i="10"/>
  <c r="S97" i="10"/>
  <c r="T97" i="10"/>
  <c r="V97" i="10"/>
  <c r="I98" i="10"/>
  <c r="J98" i="10"/>
  <c r="K98" i="10"/>
  <c r="L98" i="10"/>
  <c r="M98" i="10"/>
  <c r="N98" i="10"/>
  <c r="O98" i="10"/>
  <c r="P98" i="10"/>
  <c r="Q98" i="10"/>
  <c r="R98" i="10"/>
  <c r="S98" i="10"/>
  <c r="T98" i="10"/>
  <c r="V98" i="10"/>
  <c r="I99" i="10"/>
  <c r="J99" i="10"/>
  <c r="K99" i="10"/>
  <c r="L99" i="10"/>
  <c r="M99" i="10"/>
  <c r="N99" i="10"/>
  <c r="O99" i="10"/>
  <c r="P99" i="10"/>
  <c r="Q99" i="10"/>
  <c r="R99" i="10"/>
  <c r="S99" i="10"/>
  <c r="T99" i="10"/>
  <c r="V99" i="10"/>
  <c r="I100" i="10"/>
  <c r="J100" i="10"/>
  <c r="K100" i="10"/>
  <c r="L100" i="10"/>
  <c r="M100" i="10"/>
  <c r="N100" i="10"/>
  <c r="O100" i="10"/>
  <c r="P100" i="10"/>
  <c r="Q100" i="10"/>
  <c r="R100" i="10"/>
  <c r="S100" i="10"/>
  <c r="T100" i="10"/>
  <c r="V100" i="10"/>
  <c r="V273" i="9"/>
  <c r="U273" i="9"/>
  <c r="V272" i="9"/>
  <c r="U272" i="9"/>
  <c r="T56" i="9"/>
  <c r="S56" i="9"/>
  <c r="R56" i="9"/>
  <c r="Q56" i="9"/>
  <c r="P56" i="9"/>
  <c r="O56" i="9"/>
  <c r="N56" i="9"/>
  <c r="M56" i="9"/>
  <c r="L56" i="9"/>
  <c r="K56" i="9"/>
  <c r="J56" i="9"/>
  <c r="I56" i="9"/>
  <c r="V271" i="9"/>
  <c r="U271" i="9"/>
  <c r="T55" i="9"/>
  <c r="S55" i="9"/>
  <c r="R55" i="9"/>
  <c r="Q55" i="9"/>
  <c r="P55" i="9"/>
  <c r="O55" i="9"/>
  <c r="N55" i="9"/>
  <c r="M55" i="9"/>
  <c r="L55" i="9"/>
  <c r="K55" i="9"/>
  <c r="J55" i="9"/>
  <c r="I55" i="9"/>
  <c r="V270" i="9"/>
  <c r="V269" i="9"/>
  <c r="U269" i="9"/>
  <c r="V268" i="9"/>
  <c r="U268" i="9"/>
  <c r="V267" i="9"/>
  <c r="U267" i="9"/>
  <c r="V266" i="9"/>
  <c r="U266" i="9"/>
  <c r="V265" i="9"/>
  <c r="U265" i="9"/>
  <c r="V264" i="9"/>
  <c r="U264" i="9"/>
  <c r="V263" i="9"/>
  <c r="U263" i="9"/>
  <c r="V262" i="9"/>
  <c r="U262" i="9"/>
  <c r="V261" i="9"/>
  <c r="U261" i="9"/>
  <c r="V260" i="9"/>
  <c r="U260" i="9"/>
  <c r="V259" i="9"/>
  <c r="U259" i="9"/>
  <c r="V258" i="9"/>
  <c r="U258" i="9"/>
  <c r="V257" i="9"/>
  <c r="U257" i="9"/>
  <c r="V256" i="9"/>
  <c r="U256" i="9"/>
  <c r="V255" i="9"/>
  <c r="U255" i="9"/>
  <c r="V254" i="9"/>
  <c r="U254" i="9"/>
  <c r="V253" i="9"/>
  <c r="U253" i="9"/>
  <c r="V252" i="9"/>
  <c r="U252" i="9"/>
  <c r="V251" i="9"/>
  <c r="U251" i="9"/>
  <c r="V250" i="9"/>
  <c r="U250" i="9"/>
  <c r="V249" i="9"/>
  <c r="U249" i="9"/>
  <c r="V248" i="9"/>
  <c r="U248" i="9"/>
  <c r="V247" i="9"/>
  <c r="U247" i="9"/>
  <c r="V246" i="9"/>
  <c r="U246" i="9"/>
  <c r="V245" i="9"/>
  <c r="U245" i="9"/>
  <c r="V244" i="9"/>
  <c r="U244" i="9"/>
  <c r="V243" i="9"/>
  <c r="U243" i="9"/>
  <c r="V242" i="9"/>
  <c r="U242" i="9"/>
  <c r="V241" i="9"/>
  <c r="U241" i="9"/>
  <c r="V240" i="9"/>
  <c r="U240" i="9"/>
  <c r="V239" i="9"/>
  <c r="U239" i="9"/>
  <c r="V238" i="9"/>
  <c r="U238" i="9"/>
  <c r="V237" i="9"/>
  <c r="U237" i="9"/>
  <c r="V236" i="9"/>
  <c r="U236" i="9"/>
  <c r="V235" i="9"/>
  <c r="U235" i="9"/>
  <c r="V234" i="9"/>
  <c r="U234" i="9"/>
  <c r="V233" i="9"/>
  <c r="U233" i="9"/>
  <c r="V232" i="9"/>
  <c r="U232" i="9"/>
  <c r="V231" i="9"/>
  <c r="U231" i="9"/>
  <c r="V230" i="9"/>
  <c r="U230" i="9"/>
  <c r="V229" i="9"/>
  <c r="U229" i="9"/>
  <c r="V228" i="9"/>
  <c r="U228" i="9"/>
  <c r="V227" i="9"/>
  <c r="U227" i="9"/>
  <c r="V226" i="9"/>
  <c r="U226" i="9"/>
  <c r="V225" i="9"/>
  <c r="U225" i="9"/>
  <c r="V224" i="9"/>
  <c r="U224" i="9"/>
  <c r="V223" i="9"/>
  <c r="U223" i="9"/>
  <c r="V222" i="9"/>
  <c r="U222" i="9"/>
  <c r="V221" i="9"/>
  <c r="U221" i="9"/>
  <c r="V220" i="9"/>
  <c r="U220" i="9"/>
  <c r="V219" i="9"/>
  <c r="U219" i="9"/>
  <c r="V218" i="9"/>
  <c r="U218" i="9"/>
  <c r="V217" i="9"/>
  <c r="U217" i="9"/>
  <c r="V216" i="9"/>
  <c r="U216" i="9"/>
  <c r="V215" i="9"/>
  <c r="U215" i="9"/>
  <c r="V214" i="9"/>
  <c r="U214" i="9"/>
  <c r="V213" i="9"/>
  <c r="U213" i="9"/>
  <c r="V212" i="9"/>
  <c r="U212" i="9"/>
  <c r="V211" i="9"/>
  <c r="U211" i="9"/>
  <c r="V210" i="9"/>
  <c r="U210" i="9"/>
  <c r="V209" i="9"/>
  <c r="U209" i="9"/>
  <c r="V208" i="9"/>
  <c r="U208" i="9"/>
  <c r="V207" i="9"/>
  <c r="U207" i="9"/>
  <c r="V206" i="9"/>
  <c r="U206" i="9"/>
  <c r="V205" i="9"/>
  <c r="U205" i="9"/>
  <c r="V204" i="9"/>
  <c r="U204" i="9"/>
  <c r="V203" i="9"/>
  <c r="U203" i="9"/>
  <c r="V202" i="9"/>
  <c r="U202" i="9"/>
  <c r="V201" i="9"/>
  <c r="U201" i="9"/>
  <c r="V200" i="9"/>
  <c r="U200" i="9"/>
  <c r="V199" i="9"/>
  <c r="U199" i="9"/>
  <c r="V198" i="9"/>
  <c r="U198" i="9"/>
  <c r="V197" i="9"/>
  <c r="U197" i="9"/>
  <c r="V196" i="9"/>
  <c r="U196" i="9"/>
  <c r="V195" i="9"/>
  <c r="U195" i="9"/>
  <c r="V194" i="9"/>
  <c r="U194" i="9"/>
  <c r="V193" i="9"/>
  <c r="U193" i="9"/>
  <c r="V192" i="9"/>
  <c r="U192" i="9"/>
  <c r="V191" i="9"/>
  <c r="U191" i="9"/>
  <c r="V190" i="9"/>
  <c r="U190" i="9"/>
  <c r="V189" i="9"/>
  <c r="U189" i="9"/>
  <c r="V188" i="9"/>
  <c r="U188" i="9"/>
  <c r="V187" i="9"/>
  <c r="U187" i="9"/>
  <c r="V186" i="9"/>
  <c r="U186" i="9"/>
  <c r="V185" i="9"/>
  <c r="U185" i="9"/>
  <c r="V184" i="9"/>
  <c r="U184" i="9"/>
  <c r="V183" i="9"/>
  <c r="U183" i="9"/>
  <c r="V182" i="9"/>
  <c r="U182" i="9"/>
  <c r="V181" i="9"/>
  <c r="U181" i="9"/>
  <c r="V180" i="9"/>
  <c r="U180" i="9"/>
  <c r="V179" i="9"/>
  <c r="U179" i="9"/>
  <c r="V178" i="9"/>
  <c r="U178" i="9"/>
  <c r="V177" i="9"/>
  <c r="U177" i="9"/>
  <c r="V176" i="9"/>
  <c r="U176" i="9"/>
  <c r="V175" i="9"/>
  <c r="U175" i="9"/>
  <c r="V174" i="9"/>
  <c r="U174" i="9"/>
  <c r="V173" i="9"/>
  <c r="U173" i="9"/>
  <c r="V172" i="9"/>
  <c r="U172" i="9"/>
  <c r="V171" i="9"/>
  <c r="U171" i="9"/>
  <c r="V170" i="9"/>
  <c r="U170" i="9"/>
  <c r="V169" i="9"/>
  <c r="U169" i="9"/>
  <c r="V168" i="9"/>
  <c r="U168" i="9"/>
  <c r="V167" i="9"/>
  <c r="U167" i="9"/>
  <c r="V166" i="9"/>
  <c r="U166" i="9"/>
  <c r="V165" i="9"/>
  <c r="U165" i="9"/>
  <c r="V164" i="9"/>
  <c r="U164" i="9"/>
  <c r="V163" i="9"/>
  <c r="U163" i="9"/>
  <c r="V162" i="9"/>
  <c r="U162" i="9"/>
  <c r="V161" i="9"/>
  <c r="U161" i="9"/>
  <c r="V160" i="9"/>
  <c r="U160" i="9"/>
  <c r="V159" i="9"/>
  <c r="U159" i="9"/>
  <c r="V158" i="9"/>
  <c r="U158" i="9"/>
  <c r="V157" i="9"/>
  <c r="U157" i="9"/>
  <c r="V156" i="9"/>
  <c r="U156" i="9"/>
  <c r="V155" i="9"/>
  <c r="U155" i="9"/>
  <c r="V154" i="9"/>
  <c r="U154" i="9"/>
  <c r="V153" i="9"/>
  <c r="U153" i="9"/>
  <c r="V152" i="9"/>
  <c r="U152" i="9"/>
  <c r="V151" i="9"/>
  <c r="U151" i="9"/>
  <c r="V150" i="9"/>
  <c r="U150" i="9"/>
  <c r="V149" i="9"/>
  <c r="U149" i="9"/>
  <c r="V148" i="9"/>
  <c r="U148" i="9"/>
  <c r="V147" i="9"/>
  <c r="U147" i="9"/>
  <c r="V146" i="9"/>
  <c r="U146" i="9"/>
  <c r="V145" i="9"/>
  <c r="U145" i="9"/>
  <c r="V144" i="9"/>
  <c r="U144" i="9"/>
  <c r="V143" i="9"/>
  <c r="U143" i="9"/>
  <c r="V142" i="9"/>
  <c r="U142" i="9"/>
  <c r="V141" i="9"/>
  <c r="U141" i="9"/>
  <c r="V140" i="9"/>
  <c r="U140" i="9"/>
  <c r="V139" i="9"/>
  <c r="U139" i="9"/>
  <c r="V138" i="9"/>
  <c r="U138" i="9"/>
  <c r="V137" i="9"/>
  <c r="U137" i="9"/>
  <c r="V136" i="9"/>
  <c r="U136" i="9"/>
  <c r="V135" i="9"/>
  <c r="U135" i="9"/>
  <c r="V134" i="9"/>
  <c r="U134" i="9"/>
  <c r="V133" i="9"/>
  <c r="U133" i="9"/>
  <c r="T54" i="9"/>
  <c r="S54" i="9"/>
  <c r="R54" i="9"/>
  <c r="Q54" i="9"/>
  <c r="P54" i="9"/>
  <c r="O54" i="9"/>
  <c r="N54" i="9"/>
  <c r="M54" i="9"/>
  <c r="L54" i="9"/>
  <c r="K54" i="9"/>
  <c r="J54" i="9"/>
  <c r="I54" i="9"/>
  <c r="V132" i="9"/>
  <c r="U132" i="9"/>
  <c r="T53" i="9"/>
  <c r="S53" i="9"/>
  <c r="R53" i="9"/>
  <c r="Q53" i="9"/>
  <c r="P53" i="9"/>
  <c r="O53" i="9"/>
  <c r="N53" i="9"/>
  <c r="M53" i="9"/>
  <c r="L53" i="9"/>
  <c r="K53" i="9"/>
  <c r="J53" i="9"/>
  <c r="I53" i="9"/>
  <c r="V131" i="9"/>
  <c r="U131" i="9"/>
  <c r="T52" i="9"/>
  <c r="S52" i="9"/>
  <c r="R52" i="9"/>
  <c r="Q52" i="9"/>
  <c r="P52" i="9"/>
  <c r="O52" i="9"/>
  <c r="N52" i="9"/>
  <c r="M52" i="9"/>
  <c r="L52" i="9"/>
  <c r="K52" i="9"/>
  <c r="J52" i="9"/>
  <c r="I52" i="9"/>
  <c r="V130" i="9"/>
  <c r="U130" i="9"/>
  <c r="T51" i="9"/>
  <c r="S51" i="9"/>
  <c r="R51" i="9"/>
  <c r="Q51" i="9"/>
  <c r="P51" i="9"/>
  <c r="O51" i="9"/>
  <c r="N51" i="9"/>
  <c r="M51" i="9"/>
  <c r="L51" i="9"/>
  <c r="K51" i="9"/>
  <c r="J51" i="9"/>
  <c r="I51" i="9"/>
  <c r="V129" i="9"/>
  <c r="U129" i="9"/>
  <c r="T50" i="9"/>
  <c r="S50" i="9"/>
  <c r="R50" i="9"/>
  <c r="Q50" i="9"/>
  <c r="P50" i="9"/>
  <c r="O50" i="9"/>
  <c r="N50" i="9"/>
  <c r="M50" i="9"/>
  <c r="L50" i="9"/>
  <c r="K50" i="9"/>
  <c r="J50" i="9"/>
  <c r="I50" i="9"/>
  <c r="V128" i="9"/>
  <c r="U128" i="9"/>
  <c r="T49" i="9"/>
  <c r="S49" i="9"/>
  <c r="R49" i="9"/>
  <c r="Q49" i="9"/>
  <c r="P49" i="9"/>
  <c r="O49" i="9"/>
  <c r="N49" i="9"/>
  <c r="M49" i="9"/>
  <c r="L49" i="9"/>
  <c r="K49" i="9"/>
  <c r="J49" i="9"/>
  <c r="I49" i="9"/>
  <c r="V127" i="9"/>
  <c r="U127" i="9"/>
  <c r="T48" i="9"/>
  <c r="S48" i="9"/>
  <c r="R48" i="9"/>
  <c r="Q48" i="9"/>
  <c r="P48" i="9"/>
  <c r="O48" i="9"/>
  <c r="N48" i="9"/>
  <c r="M48" i="9"/>
  <c r="L48" i="9"/>
  <c r="K48" i="9"/>
  <c r="J48" i="9"/>
  <c r="I48" i="9"/>
  <c r="V126" i="9"/>
  <c r="U126" i="9"/>
  <c r="T47" i="9"/>
  <c r="S47" i="9"/>
  <c r="R47" i="9"/>
  <c r="Q47" i="9"/>
  <c r="P47" i="9"/>
  <c r="O47" i="9"/>
  <c r="N47" i="9"/>
  <c r="M47" i="9"/>
  <c r="L47" i="9"/>
  <c r="K47" i="9"/>
  <c r="J47" i="9"/>
  <c r="I47" i="9"/>
  <c r="V125" i="9"/>
  <c r="U125" i="9"/>
  <c r="T46" i="9"/>
  <c r="S46" i="9"/>
  <c r="R46" i="9"/>
  <c r="Q46" i="9"/>
  <c r="P46" i="9"/>
  <c r="O46" i="9"/>
  <c r="N46" i="9"/>
  <c r="M46" i="9"/>
  <c r="L46" i="9"/>
  <c r="K46" i="9"/>
  <c r="J46" i="9"/>
  <c r="I46" i="9"/>
  <c r="V124" i="9"/>
  <c r="U124" i="9"/>
  <c r="T45" i="9"/>
  <c r="S45" i="9"/>
  <c r="R45" i="9"/>
  <c r="Q45" i="9"/>
  <c r="P45" i="9"/>
  <c r="O45" i="9"/>
  <c r="N45" i="9"/>
  <c r="M45" i="9"/>
  <c r="L45" i="9"/>
  <c r="K45" i="9"/>
  <c r="J45" i="9"/>
  <c r="I45" i="9"/>
  <c r="V123" i="9"/>
  <c r="U123" i="9"/>
  <c r="T44" i="9"/>
  <c r="S44" i="9"/>
  <c r="R44" i="9"/>
  <c r="Q44" i="9"/>
  <c r="P44" i="9"/>
  <c r="O44" i="9"/>
  <c r="N44" i="9"/>
  <c r="M44" i="9"/>
  <c r="L44" i="9"/>
  <c r="K44" i="9"/>
  <c r="J44" i="9"/>
  <c r="I44" i="9"/>
  <c r="V122" i="9"/>
  <c r="U122" i="9"/>
  <c r="T43" i="9"/>
  <c r="S43" i="9"/>
  <c r="R43" i="9"/>
  <c r="Q43" i="9"/>
  <c r="P43" i="9"/>
  <c r="O43" i="9"/>
  <c r="N43" i="9"/>
  <c r="M43" i="9"/>
  <c r="L43" i="9"/>
  <c r="K43" i="9"/>
  <c r="J43" i="9"/>
  <c r="I43" i="9"/>
  <c r="V121" i="9"/>
  <c r="U121" i="9"/>
  <c r="T42" i="9"/>
  <c r="S42" i="9"/>
  <c r="R42" i="9"/>
  <c r="Q42" i="9"/>
  <c r="P42" i="9"/>
  <c r="O42" i="9"/>
  <c r="N42" i="9"/>
  <c r="M42" i="9"/>
  <c r="L42" i="9"/>
  <c r="K42" i="9"/>
  <c r="J42" i="9"/>
  <c r="I42" i="9"/>
  <c r="V120" i="9"/>
  <c r="U120" i="9"/>
  <c r="T41" i="9"/>
  <c r="S41" i="9"/>
  <c r="R41" i="9"/>
  <c r="Q41" i="9"/>
  <c r="P41" i="9"/>
  <c r="O41" i="9"/>
  <c r="N41" i="9"/>
  <c r="M41" i="9"/>
  <c r="L41" i="9"/>
  <c r="K41" i="9"/>
  <c r="J41" i="9"/>
  <c r="I41" i="9"/>
  <c r="V119" i="9"/>
  <c r="U119" i="9"/>
  <c r="T40" i="9"/>
  <c r="S40" i="9"/>
  <c r="R40" i="9"/>
  <c r="Q40" i="9"/>
  <c r="P40" i="9"/>
  <c r="O40" i="9"/>
  <c r="N40" i="9"/>
  <c r="M40" i="9"/>
  <c r="L40" i="9"/>
  <c r="K40" i="9"/>
  <c r="J40" i="9"/>
  <c r="I40" i="9"/>
  <c r="V118" i="9"/>
  <c r="U118" i="9"/>
  <c r="T39" i="9"/>
  <c r="S39" i="9"/>
  <c r="R39" i="9"/>
  <c r="Q39" i="9"/>
  <c r="P39" i="9"/>
  <c r="O39" i="9"/>
  <c r="N39" i="9"/>
  <c r="M39" i="9"/>
  <c r="L39" i="9"/>
  <c r="K39" i="9"/>
  <c r="J39" i="9"/>
  <c r="I39" i="9"/>
  <c r="V117" i="9"/>
  <c r="U117" i="9"/>
  <c r="T38" i="9"/>
  <c r="S38" i="9"/>
  <c r="R38" i="9"/>
  <c r="Q38" i="9"/>
  <c r="P38" i="9"/>
  <c r="O38" i="9"/>
  <c r="N38" i="9"/>
  <c r="M38" i="9"/>
  <c r="L38" i="9"/>
  <c r="K38" i="9"/>
  <c r="J38" i="9"/>
  <c r="I38" i="9"/>
  <c r="V116" i="9"/>
  <c r="U116" i="9"/>
  <c r="T37" i="9"/>
  <c r="S37" i="9"/>
  <c r="R37" i="9"/>
  <c r="Q37" i="9"/>
  <c r="P37" i="9"/>
  <c r="O37" i="9"/>
  <c r="N37" i="9"/>
  <c r="M37" i="9"/>
  <c r="L37" i="9"/>
  <c r="K37" i="9"/>
  <c r="J37" i="9"/>
  <c r="I37" i="9"/>
  <c r="V115" i="9"/>
  <c r="U115" i="9"/>
  <c r="T36" i="9"/>
  <c r="S36" i="9"/>
  <c r="R36" i="9"/>
  <c r="Q36" i="9"/>
  <c r="P36" i="9"/>
  <c r="O36" i="9"/>
  <c r="N36" i="9"/>
  <c r="M36" i="9"/>
  <c r="L36" i="9"/>
  <c r="K36" i="9"/>
  <c r="J36" i="9"/>
  <c r="I36" i="9"/>
  <c r="V114" i="9"/>
  <c r="U114" i="9"/>
  <c r="T35" i="9"/>
  <c r="S35" i="9"/>
  <c r="R35" i="9"/>
  <c r="Q35" i="9"/>
  <c r="P35" i="9"/>
  <c r="O35" i="9"/>
  <c r="N35" i="9"/>
  <c r="M35" i="9"/>
  <c r="L35" i="9"/>
  <c r="K35" i="9"/>
  <c r="J35" i="9"/>
  <c r="I35" i="9"/>
  <c r="V113" i="9"/>
  <c r="U113" i="9"/>
  <c r="T34" i="9"/>
  <c r="S34" i="9"/>
  <c r="R34" i="9"/>
  <c r="Q34" i="9"/>
  <c r="P34" i="9"/>
  <c r="O34" i="9"/>
  <c r="N34" i="9"/>
  <c r="M34" i="9"/>
  <c r="L34" i="9"/>
  <c r="K34" i="9"/>
  <c r="J34" i="9"/>
  <c r="I34" i="9"/>
  <c r="V112" i="9"/>
  <c r="U112" i="9"/>
  <c r="T33" i="9"/>
  <c r="S33" i="9"/>
  <c r="R33" i="9"/>
  <c r="Q33" i="9"/>
  <c r="P33" i="9"/>
  <c r="O33" i="9"/>
  <c r="N33" i="9"/>
  <c r="M33" i="9"/>
  <c r="L33" i="9"/>
  <c r="K33" i="9"/>
  <c r="J33" i="9"/>
  <c r="I33" i="9"/>
  <c r="V111" i="9"/>
  <c r="U111" i="9"/>
  <c r="T32" i="9"/>
  <c r="S32" i="9"/>
  <c r="R32" i="9"/>
  <c r="Q32" i="9"/>
  <c r="P32" i="9"/>
  <c r="O32" i="9"/>
  <c r="N32" i="9"/>
  <c r="M32" i="9"/>
  <c r="L32" i="9"/>
  <c r="K32" i="9"/>
  <c r="J32" i="9"/>
  <c r="I32" i="9"/>
  <c r="V110" i="9"/>
  <c r="U110" i="9"/>
  <c r="T31" i="9"/>
  <c r="S31" i="9"/>
  <c r="R31" i="9"/>
  <c r="Q31" i="9"/>
  <c r="P31" i="9"/>
  <c r="O31" i="9"/>
  <c r="N31" i="9"/>
  <c r="M31" i="9"/>
  <c r="L31" i="9"/>
  <c r="K31" i="9"/>
  <c r="J31" i="9"/>
  <c r="I31" i="9"/>
  <c r="V109" i="9"/>
  <c r="U109" i="9"/>
  <c r="T30" i="9"/>
  <c r="S30" i="9"/>
  <c r="R30" i="9"/>
  <c r="Q30" i="9"/>
  <c r="P30" i="9"/>
  <c r="O30" i="9"/>
  <c r="N30" i="9"/>
  <c r="M30" i="9"/>
  <c r="L30" i="9"/>
  <c r="K30" i="9"/>
  <c r="J30" i="9"/>
  <c r="I30" i="9"/>
  <c r="V108" i="9"/>
  <c r="U108" i="9"/>
  <c r="T29" i="9"/>
  <c r="S29" i="9"/>
  <c r="R29" i="9"/>
  <c r="Q29" i="9"/>
  <c r="P29" i="9"/>
  <c r="O29" i="9"/>
  <c r="N29" i="9"/>
  <c r="M29" i="9"/>
  <c r="L29" i="9"/>
  <c r="K29" i="9"/>
  <c r="J29" i="9"/>
  <c r="I29" i="9"/>
  <c r="V107" i="9"/>
  <c r="U107" i="9"/>
  <c r="T28" i="9"/>
  <c r="S28" i="9"/>
  <c r="R28" i="9"/>
  <c r="Q28" i="9"/>
  <c r="P28" i="9"/>
  <c r="O28" i="9"/>
  <c r="N28" i="9"/>
  <c r="M28" i="9"/>
  <c r="L28" i="9"/>
  <c r="K28" i="9"/>
  <c r="J28" i="9"/>
  <c r="I28" i="9"/>
  <c r="V106" i="9"/>
  <c r="U106" i="9"/>
  <c r="T27" i="9"/>
  <c r="S27" i="9"/>
  <c r="R27" i="9"/>
  <c r="Q27" i="9"/>
  <c r="P27" i="9"/>
  <c r="O27" i="9"/>
  <c r="N27" i="9"/>
  <c r="M27" i="9"/>
  <c r="L27" i="9"/>
  <c r="K27" i="9"/>
  <c r="J27" i="9"/>
  <c r="I27" i="9"/>
  <c r="V105" i="9"/>
  <c r="U105" i="9"/>
  <c r="T26" i="9"/>
  <c r="S26" i="9"/>
  <c r="R26" i="9"/>
  <c r="Q26" i="9"/>
  <c r="P26" i="9"/>
  <c r="O26" i="9"/>
  <c r="N26" i="9"/>
  <c r="M26" i="9"/>
  <c r="L26" i="9"/>
  <c r="K26" i="9"/>
  <c r="J26" i="9"/>
  <c r="I26" i="9"/>
  <c r="V104" i="9"/>
  <c r="U104" i="9"/>
  <c r="T25" i="9"/>
  <c r="S25" i="9"/>
  <c r="R25" i="9"/>
  <c r="Q25" i="9"/>
  <c r="P25" i="9"/>
  <c r="O25" i="9"/>
  <c r="N25" i="9"/>
  <c r="M25" i="9"/>
  <c r="L25" i="9"/>
  <c r="K25" i="9"/>
  <c r="J25" i="9"/>
  <c r="I25" i="9"/>
  <c r="V103" i="9"/>
  <c r="U103" i="9"/>
  <c r="T24" i="9"/>
  <c r="S24" i="9"/>
  <c r="R24" i="9"/>
  <c r="Q24" i="9"/>
  <c r="P24" i="9"/>
  <c r="O24" i="9"/>
  <c r="N24" i="9"/>
  <c r="M24" i="9"/>
  <c r="L24" i="9"/>
  <c r="K24" i="9"/>
  <c r="J24" i="9"/>
  <c r="I24" i="9"/>
  <c r="V102" i="9"/>
  <c r="U102" i="9"/>
  <c r="T23" i="9"/>
  <c r="S23" i="9"/>
  <c r="R23" i="9"/>
  <c r="Q23" i="9"/>
  <c r="P23" i="9"/>
  <c r="O23" i="9"/>
  <c r="N23" i="9"/>
  <c r="M23" i="9"/>
  <c r="L23" i="9"/>
  <c r="K23" i="9"/>
  <c r="J23" i="9"/>
  <c r="I23" i="9"/>
  <c r="V101" i="9"/>
  <c r="U101" i="9"/>
  <c r="T22" i="9"/>
  <c r="S22" i="9"/>
  <c r="R22" i="9"/>
  <c r="Q22" i="9"/>
  <c r="P22" i="9"/>
  <c r="O22" i="9"/>
  <c r="N22" i="9"/>
  <c r="M22" i="9"/>
  <c r="L22" i="9"/>
  <c r="K22" i="9"/>
  <c r="J22" i="9"/>
  <c r="I22" i="9"/>
  <c r="V100" i="9"/>
  <c r="U100" i="9"/>
  <c r="T21" i="9"/>
  <c r="S21" i="9"/>
  <c r="R21" i="9"/>
  <c r="Q21" i="9"/>
  <c r="P21" i="9"/>
  <c r="O21" i="9"/>
  <c r="N21" i="9"/>
  <c r="M21" i="9"/>
  <c r="L21" i="9"/>
  <c r="K21" i="9"/>
  <c r="J21" i="9"/>
  <c r="I21" i="9"/>
  <c r="V99" i="9"/>
  <c r="U99" i="9"/>
  <c r="T20" i="9"/>
  <c r="S20" i="9"/>
  <c r="R20" i="9"/>
  <c r="Q20" i="9"/>
  <c r="P20" i="9"/>
  <c r="O20" i="9"/>
  <c r="N20" i="9"/>
  <c r="M20" i="9"/>
  <c r="L20" i="9"/>
  <c r="K20" i="9"/>
  <c r="J20" i="9"/>
  <c r="I20" i="9"/>
  <c r="V98" i="9"/>
  <c r="U98" i="9"/>
  <c r="T19" i="9"/>
  <c r="S19" i="9"/>
  <c r="R19" i="9"/>
  <c r="Q19" i="9"/>
  <c r="P19" i="9"/>
  <c r="O19" i="9"/>
  <c r="N19" i="9"/>
  <c r="M19" i="9"/>
  <c r="L19" i="9"/>
  <c r="K19" i="9"/>
  <c r="J19" i="9"/>
  <c r="I19" i="9"/>
  <c r="V97" i="9"/>
  <c r="U97" i="9"/>
  <c r="T18" i="9"/>
  <c r="S18" i="9"/>
  <c r="R18" i="9"/>
  <c r="Q18" i="9"/>
  <c r="P18" i="9"/>
  <c r="O18" i="9"/>
  <c r="N18" i="9"/>
  <c r="M18" i="9"/>
  <c r="L18" i="9"/>
  <c r="K18" i="9"/>
  <c r="J18" i="9"/>
  <c r="I18" i="9"/>
  <c r="V96" i="9"/>
  <c r="U96" i="9"/>
  <c r="T17" i="9"/>
  <c r="S17" i="9"/>
  <c r="R17" i="9"/>
  <c r="Q17" i="9"/>
  <c r="P17" i="9"/>
  <c r="O17" i="9"/>
  <c r="N17" i="9"/>
  <c r="M17" i="9"/>
  <c r="L17" i="9"/>
  <c r="K17" i="9"/>
  <c r="J17" i="9"/>
  <c r="I17" i="9"/>
  <c r="V95" i="9"/>
  <c r="U95" i="9"/>
  <c r="T16" i="9"/>
  <c r="S16" i="9"/>
  <c r="R16" i="9"/>
  <c r="Q16" i="9"/>
  <c r="P16" i="9"/>
  <c r="O16" i="9"/>
  <c r="N16" i="9"/>
  <c r="M16" i="9"/>
  <c r="L16" i="9"/>
  <c r="K16" i="9"/>
  <c r="J16" i="9"/>
  <c r="I16" i="9"/>
  <c r="V94" i="9"/>
  <c r="U94" i="9"/>
  <c r="T15" i="9"/>
  <c r="S15" i="9"/>
  <c r="R15" i="9"/>
  <c r="Q15" i="9"/>
  <c r="P15" i="9"/>
  <c r="O15" i="9"/>
  <c r="N15" i="9"/>
  <c r="M15" i="9"/>
  <c r="L15" i="9"/>
  <c r="K15" i="9"/>
  <c r="J15" i="9"/>
  <c r="I15" i="9"/>
  <c r="V93" i="9"/>
  <c r="U93" i="9"/>
  <c r="T14" i="9"/>
  <c r="S14" i="9"/>
  <c r="R14" i="9"/>
  <c r="Q14" i="9"/>
  <c r="P14" i="9"/>
  <c r="O14" i="9"/>
  <c r="N14" i="9"/>
  <c r="M14" i="9"/>
  <c r="L14" i="9"/>
  <c r="K14" i="9"/>
  <c r="J14" i="9"/>
  <c r="I14" i="9"/>
  <c r="V92" i="9"/>
  <c r="U92" i="9"/>
  <c r="T13" i="9"/>
  <c r="S13" i="9"/>
  <c r="R13" i="9"/>
  <c r="Q13" i="9"/>
  <c r="P13" i="9"/>
  <c r="O13" i="9"/>
  <c r="N13" i="9"/>
  <c r="M13" i="9"/>
  <c r="L13" i="9"/>
  <c r="K13" i="9"/>
  <c r="J13" i="9"/>
  <c r="I13" i="9"/>
  <c r="V91" i="9"/>
  <c r="U91" i="9"/>
  <c r="T12" i="9"/>
  <c r="S12" i="9"/>
  <c r="R12" i="9"/>
  <c r="Q12" i="9"/>
  <c r="P12" i="9"/>
  <c r="O12" i="9"/>
  <c r="N12" i="9"/>
  <c r="M12" i="9"/>
  <c r="L12" i="9"/>
  <c r="K12" i="9"/>
  <c r="J12" i="9"/>
  <c r="I12" i="9"/>
  <c r="V90" i="9"/>
  <c r="U90" i="9"/>
  <c r="T11" i="9"/>
  <c r="S11" i="9"/>
  <c r="R11" i="9"/>
  <c r="Q11" i="9"/>
  <c r="P11" i="9"/>
  <c r="O11" i="9"/>
  <c r="N11" i="9"/>
  <c r="M11" i="9"/>
  <c r="L11" i="9"/>
  <c r="K11" i="9"/>
  <c r="J11" i="9"/>
  <c r="I11" i="9"/>
  <c r="V89" i="9"/>
  <c r="U89" i="9"/>
  <c r="T10" i="9"/>
  <c r="S10" i="9"/>
  <c r="R10" i="9"/>
  <c r="Q10" i="9"/>
  <c r="P10" i="9"/>
  <c r="O10" i="9"/>
  <c r="N10" i="9"/>
  <c r="M10" i="9"/>
  <c r="L10" i="9"/>
  <c r="K10" i="9"/>
  <c r="J10" i="9"/>
  <c r="I10" i="9"/>
  <c r="V88" i="9"/>
  <c r="U88" i="9"/>
  <c r="T9" i="9"/>
  <c r="S9" i="9"/>
  <c r="R9" i="9"/>
  <c r="Q9" i="9"/>
  <c r="P9" i="9"/>
  <c r="O9" i="9"/>
  <c r="N9" i="9"/>
  <c r="M9" i="9"/>
  <c r="L9" i="9"/>
  <c r="K9" i="9"/>
  <c r="J9" i="9"/>
  <c r="I9" i="9"/>
  <c r="V87" i="9"/>
  <c r="U87" i="9"/>
  <c r="T8" i="9"/>
  <c r="S8" i="9"/>
  <c r="R8" i="9"/>
  <c r="Q8" i="9"/>
  <c r="P8" i="9"/>
  <c r="O8" i="9"/>
  <c r="N8" i="9"/>
  <c r="M8" i="9"/>
  <c r="L8" i="9"/>
  <c r="K8" i="9"/>
  <c r="J8" i="9"/>
  <c r="I8" i="9"/>
  <c r="V86" i="9"/>
  <c r="U86" i="9"/>
  <c r="T7" i="9"/>
  <c r="S7" i="9"/>
  <c r="R7" i="9"/>
  <c r="Q7" i="9"/>
  <c r="P7" i="9"/>
  <c r="O7" i="9"/>
  <c r="N7" i="9"/>
  <c r="M7" i="9"/>
  <c r="L7" i="9"/>
  <c r="K7" i="9"/>
  <c r="J7" i="9"/>
  <c r="I7" i="9"/>
  <c r="V85" i="9"/>
  <c r="U85" i="9"/>
  <c r="T6" i="9"/>
  <c r="S6" i="9"/>
  <c r="R6" i="9"/>
  <c r="Q6" i="9"/>
  <c r="P6" i="9"/>
  <c r="O6" i="9"/>
  <c r="N6" i="9"/>
  <c r="M6" i="9"/>
  <c r="L6" i="9"/>
  <c r="K6" i="9"/>
  <c r="J6" i="9"/>
  <c r="I6" i="9"/>
  <c r="V84" i="9"/>
  <c r="U84" i="9"/>
  <c r="T5" i="9"/>
  <c r="S5" i="9"/>
  <c r="R5" i="9"/>
  <c r="Q5" i="9"/>
  <c r="P5" i="9"/>
  <c r="O5" i="9"/>
  <c r="N5" i="9"/>
  <c r="M5" i="9"/>
  <c r="L5" i="9"/>
  <c r="K5" i="9"/>
  <c r="J5" i="9"/>
  <c r="I5" i="9"/>
  <c r="V83" i="9"/>
  <c r="U83" i="9"/>
  <c r="V82" i="9"/>
  <c r="U82" i="9"/>
  <c r="V81" i="9"/>
  <c r="U81" i="9"/>
  <c r="V80" i="9"/>
  <c r="U80" i="9"/>
  <c r="V79" i="9"/>
  <c r="U79" i="9"/>
  <c r="V78" i="9"/>
  <c r="U78" i="9"/>
  <c r="V77" i="9"/>
  <c r="U77" i="9"/>
  <c r="V76" i="9"/>
  <c r="U76" i="9"/>
  <c r="V75" i="9"/>
  <c r="U75" i="9"/>
  <c r="V74" i="9"/>
  <c r="U74" i="9"/>
  <c r="V73" i="9"/>
  <c r="U73" i="9"/>
  <c r="V72" i="9"/>
  <c r="U72" i="9"/>
  <c r="V71" i="9"/>
  <c r="U71" i="9"/>
  <c r="V70" i="9"/>
  <c r="U70" i="9"/>
  <c r="V69" i="9"/>
  <c r="U69" i="9"/>
  <c r="V68" i="9"/>
  <c r="U68" i="9"/>
  <c r="V67" i="9"/>
  <c r="U67" i="9"/>
  <c r="V66" i="9"/>
  <c r="U66" i="9"/>
  <c r="V65" i="9"/>
  <c r="U65" i="9"/>
  <c r="V64" i="9"/>
  <c r="U64" i="9"/>
  <c r="V63" i="9"/>
  <c r="U63" i="9"/>
  <c r="V62" i="9"/>
  <c r="U62" i="9"/>
  <c r="V61" i="9"/>
  <c r="U61" i="9"/>
  <c r="V60" i="9"/>
  <c r="U60" i="9"/>
  <c r="V59" i="9"/>
  <c r="U59" i="9"/>
  <c r="V58" i="9"/>
  <c r="U58" i="9"/>
  <c r="V57" i="9"/>
  <c r="U57" i="9"/>
  <c r="V56" i="9"/>
  <c r="U56" i="9"/>
  <c r="V55" i="9"/>
  <c r="U55" i="9"/>
  <c r="V54" i="9"/>
  <c r="U54" i="9"/>
  <c r="V53" i="9"/>
  <c r="U53" i="9"/>
  <c r="V52" i="9"/>
  <c r="U52" i="9"/>
  <c r="V51" i="9"/>
  <c r="U51" i="9"/>
  <c r="V50" i="9"/>
  <c r="U50" i="9"/>
  <c r="V49" i="9"/>
  <c r="U49" i="9"/>
  <c r="V48" i="9"/>
  <c r="U48" i="9"/>
  <c r="V47" i="9"/>
  <c r="U47" i="9"/>
  <c r="V46" i="9"/>
  <c r="U46" i="9"/>
  <c r="V45" i="9"/>
  <c r="U45" i="9"/>
  <c r="V44" i="9"/>
  <c r="U44" i="9"/>
  <c r="V43" i="9"/>
  <c r="U43" i="9"/>
  <c r="V42" i="9"/>
  <c r="U42" i="9"/>
  <c r="V41" i="9"/>
  <c r="U41" i="9"/>
  <c r="V40" i="9"/>
  <c r="U40" i="9"/>
  <c r="V39" i="9"/>
  <c r="U39" i="9"/>
  <c r="V38" i="9"/>
  <c r="U38" i="9"/>
  <c r="V37" i="9"/>
  <c r="U37" i="9"/>
  <c r="V36" i="9"/>
  <c r="U36" i="9"/>
  <c r="V35" i="9"/>
  <c r="U35" i="9"/>
  <c r="V34" i="9"/>
  <c r="U34" i="9"/>
  <c r="V33" i="9"/>
  <c r="U33" i="9"/>
  <c r="V32" i="9"/>
  <c r="U32" i="9"/>
  <c r="V31" i="9"/>
  <c r="U31" i="9"/>
  <c r="V30" i="9"/>
  <c r="U30" i="9"/>
  <c r="V29" i="9"/>
  <c r="U29" i="9"/>
  <c r="V28" i="9"/>
  <c r="U28" i="9"/>
  <c r="V27" i="9"/>
  <c r="U27" i="9"/>
  <c r="V26" i="9"/>
  <c r="U26" i="9"/>
  <c r="V25" i="9"/>
  <c r="U25" i="9"/>
  <c r="V24" i="9"/>
  <c r="U24" i="9"/>
  <c r="V23" i="9"/>
  <c r="U23" i="9"/>
  <c r="V22" i="9"/>
  <c r="U22" i="9"/>
  <c r="V21" i="9"/>
  <c r="U21" i="9"/>
  <c r="V20" i="9"/>
  <c r="U20" i="9"/>
  <c r="V19" i="9"/>
  <c r="U19" i="9"/>
  <c r="V18" i="9"/>
  <c r="U18" i="9"/>
  <c r="V17" i="9"/>
  <c r="U17" i="9"/>
  <c r="V16" i="9"/>
  <c r="U16" i="9"/>
  <c r="V15" i="9"/>
  <c r="U15" i="9"/>
  <c r="V14" i="9"/>
  <c r="U14" i="9"/>
  <c r="V13" i="9"/>
  <c r="U13" i="9"/>
  <c r="V12" i="9"/>
  <c r="U12" i="9"/>
  <c r="V11" i="9"/>
  <c r="U11" i="9"/>
  <c r="V10" i="9"/>
  <c r="U10" i="9"/>
  <c r="V9" i="9"/>
  <c r="U9" i="9"/>
  <c r="V8" i="9"/>
  <c r="U8" i="9"/>
  <c r="V7" i="9"/>
  <c r="U7" i="9"/>
  <c r="V6" i="9"/>
  <c r="U6" i="9"/>
  <c r="V5" i="9"/>
  <c r="U5" i="9"/>
  <c r="V4" i="9"/>
  <c r="U4" i="9"/>
  <c r="T4" i="9"/>
  <c r="S4" i="9"/>
  <c r="R4" i="9"/>
  <c r="Q4" i="9"/>
  <c r="P4" i="9"/>
  <c r="O4" i="9"/>
  <c r="N4" i="9"/>
  <c r="M4" i="9"/>
  <c r="L4" i="9"/>
  <c r="K4" i="9"/>
  <c r="J4" i="9"/>
  <c r="I4" i="9"/>
  <c r="V273" i="8"/>
  <c r="U273" i="8"/>
  <c r="V272" i="8"/>
  <c r="U272" i="8"/>
  <c r="T6" i="8"/>
  <c r="S6" i="8"/>
  <c r="R6" i="8"/>
  <c r="Q6" i="8"/>
  <c r="P6" i="8"/>
  <c r="O6" i="8"/>
  <c r="N6" i="8"/>
  <c r="M6" i="8"/>
  <c r="L6" i="8"/>
  <c r="K6" i="8"/>
  <c r="J6" i="8"/>
  <c r="I6" i="8"/>
  <c r="V271" i="8"/>
  <c r="U271" i="8"/>
  <c r="T5" i="8"/>
  <c r="S5" i="8"/>
  <c r="R5" i="8"/>
  <c r="Q5" i="8"/>
  <c r="P5" i="8"/>
  <c r="O5" i="8"/>
  <c r="N5" i="8"/>
  <c r="M5" i="8"/>
  <c r="L5" i="8"/>
  <c r="K5" i="8"/>
  <c r="J5" i="8"/>
  <c r="I5" i="8"/>
  <c r="V270" i="8"/>
  <c r="V269" i="8"/>
  <c r="U269" i="8"/>
  <c r="V268" i="8"/>
  <c r="U268" i="8"/>
  <c r="V267" i="8"/>
  <c r="U267" i="8"/>
  <c r="V266" i="8"/>
  <c r="U266" i="8"/>
  <c r="V265" i="8"/>
  <c r="U265" i="8"/>
  <c r="V264" i="8"/>
  <c r="U264" i="8"/>
  <c r="V263" i="8"/>
  <c r="U263" i="8"/>
  <c r="V262" i="8"/>
  <c r="U262" i="8"/>
  <c r="V261" i="8"/>
  <c r="U261" i="8"/>
  <c r="V260" i="8"/>
  <c r="U260" i="8"/>
  <c r="V259" i="8"/>
  <c r="U259" i="8"/>
  <c r="V258" i="8"/>
  <c r="U258" i="8"/>
  <c r="V257" i="8"/>
  <c r="U257" i="8"/>
  <c r="V256" i="8"/>
  <c r="U256" i="8"/>
  <c r="V255" i="8"/>
  <c r="U255" i="8"/>
  <c r="V254" i="8"/>
  <c r="U254" i="8"/>
  <c r="V253" i="8"/>
  <c r="U253" i="8"/>
  <c r="V252" i="8"/>
  <c r="U252" i="8"/>
  <c r="V251" i="8"/>
  <c r="U251" i="8"/>
  <c r="V250" i="8"/>
  <c r="U250" i="8"/>
  <c r="V249" i="8"/>
  <c r="U249" i="8"/>
  <c r="V248" i="8"/>
  <c r="U248" i="8"/>
  <c r="V247" i="8"/>
  <c r="U247" i="8"/>
  <c r="V246" i="8"/>
  <c r="U246" i="8"/>
  <c r="V245" i="8"/>
  <c r="U245" i="8"/>
  <c r="V244" i="8"/>
  <c r="U244" i="8"/>
  <c r="V243" i="8"/>
  <c r="U243" i="8"/>
  <c r="V242" i="8"/>
  <c r="U242" i="8"/>
  <c r="V241" i="8"/>
  <c r="U241" i="8"/>
  <c r="V240" i="8"/>
  <c r="U240" i="8"/>
  <c r="V239" i="8"/>
  <c r="U239" i="8"/>
  <c r="V238" i="8"/>
  <c r="U238" i="8"/>
  <c r="V237" i="8"/>
  <c r="U237" i="8"/>
  <c r="V236" i="8"/>
  <c r="U236" i="8"/>
  <c r="V235" i="8"/>
  <c r="U235" i="8"/>
  <c r="V234" i="8"/>
  <c r="U234" i="8"/>
  <c r="V233" i="8"/>
  <c r="U233" i="8"/>
  <c r="V232" i="8"/>
  <c r="U232" i="8"/>
  <c r="V231" i="8"/>
  <c r="U231" i="8"/>
  <c r="V230" i="8"/>
  <c r="U230" i="8"/>
  <c r="V229" i="8"/>
  <c r="U229" i="8"/>
  <c r="V228" i="8"/>
  <c r="U228" i="8"/>
  <c r="V227" i="8"/>
  <c r="U227" i="8"/>
  <c r="V226" i="8"/>
  <c r="U226" i="8"/>
  <c r="V225" i="8"/>
  <c r="U225" i="8"/>
  <c r="V224" i="8"/>
  <c r="U224" i="8"/>
  <c r="V223" i="8"/>
  <c r="U223" i="8"/>
  <c r="V222" i="8"/>
  <c r="U222" i="8"/>
  <c r="V221" i="8"/>
  <c r="U221" i="8"/>
  <c r="V220" i="8"/>
  <c r="U220" i="8"/>
  <c r="V219" i="8"/>
  <c r="U219" i="8"/>
  <c r="V218" i="8"/>
  <c r="U218" i="8"/>
  <c r="V217" i="8"/>
  <c r="U217" i="8"/>
  <c r="V216" i="8"/>
  <c r="U216" i="8"/>
  <c r="V215" i="8"/>
  <c r="U215" i="8"/>
  <c r="V214" i="8"/>
  <c r="U214" i="8"/>
  <c r="V213" i="8"/>
  <c r="U213" i="8"/>
  <c r="V212" i="8"/>
  <c r="U212" i="8"/>
  <c r="V211" i="8"/>
  <c r="U211" i="8"/>
  <c r="V210" i="8"/>
  <c r="U210" i="8"/>
  <c r="V209" i="8"/>
  <c r="U209" i="8"/>
  <c r="V208" i="8"/>
  <c r="U208" i="8"/>
  <c r="V207" i="8"/>
  <c r="U207" i="8"/>
  <c r="V206" i="8"/>
  <c r="U206" i="8"/>
  <c r="V205" i="8"/>
  <c r="U205" i="8"/>
  <c r="V204" i="8"/>
  <c r="U204" i="8"/>
  <c r="V203" i="8"/>
  <c r="U203" i="8"/>
  <c r="V202" i="8"/>
  <c r="U202" i="8"/>
  <c r="V201" i="8"/>
  <c r="U201" i="8"/>
  <c r="V200" i="8"/>
  <c r="U200" i="8"/>
  <c r="V199" i="8"/>
  <c r="U199" i="8"/>
  <c r="V198" i="8"/>
  <c r="U198" i="8"/>
  <c r="V197" i="8"/>
  <c r="U197" i="8"/>
  <c r="V196" i="8"/>
  <c r="U196" i="8"/>
  <c r="V195" i="8"/>
  <c r="U195" i="8"/>
  <c r="V194" i="8"/>
  <c r="U194" i="8"/>
  <c r="V193" i="8"/>
  <c r="U193" i="8"/>
  <c r="V192" i="8"/>
  <c r="U192" i="8"/>
  <c r="V191" i="8"/>
  <c r="U191" i="8"/>
  <c r="V190" i="8"/>
  <c r="U190" i="8"/>
  <c r="V189" i="8"/>
  <c r="U189" i="8"/>
  <c r="V188" i="8"/>
  <c r="U188" i="8"/>
  <c r="V187" i="8"/>
  <c r="U187" i="8"/>
  <c r="V186" i="8"/>
  <c r="U186" i="8"/>
  <c r="V185" i="8"/>
  <c r="U185" i="8"/>
  <c r="V184" i="8"/>
  <c r="U184" i="8"/>
  <c r="V183" i="8"/>
  <c r="U183" i="8"/>
  <c r="V182" i="8"/>
  <c r="U182" i="8"/>
  <c r="V181" i="8"/>
  <c r="U181" i="8"/>
  <c r="V180" i="8"/>
  <c r="U180" i="8"/>
  <c r="V179" i="8"/>
  <c r="U179" i="8"/>
  <c r="V178" i="8"/>
  <c r="U178" i="8"/>
  <c r="V177" i="8"/>
  <c r="U177" i="8"/>
  <c r="V176" i="8"/>
  <c r="U176" i="8"/>
  <c r="V175" i="8"/>
  <c r="U175" i="8"/>
  <c r="V174" i="8"/>
  <c r="U174" i="8"/>
  <c r="V173" i="8"/>
  <c r="U173" i="8"/>
  <c r="V172" i="8"/>
  <c r="U172" i="8"/>
  <c r="V171" i="8"/>
  <c r="U171" i="8"/>
  <c r="V170" i="8"/>
  <c r="U170" i="8"/>
  <c r="V169" i="8"/>
  <c r="U169" i="8"/>
  <c r="V168" i="8"/>
  <c r="U168" i="8"/>
  <c r="V167" i="8"/>
  <c r="U167" i="8"/>
  <c r="V166" i="8"/>
  <c r="U166" i="8"/>
  <c r="V165" i="8"/>
  <c r="U165" i="8"/>
  <c r="V164" i="8"/>
  <c r="U164" i="8"/>
  <c r="V163" i="8"/>
  <c r="U163" i="8"/>
  <c r="V162" i="8"/>
  <c r="U162" i="8"/>
  <c r="V161" i="8"/>
  <c r="U161" i="8"/>
  <c r="V160" i="8"/>
  <c r="U160" i="8"/>
  <c r="V159" i="8"/>
  <c r="U159" i="8"/>
  <c r="V158" i="8"/>
  <c r="U158" i="8"/>
  <c r="V157" i="8"/>
  <c r="U157" i="8"/>
  <c r="V156" i="8"/>
  <c r="U156" i="8"/>
  <c r="V155" i="8"/>
  <c r="U155" i="8"/>
  <c r="V154" i="8"/>
  <c r="U154" i="8"/>
  <c r="V153" i="8"/>
  <c r="U153" i="8"/>
  <c r="V152" i="8"/>
  <c r="U152" i="8"/>
  <c r="V151" i="8"/>
  <c r="U151" i="8"/>
  <c r="V150" i="8"/>
  <c r="U150" i="8"/>
  <c r="V149" i="8"/>
  <c r="U149" i="8"/>
  <c r="V148" i="8"/>
  <c r="U148" i="8"/>
  <c r="V147" i="8"/>
  <c r="U147" i="8"/>
  <c r="V146" i="8"/>
  <c r="U146" i="8"/>
  <c r="V145" i="8"/>
  <c r="U145" i="8"/>
  <c r="V144" i="8"/>
  <c r="U144" i="8"/>
  <c r="V143" i="8"/>
  <c r="U143" i="8"/>
  <c r="V142" i="8"/>
  <c r="U142" i="8"/>
  <c r="V141" i="8"/>
  <c r="U141" i="8"/>
  <c r="V140" i="8"/>
  <c r="U140" i="8"/>
  <c r="V139" i="8"/>
  <c r="U139" i="8"/>
  <c r="V138" i="8"/>
  <c r="U138" i="8"/>
  <c r="V137" i="8"/>
  <c r="U137" i="8"/>
  <c r="V136" i="8"/>
  <c r="U136" i="8"/>
  <c r="V135" i="8"/>
  <c r="U135" i="8"/>
  <c r="V134" i="8"/>
  <c r="U134" i="8"/>
  <c r="V133" i="8"/>
  <c r="U133" i="8"/>
  <c r="V132" i="8"/>
  <c r="U132" i="8"/>
  <c r="V131" i="8"/>
  <c r="U131" i="8"/>
  <c r="V130" i="8"/>
  <c r="U130" i="8"/>
  <c r="V129" i="8"/>
  <c r="U129" i="8"/>
  <c r="V128" i="8"/>
  <c r="U128" i="8"/>
  <c r="V127" i="8"/>
  <c r="U127" i="8"/>
  <c r="V126" i="8"/>
  <c r="U126" i="8"/>
  <c r="V125" i="8"/>
  <c r="U125" i="8"/>
  <c r="V124" i="8"/>
  <c r="U124" i="8"/>
  <c r="V123" i="8"/>
  <c r="U123" i="8"/>
  <c r="V122" i="8"/>
  <c r="U122" i="8"/>
  <c r="V121" i="8"/>
  <c r="U121" i="8"/>
  <c r="V120" i="8"/>
  <c r="U120" i="8"/>
  <c r="V119" i="8"/>
  <c r="U119" i="8"/>
  <c r="V118" i="8"/>
  <c r="U118" i="8"/>
  <c r="V117" i="8"/>
  <c r="U117" i="8"/>
  <c r="V116" i="8"/>
  <c r="U116" i="8"/>
  <c r="V115" i="8"/>
  <c r="U115" i="8"/>
  <c r="V114" i="8"/>
  <c r="U114" i="8"/>
  <c r="V113" i="8"/>
  <c r="U113" i="8"/>
  <c r="V112" i="8"/>
  <c r="U112" i="8"/>
  <c r="V111" i="8"/>
  <c r="U111" i="8"/>
  <c r="V110" i="8"/>
  <c r="U110" i="8"/>
  <c r="V109" i="8"/>
  <c r="U109" i="8"/>
  <c r="V108" i="8"/>
  <c r="U108" i="8"/>
  <c r="V107" i="8"/>
  <c r="U107" i="8"/>
  <c r="V106" i="8"/>
  <c r="U106" i="8"/>
  <c r="V105" i="8"/>
  <c r="U105" i="8"/>
  <c r="V104" i="8"/>
  <c r="U104" i="8"/>
  <c r="V103" i="8"/>
  <c r="U103" i="8"/>
  <c r="V102" i="8"/>
  <c r="U102" i="8"/>
  <c r="V101" i="8"/>
  <c r="U101" i="8"/>
  <c r="V100" i="8"/>
  <c r="U100" i="8"/>
  <c r="V99" i="8"/>
  <c r="U99" i="8"/>
  <c r="V98" i="8"/>
  <c r="U98" i="8"/>
  <c r="V97" i="8"/>
  <c r="U97" i="8"/>
  <c r="V96" i="8"/>
  <c r="U96" i="8"/>
  <c r="V95" i="8"/>
  <c r="U95" i="8"/>
  <c r="V94" i="8"/>
  <c r="U94" i="8"/>
  <c r="V93" i="8"/>
  <c r="U93" i="8"/>
  <c r="V92" i="8"/>
  <c r="U92" i="8"/>
  <c r="V91" i="8"/>
  <c r="U91" i="8"/>
  <c r="V90" i="8"/>
  <c r="U90" i="8"/>
  <c r="V89" i="8"/>
  <c r="U89" i="8"/>
  <c r="V88" i="8"/>
  <c r="U88" i="8"/>
  <c r="V87" i="8"/>
  <c r="U87" i="8"/>
  <c r="V86" i="8"/>
  <c r="U86" i="8"/>
  <c r="V85" i="8"/>
  <c r="U85" i="8"/>
  <c r="V84" i="8"/>
  <c r="U84" i="8"/>
  <c r="V83" i="8"/>
  <c r="U83" i="8"/>
  <c r="V82" i="8"/>
  <c r="U82" i="8"/>
  <c r="V81" i="8"/>
  <c r="U81" i="8"/>
  <c r="V80" i="8"/>
  <c r="U80" i="8"/>
  <c r="V79" i="8"/>
  <c r="U79" i="8"/>
  <c r="V78" i="8"/>
  <c r="U78" i="8"/>
  <c r="V77" i="8"/>
  <c r="U77" i="8"/>
  <c r="V76" i="8"/>
  <c r="U76" i="8"/>
  <c r="V75" i="8"/>
  <c r="U75" i="8"/>
  <c r="V74" i="8"/>
  <c r="U74" i="8"/>
  <c r="V73" i="8"/>
  <c r="U73" i="8"/>
  <c r="V72" i="8"/>
  <c r="U72" i="8"/>
  <c r="V71" i="8"/>
  <c r="U71" i="8"/>
  <c r="V70" i="8"/>
  <c r="U70" i="8"/>
  <c r="V69" i="8"/>
  <c r="U69" i="8"/>
  <c r="V68" i="8"/>
  <c r="U68" i="8"/>
  <c r="V67" i="8"/>
  <c r="U67" i="8"/>
  <c r="V66" i="8"/>
  <c r="U66" i="8"/>
  <c r="V65" i="8"/>
  <c r="U65" i="8"/>
  <c r="V64" i="8"/>
  <c r="U64" i="8"/>
  <c r="V63" i="8"/>
  <c r="U63" i="8"/>
  <c r="V62" i="8"/>
  <c r="U62" i="8"/>
  <c r="V61" i="8"/>
  <c r="U61" i="8"/>
  <c r="V60" i="8"/>
  <c r="U60" i="8"/>
  <c r="V59" i="8"/>
  <c r="U59" i="8"/>
  <c r="V58" i="8"/>
  <c r="U58" i="8"/>
  <c r="V57" i="8"/>
  <c r="U57" i="8"/>
  <c r="V56" i="8"/>
  <c r="U56" i="8"/>
  <c r="V55" i="8"/>
  <c r="U55" i="8"/>
  <c r="V54" i="8"/>
  <c r="U54" i="8"/>
  <c r="V53" i="8"/>
  <c r="U53" i="8"/>
  <c r="V52" i="8"/>
  <c r="U52" i="8"/>
  <c r="V51" i="8"/>
  <c r="U51" i="8"/>
  <c r="V50" i="8"/>
  <c r="U50" i="8"/>
  <c r="V49" i="8"/>
  <c r="U49" i="8"/>
  <c r="V48" i="8"/>
  <c r="U48" i="8"/>
  <c r="V47" i="8"/>
  <c r="U47" i="8"/>
  <c r="V46" i="8"/>
  <c r="U46" i="8"/>
  <c r="V45" i="8"/>
  <c r="U45" i="8"/>
  <c r="V44" i="8"/>
  <c r="U44" i="8"/>
  <c r="V43" i="8"/>
  <c r="U43" i="8"/>
  <c r="V42" i="8"/>
  <c r="U42" i="8"/>
  <c r="V41" i="8"/>
  <c r="U41" i="8"/>
  <c r="V40" i="8"/>
  <c r="U40" i="8"/>
  <c r="V39" i="8"/>
  <c r="U39" i="8"/>
  <c r="V38" i="8"/>
  <c r="U38" i="8"/>
  <c r="V37" i="8"/>
  <c r="U37" i="8"/>
  <c r="V36" i="8"/>
  <c r="U36" i="8"/>
  <c r="V35" i="8"/>
  <c r="U35" i="8"/>
  <c r="V34" i="8"/>
  <c r="U34" i="8"/>
  <c r="V33" i="8"/>
  <c r="U33" i="8"/>
  <c r="V32" i="8"/>
  <c r="U32" i="8"/>
  <c r="V31" i="8"/>
  <c r="U31" i="8"/>
  <c r="V30" i="8"/>
  <c r="U30" i="8"/>
  <c r="V29" i="8"/>
  <c r="U29" i="8"/>
  <c r="V28" i="8"/>
  <c r="U28" i="8"/>
  <c r="V27" i="8"/>
  <c r="U27" i="8"/>
  <c r="V26" i="8"/>
  <c r="U26" i="8"/>
  <c r="V25" i="8"/>
  <c r="U25" i="8"/>
  <c r="V24" i="8"/>
  <c r="U24" i="8"/>
  <c r="V23" i="8"/>
  <c r="U23" i="8"/>
  <c r="V22" i="8"/>
  <c r="U22" i="8"/>
  <c r="V21" i="8"/>
  <c r="U21" i="8"/>
  <c r="V20" i="8"/>
  <c r="U20" i="8"/>
  <c r="V19" i="8"/>
  <c r="U19" i="8"/>
  <c r="V18" i="8"/>
  <c r="U18" i="8"/>
  <c r="V17" i="8"/>
  <c r="U17" i="8"/>
  <c r="V16" i="8"/>
  <c r="U16" i="8"/>
  <c r="V15" i="8"/>
  <c r="U15" i="8"/>
  <c r="V14" i="8"/>
  <c r="U14" i="8"/>
  <c r="V13" i="8"/>
  <c r="U13" i="8"/>
  <c r="V12" i="8"/>
  <c r="U12" i="8"/>
  <c r="V11" i="8"/>
  <c r="U11" i="8"/>
  <c r="V10" i="8"/>
  <c r="U10" i="8"/>
  <c r="V9" i="8"/>
  <c r="U9" i="8"/>
  <c r="V8" i="8"/>
  <c r="U8" i="8"/>
  <c r="V7" i="8"/>
  <c r="U7" i="8"/>
  <c r="V6" i="8"/>
  <c r="U6" i="8"/>
  <c r="V5" i="8"/>
  <c r="U5" i="8"/>
  <c r="V4" i="8"/>
  <c r="U4" i="8"/>
  <c r="T4" i="8"/>
  <c r="S4" i="8"/>
  <c r="R4" i="8"/>
  <c r="Q4" i="8"/>
  <c r="P4" i="8"/>
  <c r="O4" i="8"/>
  <c r="N4" i="8"/>
  <c r="M4" i="8"/>
  <c r="L4" i="8"/>
  <c r="K4" i="8"/>
  <c r="J4" i="8"/>
  <c r="I4" i="8"/>
  <c r="U273" i="7"/>
  <c r="U272" i="7"/>
  <c r="T41" i="7"/>
  <c r="S41" i="7"/>
  <c r="R41" i="7"/>
  <c r="Q41" i="7"/>
  <c r="P41" i="7"/>
  <c r="O41" i="7"/>
  <c r="N41" i="7"/>
  <c r="M41" i="7"/>
  <c r="L41" i="7"/>
  <c r="K41" i="7"/>
  <c r="J41" i="7"/>
  <c r="I41" i="7"/>
  <c r="U271" i="7"/>
  <c r="T40" i="7"/>
  <c r="S40" i="7"/>
  <c r="R40" i="7"/>
  <c r="Q40" i="7"/>
  <c r="P40" i="7"/>
  <c r="O40" i="7"/>
  <c r="N40" i="7"/>
  <c r="M40" i="7"/>
  <c r="L40" i="7"/>
  <c r="K40" i="7"/>
  <c r="J40" i="7"/>
  <c r="I40" i="7"/>
  <c r="U269" i="7"/>
  <c r="U268" i="7"/>
  <c r="U267" i="7"/>
  <c r="U266" i="7"/>
  <c r="U265" i="7"/>
  <c r="U264" i="7"/>
  <c r="U263" i="7"/>
  <c r="U262" i="7"/>
  <c r="U261" i="7"/>
  <c r="U260" i="7"/>
  <c r="U259" i="7"/>
  <c r="U258" i="7"/>
  <c r="U257" i="7"/>
  <c r="U256" i="7"/>
  <c r="U255" i="7"/>
  <c r="U254" i="7"/>
  <c r="U253" i="7"/>
  <c r="U252" i="7"/>
  <c r="U251" i="7"/>
  <c r="U250" i="7"/>
  <c r="U249" i="7"/>
  <c r="U248" i="7"/>
  <c r="U247" i="7"/>
  <c r="U246" i="7"/>
  <c r="U245" i="7"/>
  <c r="U244" i="7"/>
  <c r="U243" i="7"/>
  <c r="U242" i="7"/>
  <c r="U241" i="7"/>
  <c r="U240" i="7"/>
  <c r="U239" i="7"/>
  <c r="U238" i="7"/>
  <c r="U237" i="7"/>
  <c r="U236" i="7"/>
  <c r="U235" i="7"/>
  <c r="U234" i="7"/>
  <c r="U233" i="7"/>
  <c r="U232" i="7"/>
  <c r="U231" i="7"/>
  <c r="U230" i="7"/>
  <c r="U229" i="7"/>
  <c r="U228" i="7"/>
  <c r="U227" i="7"/>
  <c r="U226" i="7"/>
  <c r="U225" i="7"/>
  <c r="U224" i="7"/>
  <c r="U223" i="7"/>
  <c r="U222" i="7"/>
  <c r="U221" i="7"/>
  <c r="U220" i="7"/>
  <c r="U219" i="7"/>
  <c r="U218" i="7"/>
  <c r="U217" i="7"/>
  <c r="U216" i="7"/>
  <c r="U215" i="7"/>
  <c r="U214" i="7"/>
  <c r="U213" i="7"/>
  <c r="U212" i="7"/>
  <c r="U211" i="7"/>
  <c r="U210" i="7"/>
  <c r="U209" i="7"/>
  <c r="U208" i="7"/>
  <c r="U207" i="7"/>
  <c r="U206" i="7"/>
  <c r="U205" i="7"/>
  <c r="U204" i="7"/>
  <c r="U203" i="7"/>
  <c r="U202" i="7"/>
  <c r="U201" i="7"/>
  <c r="U200" i="7"/>
  <c r="U199" i="7"/>
  <c r="U198" i="7"/>
  <c r="U197" i="7"/>
  <c r="U196" i="7"/>
  <c r="U195" i="7"/>
  <c r="U194" i="7"/>
  <c r="U193" i="7"/>
  <c r="U192" i="7"/>
  <c r="U191" i="7"/>
  <c r="U190" i="7"/>
  <c r="U189" i="7"/>
  <c r="U188" i="7"/>
  <c r="U187" i="7"/>
  <c r="U186" i="7"/>
  <c r="U185" i="7"/>
  <c r="U184" i="7"/>
  <c r="U183" i="7"/>
  <c r="U182" i="7"/>
  <c r="U181" i="7"/>
  <c r="U180" i="7"/>
  <c r="U179" i="7"/>
  <c r="U178" i="7"/>
  <c r="U177" i="7"/>
  <c r="U176" i="7"/>
  <c r="U175" i="7"/>
  <c r="U174" i="7"/>
  <c r="U173" i="7"/>
  <c r="U172" i="7"/>
  <c r="U171" i="7"/>
  <c r="U170" i="7"/>
  <c r="U169" i="7"/>
  <c r="U168" i="7"/>
  <c r="U167" i="7"/>
  <c r="U166" i="7"/>
  <c r="U165" i="7"/>
  <c r="U164" i="7"/>
  <c r="U163" i="7"/>
  <c r="U162" i="7"/>
  <c r="U161" i="7"/>
  <c r="U160" i="7"/>
  <c r="U159" i="7"/>
  <c r="U158" i="7"/>
  <c r="U157" i="7"/>
  <c r="U156" i="7"/>
  <c r="U155" i="7"/>
  <c r="U154" i="7"/>
  <c r="U153" i="7"/>
  <c r="U152" i="7"/>
  <c r="U151" i="7"/>
  <c r="U150" i="7"/>
  <c r="U149" i="7"/>
  <c r="U148" i="7"/>
  <c r="U147" i="7"/>
  <c r="U146" i="7"/>
  <c r="U145" i="7"/>
  <c r="U144" i="7"/>
  <c r="U143" i="7"/>
  <c r="U142" i="7"/>
  <c r="U141" i="7"/>
  <c r="U140" i="7"/>
  <c r="U139" i="7"/>
  <c r="U138" i="7"/>
  <c r="U137" i="7"/>
  <c r="U136" i="7"/>
  <c r="U135" i="7"/>
  <c r="U134" i="7"/>
  <c r="U133" i="7"/>
  <c r="U132" i="7"/>
  <c r="U131" i="7"/>
  <c r="U130" i="7"/>
  <c r="U129" i="7"/>
  <c r="U128" i="7"/>
  <c r="U127" i="7"/>
  <c r="U126" i="7"/>
  <c r="U125" i="7"/>
  <c r="U124" i="7"/>
  <c r="U123" i="7"/>
  <c r="U122" i="7"/>
  <c r="U121" i="7"/>
  <c r="U120" i="7"/>
  <c r="U119" i="7"/>
  <c r="U118" i="7"/>
  <c r="U117" i="7"/>
  <c r="U116" i="7"/>
  <c r="U115" i="7"/>
  <c r="U114" i="7"/>
  <c r="U113" i="7"/>
  <c r="U112" i="7"/>
  <c r="U111" i="7"/>
  <c r="U110" i="7"/>
  <c r="U109" i="7"/>
  <c r="U108" i="7"/>
  <c r="U107" i="7"/>
  <c r="U106" i="7"/>
  <c r="U105" i="7"/>
  <c r="U104" i="7"/>
  <c r="U103" i="7"/>
  <c r="U102" i="7"/>
  <c r="U101" i="7"/>
  <c r="U100" i="7"/>
  <c r="U99" i="7"/>
  <c r="U98" i="7"/>
  <c r="U97" i="7"/>
  <c r="U96" i="7"/>
  <c r="U95" i="7"/>
  <c r="U94" i="7"/>
  <c r="U93" i="7"/>
  <c r="U92" i="7"/>
  <c r="U91" i="7"/>
  <c r="U90" i="7"/>
  <c r="U89" i="7"/>
  <c r="U88" i="7"/>
  <c r="U87" i="7"/>
  <c r="U86" i="7"/>
  <c r="U85" i="7"/>
  <c r="U84" i="7"/>
  <c r="T39" i="7"/>
  <c r="S39" i="7"/>
  <c r="R39" i="7"/>
  <c r="Q39" i="7"/>
  <c r="P39" i="7"/>
  <c r="O39" i="7"/>
  <c r="N39" i="7"/>
  <c r="M39" i="7"/>
  <c r="L39" i="7"/>
  <c r="K39" i="7"/>
  <c r="J39" i="7"/>
  <c r="I39" i="7"/>
  <c r="U83" i="7"/>
  <c r="T38" i="7"/>
  <c r="S38" i="7"/>
  <c r="R38" i="7"/>
  <c r="Q38" i="7"/>
  <c r="P38" i="7"/>
  <c r="O38" i="7"/>
  <c r="N38" i="7"/>
  <c r="M38" i="7"/>
  <c r="L38" i="7"/>
  <c r="K38" i="7"/>
  <c r="J38" i="7"/>
  <c r="I38" i="7"/>
  <c r="U82" i="7"/>
  <c r="T37" i="7"/>
  <c r="S37" i="7"/>
  <c r="R37" i="7"/>
  <c r="Q37" i="7"/>
  <c r="P37" i="7"/>
  <c r="O37" i="7"/>
  <c r="N37" i="7"/>
  <c r="M37" i="7"/>
  <c r="L37" i="7"/>
  <c r="K37" i="7"/>
  <c r="J37" i="7"/>
  <c r="I37" i="7"/>
  <c r="U81" i="7"/>
  <c r="T36" i="7"/>
  <c r="S36" i="7"/>
  <c r="R36" i="7"/>
  <c r="Q36" i="7"/>
  <c r="P36" i="7"/>
  <c r="O36" i="7"/>
  <c r="N36" i="7"/>
  <c r="M36" i="7"/>
  <c r="L36" i="7"/>
  <c r="K36" i="7"/>
  <c r="J36" i="7"/>
  <c r="I36" i="7"/>
  <c r="U80" i="7"/>
  <c r="T35" i="7"/>
  <c r="S35" i="7"/>
  <c r="R35" i="7"/>
  <c r="Q35" i="7"/>
  <c r="P35" i="7"/>
  <c r="O35" i="7"/>
  <c r="N35" i="7"/>
  <c r="M35" i="7"/>
  <c r="L35" i="7"/>
  <c r="K35" i="7"/>
  <c r="J35" i="7"/>
  <c r="I35" i="7"/>
  <c r="U79" i="7"/>
  <c r="T34" i="7"/>
  <c r="S34" i="7"/>
  <c r="R34" i="7"/>
  <c r="Q34" i="7"/>
  <c r="P34" i="7"/>
  <c r="O34" i="7"/>
  <c r="N34" i="7"/>
  <c r="M34" i="7"/>
  <c r="L34" i="7"/>
  <c r="K34" i="7"/>
  <c r="J34" i="7"/>
  <c r="I34" i="7"/>
  <c r="U78" i="7"/>
  <c r="T33" i="7"/>
  <c r="S33" i="7"/>
  <c r="R33" i="7"/>
  <c r="Q33" i="7"/>
  <c r="P33" i="7"/>
  <c r="O33" i="7"/>
  <c r="N33" i="7"/>
  <c r="M33" i="7"/>
  <c r="L33" i="7"/>
  <c r="K33" i="7"/>
  <c r="J33" i="7"/>
  <c r="I33" i="7"/>
  <c r="U77" i="7"/>
  <c r="T32" i="7"/>
  <c r="S32" i="7"/>
  <c r="R32" i="7"/>
  <c r="Q32" i="7"/>
  <c r="P32" i="7"/>
  <c r="O32" i="7"/>
  <c r="N32" i="7"/>
  <c r="M32" i="7"/>
  <c r="L32" i="7"/>
  <c r="K32" i="7"/>
  <c r="J32" i="7"/>
  <c r="I32" i="7"/>
  <c r="U76" i="7"/>
  <c r="T31" i="7"/>
  <c r="S31" i="7"/>
  <c r="R31" i="7"/>
  <c r="Q31" i="7"/>
  <c r="P31" i="7"/>
  <c r="O31" i="7"/>
  <c r="N31" i="7"/>
  <c r="M31" i="7"/>
  <c r="L31" i="7"/>
  <c r="K31" i="7"/>
  <c r="J31" i="7"/>
  <c r="I31" i="7"/>
  <c r="U75" i="7"/>
  <c r="T30" i="7"/>
  <c r="S30" i="7"/>
  <c r="R30" i="7"/>
  <c r="Q30" i="7"/>
  <c r="P30" i="7"/>
  <c r="O30" i="7"/>
  <c r="N30" i="7"/>
  <c r="M30" i="7"/>
  <c r="L30" i="7"/>
  <c r="K30" i="7"/>
  <c r="J30" i="7"/>
  <c r="I30" i="7"/>
  <c r="U74" i="7"/>
  <c r="T29" i="7"/>
  <c r="S29" i="7"/>
  <c r="R29" i="7"/>
  <c r="Q29" i="7"/>
  <c r="P29" i="7"/>
  <c r="O29" i="7"/>
  <c r="N29" i="7"/>
  <c r="M29" i="7"/>
  <c r="L29" i="7"/>
  <c r="K29" i="7"/>
  <c r="J29" i="7"/>
  <c r="I29" i="7"/>
  <c r="U73" i="7"/>
  <c r="T28" i="7"/>
  <c r="S28" i="7"/>
  <c r="R28" i="7"/>
  <c r="Q28" i="7"/>
  <c r="P28" i="7"/>
  <c r="O28" i="7"/>
  <c r="N28" i="7"/>
  <c r="M28" i="7"/>
  <c r="L28" i="7"/>
  <c r="K28" i="7"/>
  <c r="J28" i="7"/>
  <c r="I28" i="7"/>
  <c r="U72" i="7"/>
  <c r="T27" i="7"/>
  <c r="S27" i="7"/>
  <c r="R27" i="7"/>
  <c r="Q27" i="7"/>
  <c r="P27" i="7"/>
  <c r="O27" i="7"/>
  <c r="N27" i="7"/>
  <c r="M27" i="7"/>
  <c r="L27" i="7"/>
  <c r="K27" i="7"/>
  <c r="J27" i="7"/>
  <c r="I27" i="7"/>
  <c r="U71" i="7"/>
  <c r="T26" i="7"/>
  <c r="S26" i="7"/>
  <c r="R26" i="7"/>
  <c r="Q26" i="7"/>
  <c r="P26" i="7"/>
  <c r="O26" i="7"/>
  <c r="N26" i="7"/>
  <c r="M26" i="7"/>
  <c r="L26" i="7"/>
  <c r="K26" i="7"/>
  <c r="J26" i="7"/>
  <c r="I26" i="7"/>
  <c r="U70" i="7"/>
  <c r="T25" i="7"/>
  <c r="S25" i="7"/>
  <c r="R25" i="7"/>
  <c r="Q25" i="7"/>
  <c r="P25" i="7"/>
  <c r="O25" i="7"/>
  <c r="N25" i="7"/>
  <c r="M25" i="7"/>
  <c r="L25" i="7"/>
  <c r="K25" i="7"/>
  <c r="J25" i="7"/>
  <c r="I25" i="7"/>
  <c r="U69" i="7"/>
  <c r="T24" i="7"/>
  <c r="S24" i="7"/>
  <c r="R24" i="7"/>
  <c r="Q24" i="7"/>
  <c r="P24" i="7"/>
  <c r="O24" i="7"/>
  <c r="N24" i="7"/>
  <c r="M24" i="7"/>
  <c r="L24" i="7"/>
  <c r="K24" i="7"/>
  <c r="J24" i="7"/>
  <c r="I24" i="7"/>
  <c r="U68" i="7"/>
  <c r="T23" i="7"/>
  <c r="S23" i="7"/>
  <c r="R23" i="7"/>
  <c r="Q23" i="7"/>
  <c r="P23" i="7"/>
  <c r="O23" i="7"/>
  <c r="N23" i="7"/>
  <c r="M23" i="7"/>
  <c r="L23" i="7"/>
  <c r="K23" i="7"/>
  <c r="J23" i="7"/>
  <c r="I23" i="7"/>
  <c r="U67" i="7"/>
  <c r="T22" i="7"/>
  <c r="S22" i="7"/>
  <c r="R22" i="7"/>
  <c r="Q22" i="7"/>
  <c r="P22" i="7"/>
  <c r="O22" i="7"/>
  <c r="N22" i="7"/>
  <c r="M22" i="7"/>
  <c r="L22" i="7"/>
  <c r="K22" i="7"/>
  <c r="J22" i="7"/>
  <c r="I22" i="7"/>
  <c r="U66" i="7"/>
  <c r="T21" i="7"/>
  <c r="S21" i="7"/>
  <c r="R21" i="7"/>
  <c r="Q21" i="7"/>
  <c r="P21" i="7"/>
  <c r="O21" i="7"/>
  <c r="N21" i="7"/>
  <c r="M21" i="7"/>
  <c r="L21" i="7"/>
  <c r="K21" i="7"/>
  <c r="J21" i="7"/>
  <c r="I21" i="7"/>
  <c r="U65" i="7"/>
  <c r="T20" i="7"/>
  <c r="S20" i="7"/>
  <c r="R20" i="7"/>
  <c r="Q20" i="7"/>
  <c r="P20" i="7"/>
  <c r="O20" i="7"/>
  <c r="N20" i="7"/>
  <c r="M20" i="7"/>
  <c r="L20" i="7"/>
  <c r="K20" i="7"/>
  <c r="J20" i="7"/>
  <c r="I20" i="7"/>
  <c r="U64" i="7"/>
  <c r="T19" i="7"/>
  <c r="S19" i="7"/>
  <c r="R19" i="7"/>
  <c r="Q19" i="7"/>
  <c r="P19" i="7"/>
  <c r="O19" i="7"/>
  <c r="N19" i="7"/>
  <c r="M19" i="7"/>
  <c r="L19" i="7"/>
  <c r="K19" i="7"/>
  <c r="J19" i="7"/>
  <c r="I19" i="7"/>
  <c r="U63" i="7"/>
  <c r="T18" i="7"/>
  <c r="S18" i="7"/>
  <c r="R18" i="7"/>
  <c r="Q18" i="7"/>
  <c r="P18" i="7"/>
  <c r="O18" i="7"/>
  <c r="N18" i="7"/>
  <c r="M18" i="7"/>
  <c r="L18" i="7"/>
  <c r="K18" i="7"/>
  <c r="J18" i="7"/>
  <c r="I18" i="7"/>
  <c r="U62" i="7"/>
  <c r="T17" i="7"/>
  <c r="S17" i="7"/>
  <c r="R17" i="7"/>
  <c r="Q17" i="7"/>
  <c r="P17" i="7"/>
  <c r="O17" i="7"/>
  <c r="N17" i="7"/>
  <c r="M17" i="7"/>
  <c r="L17" i="7"/>
  <c r="K17" i="7"/>
  <c r="J17" i="7"/>
  <c r="I17" i="7"/>
  <c r="U61" i="7"/>
  <c r="T16" i="7"/>
  <c r="S16" i="7"/>
  <c r="R16" i="7"/>
  <c r="Q16" i="7"/>
  <c r="P16" i="7"/>
  <c r="O16" i="7"/>
  <c r="N16" i="7"/>
  <c r="M16" i="7"/>
  <c r="L16" i="7"/>
  <c r="K16" i="7"/>
  <c r="J16" i="7"/>
  <c r="I16" i="7"/>
  <c r="U60" i="7"/>
  <c r="T15" i="7"/>
  <c r="S15" i="7"/>
  <c r="R15" i="7"/>
  <c r="Q15" i="7"/>
  <c r="P15" i="7"/>
  <c r="O15" i="7"/>
  <c r="N15" i="7"/>
  <c r="M15" i="7"/>
  <c r="L15" i="7"/>
  <c r="K15" i="7"/>
  <c r="J15" i="7"/>
  <c r="I15" i="7"/>
  <c r="U59" i="7"/>
  <c r="T14" i="7"/>
  <c r="S14" i="7"/>
  <c r="R14" i="7"/>
  <c r="Q14" i="7"/>
  <c r="P14" i="7"/>
  <c r="O14" i="7"/>
  <c r="N14" i="7"/>
  <c r="M14" i="7"/>
  <c r="L14" i="7"/>
  <c r="K14" i="7"/>
  <c r="J14" i="7"/>
  <c r="I14" i="7"/>
  <c r="U58" i="7"/>
  <c r="T13" i="7"/>
  <c r="S13" i="7"/>
  <c r="R13" i="7"/>
  <c r="Q13" i="7"/>
  <c r="P13" i="7"/>
  <c r="O13" i="7"/>
  <c r="N13" i="7"/>
  <c r="M13" i="7"/>
  <c r="L13" i="7"/>
  <c r="K13" i="7"/>
  <c r="J13" i="7"/>
  <c r="I13" i="7"/>
  <c r="U57" i="7"/>
  <c r="T12" i="7"/>
  <c r="S12" i="7"/>
  <c r="R12" i="7"/>
  <c r="Q12" i="7"/>
  <c r="P12" i="7"/>
  <c r="O12" i="7"/>
  <c r="N12" i="7"/>
  <c r="M12" i="7"/>
  <c r="L12" i="7"/>
  <c r="K12" i="7"/>
  <c r="J12" i="7"/>
  <c r="I12" i="7"/>
  <c r="U56" i="7"/>
  <c r="T11" i="7"/>
  <c r="S11" i="7"/>
  <c r="R11" i="7"/>
  <c r="Q11" i="7"/>
  <c r="P11" i="7"/>
  <c r="O11" i="7"/>
  <c r="N11" i="7"/>
  <c r="M11" i="7"/>
  <c r="L11" i="7"/>
  <c r="K11" i="7"/>
  <c r="J11" i="7"/>
  <c r="I11" i="7"/>
  <c r="U55" i="7"/>
  <c r="T10" i="7"/>
  <c r="S10" i="7"/>
  <c r="R10" i="7"/>
  <c r="Q10" i="7"/>
  <c r="P10" i="7"/>
  <c r="O10" i="7"/>
  <c r="N10" i="7"/>
  <c r="M10" i="7"/>
  <c r="L10" i="7"/>
  <c r="K10" i="7"/>
  <c r="J10" i="7"/>
  <c r="I10" i="7"/>
  <c r="U54" i="7"/>
  <c r="T9" i="7"/>
  <c r="S9" i="7"/>
  <c r="R9" i="7"/>
  <c r="Q9" i="7"/>
  <c r="P9" i="7"/>
  <c r="O9" i="7"/>
  <c r="N9" i="7"/>
  <c r="M9" i="7"/>
  <c r="L9" i="7"/>
  <c r="K9" i="7"/>
  <c r="J9" i="7"/>
  <c r="I9" i="7"/>
  <c r="U53" i="7"/>
  <c r="T8" i="7"/>
  <c r="S8" i="7"/>
  <c r="R8" i="7"/>
  <c r="Q8" i="7"/>
  <c r="P8" i="7"/>
  <c r="O8" i="7"/>
  <c r="N8" i="7"/>
  <c r="M8" i="7"/>
  <c r="L8" i="7"/>
  <c r="K8" i="7"/>
  <c r="J8" i="7"/>
  <c r="I8" i="7"/>
  <c r="U52" i="7"/>
  <c r="T7" i="7"/>
  <c r="S7" i="7"/>
  <c r="R7" i="7"/>
  <c r="Q7" i="7"/>
  <c r="P7" i="7"/>
  <c r="O7" i="7"/>
  <c r="N7" i="7"/>
  <c r="M7" i="7"/>
  <c r="L7" i="7"/>
  <c r="K7" i="7"/>
  <c r="J7" i="7"/>
  <c r="I7" i="7"/>
  <c r="U51" i="7"/>
  <c r="T6" i="7"/>
  <c r="S6" i="7"/>
  <c r="R6" i="7"/>
  <c r="Q6" i="7"/>
  <c r="P6" i="7"/>
  <c r="O6" i="7"/>
  <c r="N6" i="7"/>
  <c r="M6" i="7"/>
  <c r="L6" i="7"/>
  <c r="K6" i="7"/>
  <c r="J6" i="7"/>
  <c r="I6" i="7"/>
  <c r="U50" i="7"/>
  <c r="T5" i="7"/>
  <c r="S5" i="7"/>
  <c r="R5" i="7"/>
  <c r="Q5" i="7"/>
  <c r="P5" i="7"/>
  <c r="O5" i="7"/>
  <c r="N5" i="7"/>
  <c r="M5" i="7"/>
  <c r="L5" i="7"/>
  <c r="K5" i="7"/>
  <c r="J5" i="7"/>
  <c r="I5" i="7"/>
  <c r="U49" i="7"/>
  <c r="U48" i="7"/>
  <c r="U47" i="7"/>
  <c r="U46" i="7"/>
  <c r="U45" i="7"/>
  <c r="U44" i="7"/>
  <c r="U43" i="7"/>
  <c r="U42" i="7"/>
  <c r="U41" i="7"/>
  <c r="U40" i="7"/>
  <c r="U39" i="7"/>
  <c r="U38" i="7"/>
  <c r="U37" i="7"/>
  <c r="U36" i="7"/>
  <c r="U35"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T79" i="6"/>
  <c r="S79" i="6"/>
  <c r="R79" i="6"/>
  <c r="Q79" i="6"/>
  <c r="P79" i="6"/>
  <c r="O79" i="6"/>
  <c r="N79" i="6"/>
  <c r="M79" i="6"/>
  <c r="L79" i="6"/>
  <c r="K79" i="6"/>
  <c r="J79" i="6"/>
  <c r="I79" i="6"/>
  <c r="T78" i="6"/>
  <c r="S78" i="6"/>
  <c r="R78" i="6"/>
  <c r="Q78" i="6"/>
  <c r="P78" i="6"/>
  <c r="O78" i="6"/>
  <c r="N78" i="6"/>
  <c r="M78" i="6"/>
  <c r="L78" i="6"/>
  <c r="K78" i="6"/>
  <c r="I78" i="6"/>
  <c r="T77" i="6"/>
  <c r="S77" i="6"/>
  <c r="R77" i="6"/>
  <c r="Q77" i="6"/>
  <c r="P77" i="6"/>
  <c r="O77" i="6"/>
  <c r="N77" i="6"/>
  <c r="M77" i="6"/>
  <c r="L77" i="6"/>
  <c r="K77" i="6"/>
  <c r="I77" i="6"/>
  <c r="T76" i="6"/>
  <c r="S76" i="6"/>
  <c r="R76" i="6"/>
  <c r="Q76" i="6"/>
  <c r="P76" i="6"/>
  <c r="O76" i="6"/>
  <c r="N76" i="6"/>
  <c r="M76" i="6"/>
  <c r="L76" i="6"/>
  <c r="K76" i="6"/>
  <c r="J76" i="6"/>
  <c r="I76" i="6"/>
  <c r="T75" i="6"/>
  <c r="S75" i="6"/>
  <c r="R75" i="6"/>
  <c r="Q75" i="6"/>
  <c r="P75" i="6"/>
  <c r="O75" i="6"/>
  <c r="N75" i="6"/>
  <c r="M75" i="6"/>
  <c r="L75" i="6"/>
  <c r="K75" i="6"/>
  <c r="J75" i="6"/>
  <c r="I75" i="6"/>
  <c r="T74" i="6"/>
  <c r="S74" i="6"/>
  <c r="R74" i="6"/>
  <c r="Q74" i="6"/>
  <c r="P74" i="6"/>
  <c r="O74" i="6"/>
  <c r="N74" i="6"/>
  <c r="M74" i="6"/>
  <c r="L74" i="6"/>
  <c r="K74" i="6"/>
  <c r="J74" i="6"/>
  <c r="I74" i="6"/>
  <c r="T73" i="6"/>
  <c r="S73" i="6"/>
  <c r="R73" i="6"/>
  <c r="Q73" i="6"/>
  <c r="P73" i="6"/>
  <c r="O73" i="6"/>
  <c r="N73" i="6"/>
  <c r="M73" i="6"/>
  <c r="L73" i="6"/>
  <c r="K73" i="6"/>
  <c r="J73" i="6"/>
  <c r="I73" i="6"/>
  <c r="T72" i="6"/>
  <c r="S72" i="6"/>
  <c r="R72" i="6"/>
  <c r="Q72" i="6"/>
  <c r="P72" i="6"/>
  <c r="O72" i="6"/>
  <c r="N72" i="6"/>
  <c r="M72" i="6"/>
  <c r="L72" i="6"/>
  <c r="K72" i="6"/>
  <c r="J72" i="6"/>
  <c r="I72" i="6"/>
  <c r="T71" i="6"/>
  <c r="S71" i="6"/>
  <c r="R71" i="6"/>
  <c r="Q71" i="6"/>
  <c r="P71" i="6"/>
  <c r="O71" i="6"/>
  <c r="N71" i="6"/>
  <c r="M71" i="6"/>
  <c r="L71" i="6"/>
  <c r="K71" i="6"/>
  <c r="J71" i="6"/>
  <c r="I71" i="6"/>
  <c r="T70" i="6"/>
  <c r="S70" i="6"/>
  <c r="R70" i="6"/>
  <c r="Q70" i="6"/>
  <c r="P70" i="6"/>
  <c r="O70" i="6"/>
  <c r="N70" i="6"/>
  <c r="M70" i="6"/>
  <c r="L70" i="6"/>
  <c r="K70" i="6"/>
  <c r="J70" i="6"/>
  <c r="I70" i="6"/>
  <c r="T69" i="6"/>
  <c r="S69" i="6"/>
  <c r="R69" i="6"/>
  <c r="Q69" i="6"/>
  <c r="P69" i="6"/>
  <c r="O69" i="6"/>
  <c r="N69" i="6"/>
  <c r="M69" i="6"/>
  <c r="L69" i="6"/>
  <c r="K69" i="6"/>
  <c r="J69" i="6"/>
  <c r="I69" i="6"/>
  <c r="T68" i="6"/>
  <c r="S68" i="6"/>
  <c r="R68" i="6"/>
  <c r="Q68" i="6"/>
  <c r="P68" i="6"/>
  <c r="O68" i="6"/>
  <c r="N68" i="6"/>
  <c r="M68" i="6"/>
  <c r="L68" i="6"/>
  <c r="K68" i="6"/>
  <c r="J68" i="6"/>
  <c r="I68" i="6"/>
  <c r="T67" i="6"/>
  <c r="S67" i="6"/>
  <c r="R67" i="6"/>
  <c r="Q67" i="6"/>
  <c r="P67" i="6"/>
  <c r="O67" i="6"/>
  <c r="N67" i="6"/>
  <c r="M67" i="6"/>
  <c r="L67" i="6"/>
  <c r="K67" i="6"/>
  <c r="J67" i="6"/>
  <c r="I67" i="6"/>
  <c r="T66" i="6"/>
  <c r="S66" i="6"/>
  <c r="R66" i="6"/>
  <c r="Q66" i="6"/>
  <c r="P66" i="6"/>
  <c r="O66" i="6"/>
  <c r="N66" i="6"/>
  <c r="M66" i="6"/>
  <c r="L66" i="6"/>
  <c r="K66" i="6"/>
  <c r="J66" i="6"/>
  <c r="I66" i="6"/>
  <c r="T65" i="6"/>
  <c r="S65" i="6"/>
  <c r="R65" i="6"/>
  <c r="Q65" i="6"/>
  <c r="P65" i="6"/>
  <c r="O65" i="6"/>
  <c r="N65" i="6"/>
  <c r="M65" i="6"/>
  <c r="L65" i="6"/>
  <c r="K65" i="6"/>
  <c r="J65" i="6"/>
  <c r="I65" i="6"/>
  <c r="T64" i="6"/>
  <c r="S64" i="6"/>
  <c r="R64" i="6"/>
  <c r="Q64" i="6"/>
  <c r="P64" i="6"/>
  <c r="O64" i="6"/>
  <c r="N64" i="6"/>
  <c r="M64" i="6"/>
  <c r="L64" i="6"/>
  <c r="K64" i="6"/>
  <c r="J64" i="6"/>
  <c r="I64" i="6"/>
  <c r="T63" i="6"/>
  <c r="S63" i="6"/>
  <c r="R63" i="6"/>
  <c r="Q63" i="6"/>
  <c r="P63" i="6"/>
  <c r="O63" i="6"/>
  <c r="N63" i="6"/>
  <c r="M63" i="6"/>
  <c r="L63" i="6"/>
  <c r="K63" i="6"/>
  <c r="J63" i="6"/>
  <c r="I63" i="6"/>
  <c r="T62" i="6"/>
  <c r="S62" i="6"/>
  <c r="R62" i="6"/>
  <c r="Q62" i="6"/>
  <c r="P62" i="6"/>
  <c r="O62" i="6"/>
  <c r="N62" i="6"/>
  <c r="M62" i="6"/>
  <c r="L62" i="6"/>
  <c r="K62" i="6"/>
  <c r="J62" i="6"/>
  <c r="I62" i="6"/>
  <c r="T61" i="6"/>
  <c r="S61" i="6"/>
  <c r="R61" i="6"/>
  <c r="Q61" i="6"/>
  <c r="P61" i="6"/>
  <c r="O61" i="6"/>
  <c r="N61" i="6"/>
  <c r="M61" i="6"/>
  <c r="L61" i="6"/>
  <c r="K61" i="6"/>
  <c r="J61" i="6"/>
  <c r="I61" i="6"/>
  <c r="T60" i="6"/>
  <c r="S60" i="6"/>
  <c r="R60" i="6"/>
  <c r="Q60" i="6"/>
  <c r="P60" i="6"/>
  <c r="O60" i="6"/>
  <c r="N60" i="6"/>
  <c r="M60" i="6"/>
  <c r="L60" i="6"/>
  <c r="K60" i="6"/>
  <c r="J60" i="6"/>
  <c r="I60" i="6"/>
  <c r="T59" i="6"/>
  <c r="S59" i="6"/>
  <c r="R59" i="6"/>
  <c r="Q59" i="6"/>
  <c r="P59" i="6"/>
  <c r="O59" i="6"/>
  <c r="N59" i="6"/>
  <c r="M59" i="6"/>
  <c r="L59" i="6"/>
  <c r="K59" i="6"/>
  <c r="J59" i="6"/>
  <c r="I59" i="6"/>
  <c r="T58" i="6"/>
  <c r="S58" i="6"/>
  <c r="R58" i="6"/>
  <c r="Q58" i="6"/>
  <c r="P58" i="6"/>
  <c r="O58" i="6"/>
  <c r="N58" i="6"/>
  <c r="M58" i="6"/>
  <c r="L58" i="6"/>
  <c r="K58" i="6"/>
  <c r="J58" i="6"/>
  <c r="I58" i="6"/>
  <c r="T57" i="6"/>
  <c r="S57" i="6"/>
  <c r="R57" i="6"/>
  <c r="Q57" i="6"/>
  <c r="P57" i="6"/>
  <c r="O57" i="6"/>
  <c r="N57" i="6"/>
  <c r="M57" i="6"/>
  <c r="L57" i="6"/>
  <c r="K57" i="6"/>
  <c r="J57" i="6"/>
  <c r="I57" i="6"/>
  <c r="T56" i="6"/>
  <c r="S56" i="6"/>
  <c r="R56" i="6"/>
  <c r="Q56" i="6"/>
  <c r="P56" i="6"/>
  <c r="O56" i="6"/>
  <c r="N56" i="6"/>
  <c r="M56" i="6"/>
  <c r="L56" i="6"/>
  <c r="K56" i="6"/>
  <c r="J56" i="6"/>
  <c r="I56" i="6"/>
  <c r="T55" i="6"/>
  <c r="S55" i="6"/>
  <c r="R55" i="6"/>
  <c r="Q55" i="6"/>
  <c r="P55" i="6"/>
  <c r="O55" i="6"/>
  <c r="N55" i="6"/>
  <c r="M55" i="6"/>
  <c r="L55" i="6"/>
  <c r="K55" i="6"/>
  <c r="J55" i="6"/>
  <c r="I55" i="6"/>
  <c r="T54" i="6"/>
  <c r="S54" i="6"/>
  <c r="R54" i="6"/>
  <c r="Q54" i="6"/>
  <c r="P54" i="6"/>
  <c r="O54" i="6"/>
  <c r="N54" i="6"/>
  <c r="M54" i="6"/>
  <c r="L54" i="6"/>
  <c r="K54" i="6"/>
  <c r="J54" i="6"/>
  <c r="I54" i="6"/>
  <c r="T53" i="6"/>
  <c r="S53" i="6"/>
  <c r="R53" i="6"/>
  <c r="Q53" i="6"/>
  <c r="P53" i="6"/>
  <c r="O53" i="6"/>
  <c r="N53" i="6"/>
  <c r="M53" i="6"/>
  <c r="L53" i="6"/>
  <c r="K53" i="6"/>
  <c r="J53" i="6"/>
  <c r="I53" i="6"/>
  <c r="V80" i="6"/>
  <c r="U80" i="6"/>
  <c r="V79" i="6"/>
  <c r="U79" i="6"/>
  <c r="V78" i="6"/>
  <c r="U78" i="6"/>
  <c r="V77" i="6"/>
  <c r="U77" i="6"/>
  <c r="V76" i="6"/>
  <c r="U76" i="6"/>
  <c r="V75" i="6"/>
  <c r="U75" i="6"/>
  <c r="V74" i="6"/>
  <c r="U74" i="6"/>
  <c r="V73" i="6"/>
  <c r="U73" i="6"/>
  <c r="V72" i="6"/>
  <c r="U72" i="6"/>
  <c r="V71" i="6"/>
  <c r="U71" i="6"/>
  <c r="V70" i="6"/>
  <c r="U70" i="6"/>
  <c r="V69" i="6"/>
  <c r="U69" i="6"/>
  <c r="V68" i="6"/>
  <c r="U68" i="6"/>
  <c r="V67" i="6"/>
  <c r="U67" i="6"/>
  <c r="V66" i="6"/>
  <c r="U66" i="6"/>
  <c r="V65" i="6"/>
  <c r="U65" i="6"/>
  <c r="V64" i="6"/>
  <c r="U64" i="6"/>
  <c r="V63" i="6"/>
  <c r="U63" i="6"/>
  <c r="V62" i="6"/>
  <c r="U62" i="6"/>
  <c r="V61" i="6"/>
  <c r="U61" i="6"/>
  <c r="V60" i="6"/>
  <c r="U60" i="6"/>
  <c r="V59" i="6"/>
  <c r="U59" i="6"/>
  <c r="V58" i="6"/>
  <c r="U58" i="6"/>
  <c r="V57" i="6"/>
  <c r="U57" i="6"/>
  <c r="V56" i="6"/>
  <c r="U56" i="6"/>
  <c r="V55" i="6"/>
  <c r="U55" i="6"/>
  <c r="V54" i="6"/>
  <c r="U54" i="6"/>
  <c r="V53" i="6"/>
  <c r="U53" i="6"/>
  <c r="V52" i="6"/>
  <c r="U52" i="6"/>
  <c r="T52" i="6"/>
  <c r="S52" i="6"/>
  <c r="R52" i="6"/>
  <c r="Q52" i="6"/>
  <c r="P52" i="6"/>
  <c r="O52" i="6"/>
  <c r="N52" i="6"/>
  <c r="M52" i="6"/>
  <c r="L52" i="6"/>
  <c r="K52" i="6"/>
  <c r="J52" i="6"/>
  <c r="I52" i="6"/>
  <c r="U51" i="6"/>
  <c r="T51" i="6"/>
  <c r="S51" i="6"/>
  <c r="R51" i="6"/>
  <c r="Q51" i="6"/>
  <c r="P51" i="6"/>
  <c r="O51" i="6"/>
  <c r="N51" i="6"/>
  <c r="M51" i="6"/>
  <c r="L51" i="6"/>
  <c r="K51" i="6"/>
  <c r="J51" i="6"/>
  <c r="I51" i="6"/>
  <c r="V50" i="6"/>
  <c r="U50" i="6"/>
  <c r="T50" i="6"/>
  <c r="S50" i="6"/>
  <c r="R50" i="6"/>
  <c r="Q50" i="6"/>
  <c r="P50" i="6"/>
  <c r="O50" i="6"/>
  <c r="N50" i="6"/>
  <c r="M50" i="6"/>
  <c r="L50" i="6"/>
  <c r="K50" i="6"/>
  <c r="J50" i="6"/>
  <c r="I50" i="6"/>
  <c r="V49" i="6"/>
  <c r="U49" i="6"/>
  <c r="T49" i="6"/>
  <c r="S49" i="6"/>
  <c r="R49" i="6"/>
  <c r="Q49" i="6"/>
  <c r="P49" i="6"/>
  <c r="O49" i="6"/>
  <c r="N49" i="6"/>
  <c r="M49" i="6"/>
  <c r="L49" i="6"/>
  <c r="K49" i="6"/>
  <c r="J49" i="6"/>
  <c r="I49" i="6"/>
  <c r="V48" i="6"/>
  <c r="U48" i="6"/>
  <c r="T48" i="6"/>
  <c r="S48" i="6"/>
  <c r="R48" i="6"/>
  <c r="Q48" i="6"/>
  <c r="P48" i="6"/>
  <c r="O48" i="6"/>
  <c r="N48" i="6"/>
  <c r="M48" i="6"/>
  <c r="L48" i="6"/>
  <c r="K48" i="6"/>
  <c r="J48" i="6"/>
  <c r="I48" i="6"/>
  <c r="V47" i="6"/>
  <c r="U47" i="6"/>
  <c r="T47" i="6"/>
  <c r="S47" i="6"/>
  <c r="R47" i="6"/>
  <c r="Q47" i="6"/>
  <c r="P47" i="6"/>
  <c r="O47" i="6"/>
  <c r="N47" i="6"/>
  <c r="M47" i="6"/>
  <c r="L47" i="6"/>
  <c r="K47" i="6"/>
  <c r="J47" i="6"/>
  <c r="I47" i="6"/>
  <c r="V46" i="6"/>
  <c r="U46" i="6"/>
  <c r="T46" i="6"/>
  <c r="S46" i="6"/>
  <c r="R46" i="6"/>
  <c r="Q46" i="6"/>
  <c r="P46" i="6"/>
  <c r="O46" i="6"/>
  <c r="N46" i="6"/>
  <c r="M46" i="6"/>
  <c r="L46" i="6"/>
  <c r="K46" i="6"/>
  <c r="J46" i="6"/>
  <c r="I46" i="6"/>
  <c r="V45" i="6"/>
  <c r="U45" i="6"/>
  <c r="T45" i="6"/>
  <c r="S45" i="6"/>
  <c r="R45" i="6"/>
  <c r="Q45" i="6"/>
  <c r="P45" i="6"/>
  <c r="O45" i="6"/>
  <c r="N45" i="6"/>
  <c r="M45" i="6"/>
  <c r="L45" i="6"/>
  <c r="K45" i="6"/>
  <c r="J45" i="6"/>
  <c r="I45" i="6"/>
  <c r="V44" i="6"/>
  <c r="U44" i="6"/>
  <c r="T44" i="6"/>
  <c r="S44" i="6"/>
  <c r="R44" i="6"/>
  <c r="Q44" i="6"/>
  <c r="P44" i="6"/>
  <c r="O44" i="6"/>
  <c r="N44" i="6"/>
  <c r="M44" i="6"/>
  <c r="L44" i="6"/>
  <c r="K44" i="6"/>
  <c r="J44" i="6"/>
  <c r="I44" i="6"/>
  <c r="V43" i="6"/>
  <c r="U43" i="6"/>
  <c r="T43" i="6"/>
  <c r="S43" i="6"/>
  <c r="R43" i="6"/>
  <c r="Q43" i="6"/>
  <c r="P43" i="6"/>
  <c r="O43" i="6"/>
  <c r="N43" i="6"/>
  <c r="M43" i="6"/>
  <c r="L43" i="6"/>
  <c r="K43" i="6"/>
  <c r="J43" i="6"/>
  <c r="I43" i="6"/>
  <c r="V42" i="6"/>
  <c r="U42" i="6"/>
  <c r="T42" i="6"/>
  <c r="S42" i="6"/>
  <c r="R42" i="6"/>
  <c r="Q42" i="6"/>
  <c r="P42" i="6"/>
  <c r="O42" i="6"/>
  <c r="N42" i="6"/>
  <c r="M42" i="6"/>
  <c r="L42" i="6"/>
  <c r="K42" i="6"/>
  <c r="J42" i="6"/>
  <c r="I42" i="6"/>
  <c r="V41" i="6"/>
  <c r="U41" i="6"/>
  <c r="T41" i="6"/>
  <c r="S41" i="6"/>
  <c r="R41" i="6"/>
  <c r="Q41" i="6"/>
  <c r="P41" i="6"/>
  <c r="O41" i="6"/>
  <c r="N41" i="6"/>
  <c r="M41" i="6"/>
  <c r="L41" i="6"/>
  <c r="K41" i="6"/>
  <c r="J41" i="6"/>
  <c r="I41" i="6"/>
  <c r="V40" i="6"/>
  <c r="U40" i="6"/>
  <c r="T40" i="6"/>
  <c r="S40" i="6"/>
  <c r="R40" i="6"/>
  <c r="Q40" i="6"/>
  <c r="P40" i="6"/>
  <c r="O40" i="6"/>
  <c r="N40" i="6"/>
  <c r="M40" i="6"/>
  <c r="L40" i="6"/>
  <c r="K40" i="6"/>
  <c r="J40" i="6"/>
  <c r="I40" i="6"/>
  <c r="V39" i="6"/>
  <c r="U39" i="6"/>
  <c r="T39" i="6"/>
  <c r="S39" i="6"/>
  <c r="R39" i="6"/>
  <c r="Q39" i="6"/>
  <c r="P39" i="6"/>
  <c r="O39" i="6"/>
  <c r="N39" i="6"/>
  <c r="M39" i="6"/>
  <c r="L39" i="6"/>
  <c r="K39" i="6"/>
  <c r="J39" i="6"/>
  <c r="I39" i="6"/>
  <c r="V38" i="6"/>
  <c r="U38" i="6"/>
  <c r="T38" i="6"/>
  <c r="S38" i="6"/>
  <c r="R38" i="6"/>
  <c r="Q38" i="6"/>
  <c r="P38" i="6"/>
  <c r="O38" i="6"/>
  <c r="N38" i="6"/>
  <c r="M38" i="6"/>
  <c r="L38" i="6"/>
  <c r="K38" i="6"/>
  <c r="J38" i="6"/>
  <c r="I38" i="6"/>
  <c r="V37" i="6"/>
  <c r="U37" i="6"/>
  <c r="T37" i="6"/>
  <c r="S37" i="6"/>
  <c r="R37" i="6"/>
  <c r="Q37" i="6"/>
  <c r="P37" i="6"/>
  <c r="O37" i="6"/>
  <c r="N37" i="6"/>
  <c r="M37" i="6"/>
  <c r="L37" i="6"/>
  <c r="K37" i="6"/>
  <c r="J37" i="6"/>
  <c r="I37" i="6"/>
  <c r="V36" i="6"/>
  <c r="U36" i="6"/>
  <c r="T36" i="6"/>
  <c r="S36" i="6"/>
  <c r="R36" i="6"/>
  <c r="Q36" i="6"/>
  <c r="P36" i="6"/>
  <c r="O36" i="6"/>
  <c r="N36" i="6"/>
  <c r="M36" i="6"/>
  <c r="L36" i="6"/>
  <c r="K36" i="6"/>
  <c r="J36" i="6"/>
  <c r="I36" i="6"/>
  <c r="V35" i="6"/>
  <c r="U35" i="6"/>
  <c r="T35" i="6"/>
  <c r="S35" i="6"/>
  <c r="R35" i="6"/>
  <c r="Q35" i="6"/>
  <c r="P35" i="6"/>
  <c r="O35" i="6"/>
  <c r="N35" i="6"/>
  <c r="M35" i="6"/>
  <c r="L35" i="6"/>
  <c r="K35" i="6"/>
  <c r="J35" i="6"/>
  <c r="I35" i="6"/>
  <c r="V34" i="6"/>
  <c r="U34" i="6"/>
  <c r="T34" i="6"/>
  <c r="S34" i="6"/>
  <c r="R34" i="6"/>
  <c r="Q34" i="6"/>
  <c r="P34" i="6"/>
  <c r="O34" i="6"/>
  <c r="N34" i="6"/>
  <c r="M34" i="6"/>
  <c r="L34" i="6"/>
  <c r="K34" i="6"/>
  <c r="J34" i="6"/>
  <c r="I34" i="6"/>
  <c r="V33" i="6"/>
  <c r="U33" i="6"/>
  <c r="T33" i="6"/>
  <c r="S33" i="6"/>
  <c r="R33" i="6"/>
  <c r="Q33" i="6"/>
  <c r="P33" i="6"/>
  <c r="O33" i="6"/>
  <c r="N33" i="6"/>
  <c r="M33" i="6"/>
  <c r="L33" i="6"/>
  <c r="K33" i="6"/>
  <c r="J33" i="6"/>
  <c r="I33" i="6"/>
  <c r="V32" i="6"/>
  <c r="U32" i="6"/>
  <c r="T32" i="6"/>
  <c r="S32" i="6"/>
  <c r="R32" i="6"/>
  <c r="Q32" i="6"/>
  <c r="P32" i="6"/>
  <c r="O32" i="6"/>
  <c r="N32" i="6"/>
  <c r="M32" i="6"/>
  <c r="L32" i="6"/>
  <c r="K32" i="6"/>
  <c r="J32" i="6"/>
  <c r="I32" i="6"/>
  <c r="V31" i="6"/>
  <c r="U31" i="6"/>
  <c r="T31" i="6"/>
  <c r="S31" i="6"/>
  <c r="R31" i="6"/>
  <c r="Q31" i="6"/>
  <c r="P31" i="6"/>
  <c r="O31" i="6"/>
  <c r="N31" i="6"/>
  <c r="M31" i="6"/>
  <c r="L31" i="6"/>
  <c r="K31" i="6"/>
  <c r="J31" i="6"/>
  <c r="I31" i="6"/>
  <c r="V30" i="6"/>
  <c r="U30" i="6"/>
  <c r="T30" i="6"/>
  <c r="S30" i="6"/>
  <c r="R30" i="6"/>
  <c r="Q30" i="6"/>
  <c r="P30" i="6"/>
  <c r="O30" i="6"/>
  <c r="N30" i="6"/>
  <c r="M30" i="6"/>
  <c r="L30" i="6"/>
  <c r="K30" i="6"/>
  <c r="J30" i="6"/>
  <c r="I30" i="6"/>
  <c r="V29" i="6"/>
  <c r="U29" i="6"/>
  <c r="T29" i="6"/>
  <c r="S29" i="6"/>
  <c r="R29" i="6"/>
  <c r="Q29" i="6"/>
  <c r="P29" i="6"/>
  <c r="O29" i="6"/>
  <c r="N29" i="6"/>
  <c r="M29" i="6"/>
  <c r="L29" i="6"/>
  <c r="K29" i="6"/>
  <c r="J29" i="6"/>
  <c r="I29" i="6"/>
  <c r="V28" i="6"/>
  <c r="U28" i="6"/>
  <c r="T28" i="6"/>
  <c r="S28" i="6"/>
  <c r="R28" i="6"/>
  <c r="Q28" i="6"/>
  <c r="P28" i="6"/>
  <c r="O28" i="6"/>
  <c r="N28" i="6"/>
  <c r="M28" i="6"/>
  <c r="L28" i="6"/>
  <c r="K28" i="6"/>
  <c r="J28" i="6"/>
  <c r="I28" i="6"/>
  <c r="V27" i="6"/>
  <c r="U27" i="6"/>
  <c r="T27" i="6"/>
  <c r="S27" i="6"/>
  <c r="R27" i="6"/>
  <c r="Q27" i="6"/>
  <c r="P27" i="6"/>
  <c r="O27" i="6"/>
  <c r="N27" i="6"/>
  <c r="M27" i="6"/>
  <c r="L27" i="6"/>
  <c r="K27" i="6"/>
  <c r="J27" i="6"/>
  <c r="I27" i="6"/>
  <c r="V26" i="6"/>
  <c r="U26" i="6"/>
  <c r="T26" i="6"/>
  <c r="S26" i="6"/>
  <c r="R26" i="6"/>
  <c r="Q26" i="6"/>
  <c r="P26" i="6"/>
  <c r="O26" i="6"/>
  <c r="N26" i="6"/>
  <c r="M26" i="6"/>
  <c r="L26" i="6"/>
  <c r="K26" i="6"/>
  <c r="J26" i="6"/>
  <c r="I26" i="6"/>
  <c r="V25" i="6"/>
  <c r="U25" i="6"/>
  <c r="T25" i="6"/>
  <c r="S25" i="6"/>
  <c r="R25" i="6"/>
  <c r="Q25" i="6"/>
  <c r="P25" i="6"/>
  <c r="O25" i="6"/>
  <c r="N25" i="6"/>
  <c r="M25" i="6"/>
  <c r="L25" i="6"/>
  <c r="K25" i="6"/>
  <c r="J25" i="6"/>
  <c r="I25" i="6"/>
  <c r="V24" i="6"/>
  <c r="U24" i="6"/>
  <c r="T24" i="6"/>
  <c r="S24" i="6"/>
  <c r="R24" i="6"/>
  <c r="Q24" i="6"/>
  <c r="P24" i="6"/>
  <c r="O24" i="6"/>
  <c r="N24" i="6"/>
  <c r="M24" i="6"/>
  <c r="L24" i="6"/>
  <c r="K24" i="6"/>
  <c r="J24" i="6"/>
  <c r="I24" i="6"/>
  <c r="V23" i="6"/>
  <c r="U23" i="6"/>
  <c r="T23" i="6"/>
  <c r="S23" i="6"/>
  <c r="R23" i="6"/>
  <c r="Q23" i="6"/>
  <c r="P23" i="6"/>
  <c r="O23" i="6"/>
  <c r="N23" i="6"/>
  <c r="M23" i="6"/>
  <c r="L23" i="6"/>
  <c r="K23" i="6"/>
  <c r="J23" i="6"/>
  <c r="I23" i="6"/>
  <c r="V22" i="6"/>
  <c r="U22" i="6"/>
  <c r="T22" i="6"/>
  <c r="S22" i="6"/>
  <c r="R22" i="6"/>
  <c r="Q22" i="6"/>
  <c r="P22" i="6"/>
  <c r="O22" i="6"/>
  <c r="N22" i="6"/>
  <c r="M22" i="6"/>
  <c r="L22" i="6"/>
  <c r="K22" i="6"/>
  <c r="J22" i="6"/>
  <c r="I22" i="6"/>
  <c r="V21" i="6"/>
  <c r="U21" i="6"/>
  <c r="T21" i="6"/>
  <c r="S21" i="6"/>
  <c r="R21" i="6"/>
  <c r="Q21" i="6"/>
  <c r="P21" i="6"/>
  <c r="O21" i="6"/>
  <c r="N21" i="6"/>
  <c r="M21" i="6"/>
  <c r="L21" i="6"/>
  <c r="K21" i="6"/>
  <c r="J21" i="6"/>
  <c r="I21" i="6"/>
  <c r="V20" i="6"/>
  <c r="U20" i="6"/>
  <c r="T20" i="6"/>
  <c r="S20" i="6"/>
  <c r="R20" i="6"/>
  <c r="Q20" i="6"/>
  <c r="P20" i="6"/>
  <c r="O20" i="6"/>
  <c r="N20" i="6"/>
  <c r="M20" i="6"/>
  <c r="L20" i="6"/>
  <c r="K20" i="6"/>
  <c r="J20" i="6"/>
  <c r="I20" i="6"/>
  <c r="V19" i="6"/>
  <c r="U19" i="6"/>
  <c r="T19" i="6"/>
  <c r="S19" i="6"/>
  <c r="R19" i="6"/>
  <c r="Q19" i="6"/>
  <c r="P19" i="6"/>
  <c r="O19" i="6"/>
  <c r="N19" i="6"/>
  <c r="M19" i="6"/>
  <c r="L19" i="6"/>
  <c r="K19" i="6"/>
  <c r="J19" i="6"/>
  <c r="I19" i="6"/>
  <c r="V18" i="6"/>
  <c r="U18" i="6"/>
  <c r="T18" i="6"/>
  <c r="S18" i="6"/>
  <c r="R18" i="6"/>
  <c r="Q18" i="6"/>
  <c r="P18" i="6"/>
  <c r="O18" i="6"/>
  <c r="N18" i="6"/>
  <c r="M18" i="6"/>
  <c r="L18" i="6"/>
  <c r="K18" i="6"/>
  <c r="J18" i="6"/>
  <c r="I18" i="6"/>
  <c r="V17" i="6"/>
  <c r="U17" i="6"/>
  <c r="T17" i="6"/>
  <c r="S17" i="6"/>
  <c r="R17" i="6"/>
  <c r="Q17" i="6"/>
  <c r="P17" i="6"/>
  <c r="O17" i="6"/>
  <c r="N17" i="6"/>
  <c r="M17" i="6"/>
  <c r="L17" i="6"/>
  <c r="K17" i="6"/>
  <c r="J17" i="6"/>
  <c r="I17" i="6"/>
  <c r="V16" i="6"/>
  <c r="U16" i="6"/>
  <c r="T16" i="6"/>
  <c r="S16" i="6"/>
  <c r="R16" i="6"/>
  <c r="Q16" i="6"/>
  <c r="P16" i="6"/>
  <c r="O16" i="6"/>
  <c r="N16" i="6"/>
  <c r="M16" i="6"/>
  <c r="L16" i="6"/>
  <c r="K16" i="6"/>
  <c r="J16" i="6"/>
  <c r="I16" i="6"/>
  <c r="V15" i="6"/>
  <c r="U15" i="6"/>
  <c r="T15" i="6"/>
  <c r="S15" i="6"/>
  <c r="R15" i="6"/>
  <c r="Q15" i="6"/>
  <c r="P15" i="6"/>
  <c r="O15" i="6"/>
  <c r="N15" i="6"/>
  <c r="M15" i="6"/>
  <c r="L15" i="6"/>
  <c r="K15" i="6"/>
  <c r="J15" i="6"/>
  <c r="I15" i="6"/>
  <c r="V14" i="6"/>
  <c r="U14" i="6"/>
  <c r="T14" i="6"/>
  <c r="S14" i="6"/>
  <c r="R14" i="6"/>
  <c r="Q14" i="6"/>
  <c r="P14" i="6"/>
  <c r="O14" i="6"/>
  <c r="N14" i="6"/>
  <c r="M14" i="6"/>
  <c r="L14" i="6"/>
  <c r="K14" i="6"/>
  <c r="J14" i="6"/>
  <c r="I14" i="6"/>
  <c r="V13" i="6"/>
  <c r="U13" i="6"/>
  <c r="T13" i="6"/>
  <c r="S13" i="6"/>
  <c r="R13" i="6"/>
  <c r="Q13" i="6"/>
  <c r="P13" i="6"/>
  <c r="O13" i="6"/>
  <c r="N13" i="6"/>
  <c r="M13" i="6"/>
  <c r="L13" i="6"/>
  <c r="K13" i="6"/>
  <c r="J13" i="6"/>
  <c r="I13" i="6"/>
  <c r="V12" i="6"/>
  <c r="U12" i="6"/>
  <c r="T12" i="6"/>
  <c r="S12" i="6"/>
  <c r="R12" i="6"/>
  <c r="Q12" i="6"/>
  <c r="P12" i="6"/>
  <c r="O12" i="6"/>
  <c r="N12" i="6"/>
  <c r="M12" i="6"/>
  <c r="L12" i="6"/>
  <c r="K12" i="6"/>
  <c r="J12" i="6"/>
  <c r="I12" i="6"/>
  <c r="V11" i="6"/>
  <c r="U11" i="6"/>
  <c r="T11" i="6"/>
  <c r="S11" i="6"/>
  <c r="R11" i="6"/>
  <c r="Q11" i="6"/>
  <c r="P11" i="6"/>
  <c r="O11" i="6"/>
  <c r="N11" i="6"/>
  <c r="M11" i="6"/>
  <c r="L11" i="6"/>
  <c r="K11" i="6"/>
  <c r="J11" i="6"/>
  <c r="I11" i="6"/>
  <c r="V10" i="6"/>
  <c r="U10" i="6"/>
  <c r="T10" i="6"/>
  <c r="S10" i="6"/>
  <c r="R10" i="6"/>
  <c r="Q10" i="6"/>
  <c r="P10" i="6"/>
  <c r="O10" i="6"/>
  <c r="N10" i="6"/>
  <c r="M10" i="6"/>
  <c r="L10" i="6"/>
  <c r="K10" i="6"/>
  <c r="J10" i="6"/>
  <c r="I10" i="6"/>
  <c r="V9" i="6"/>
  <c r="U9" i="6"/>
  <c r="T9" i="6"/>
  <c r="S9" i="6"/>
  <c r="R9" i="6"/>
  <c r="Q9" i="6"/>
  <c r="P9" i="6"/>
  <c r="O9" i="6"/>
  <c r="N9" i="6"/>
  <c r="M9" i="6"/>
  <c r="L9" i="6"/>
  <c r="K9" i="6"/>
  <c r="J9" i="6"/>
  <c r="I9" i="6"/>
  <c r="V8" i="6"/>
  <c r="U8" i="6"/>
  <c r="T8" i="6"/>
  <c r="S8" i="6"/>
  <c r="R8" i="6"/>
  <c r="Q8" i="6"/>
  <c r="P8" i="6"/>
  <c r="O8" i="6"/>
  <c r="N8" i="6"/>
  <c r="M8" i="6"/>
  <c r="L8" i="6"/>
  <c r="K8" i="6"/>
  <c r="J8" i="6"/>
  <c r="I8" i="6"/>
  <c r="V7" i="6"/>
  <c r="U7" i="6"/>
  <c r="T7" i="6"/>
  <c r="S7" i="6"/>
  <c r="R7" i="6"/>
  <c r="Q7" i="6"/>
  <c r="P7" i="6"/>
  <c r="O7" i="6"/>
  <c r="N7" i="6"/>
  <c r="M7" i="6"/>
  <c r="L7" i="6"/>
  <c r="K7" i="6"/>
  <c r="J7" i="6"/>
  <c r="I7" i="6"/>
  <c r="V6" i="6"/>
  <c r="U6" i="6"/>
  <c r="T6" i="6"/>
  <c r="S6" i="6"/>
  <c r="R6" i="6"/>
  <c r="Q6" i="6"/>
  <c r="P6" i="6"/>
  <c r="O6" i="6"/>
  <c r="N6" i="6"/>
  <c r="M6" i="6"/>
  <c r="L6" i="6"/>
  <c r="K6" i="6"/>
  <c r="J6" i="6"/>
  <c r="I6" i="6"/>
  <c r="V5" i="6"/>
  <c r="U5" i="6"/>
  <c r="T5" i="6"/>
  <c r="S5" i="6"/>
  <c r="R5" i="6"/>
  <c r="Q5" i="6"/>
  <c r="P5" i="6"/>
  <c r="O5" i="6"/>
  <c r="N5" i="6"/>
  <c r="M5" i="6"/>
  <c r="L5" i="6"/>
  <c r="K5" i="6"/>
  <c r="J5" i="6"/>
  <c r="I5" i="6"/>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 r="U4" i="5"/>
  <c r="G12" i="23" l="1"/>
  <c r="G13" i="23" s="1"/>
  <c r="G14" i="23" s="1"/>
  <c r="G15" i="23" s="1"/>
  <c r="G16" i="23" s="1"/>
  <c r="G17" i="23" s="1"/>
  <c r="G18" i="23" s="1"/>
  <c r="G19" i="23" s="1"/>
  <c r="G20" i="23" s="1"/>
  <c r="G21" i="23" s="1"/>
  <c r="G22" i="23" s="1"/>
  <c r="G23" i="23" s="1"/>
  <c r="G24" i="23" s="1"/>
  <c r="G25" i="23" s="1"/>
  <c r="G26" i="23" s="1"/>
  <c r="G27" i="23" s="1"/>
  <c r="G28" i="23" s="1"/>
  <c r="U1" i="23"/>
  <c r="M1" i="23"/>
  <c r="F22" i="4"/>
  <c r="G13" i="4"/>
  <c r="G23" i="4"/>
  <c r="F23" i="4"/>
  <c r="G14" i="4"/>
  <c r="J6" i="21"/>
  <c r="J8" i="21" s="1"/>
  <c r="K9" i="21" s="1"/>
  <c r="F4" i="4"/>
  <c r="G8" i="20"/>
  <c r="G9" i="20" s="1"/>
  <c r="G10" i="20" s="1"/>
  <c r="G11" i="20" s="1"/>
  <c r="G12" i="20" s="1"/>
  <c r="G13" i="20" s="1"/>
  <c r="C4" i="21"/>
  <c r="C6" i="21" s="1"/>
  <c r="F35" i="4"/>
  <c r="G35" i="4" s="1"/>
  <c r="F39" i="4"/>
  <c r="G39" i="4" s="1"/>
  <c r="F25" i="4"/>
  <c r="M2" i="13"/>
  <c r="L2" i="16"/>
  <c r="N2" i="15"/>
  <c r="P2" i="14"/>
  <c r="V2" i="11"/>
  <c r="V2" i="12"/>
  <c r="M2" i="14"/>
  <c r="Q2" i="14"/>
  <c r="R2" i="13"/>
  <c r="J2" i="13"/>
  <c r="O2" i="14"/>
  <c r="Q2" i="16"/>
  <c r="I2" i="16"/>
  <c r="U2" i="13"/>
  <c r="U2" i="14"/>
  <c r="U2" i="15"/>
  <c r="I2" i="14"/>
  <c r="Q2" i="13"/>
  <c r="I2" i="13"/>
  <c r="N2" i="14"/>
  <c r="P2" i="16"/>
  <c r="S2" i="13"/>
  <c r="J2" i="14"/>
  <c r="T2" i="16"/>
  <c r="P2" i="13"/>
  <c r="R2" i="15"/>
  <c r="J2" i="15"/>
  <c r="R2" i="16"/>
  <c r="J2" i="16"/>
  <c r="O2" i="16"/>
  <c r="M2" i="15"/>
  <c r="O2" i="7"/>
  <c r="O2" i="13"/>
  <c r="T2" i="14"/>
  <c r="L2" i="14"/>
  <c r="T2" i="15"/>
  <c r="L2" i="15"/>
  <c r="Q2" i="15"/>
  <c r="I2" i="15"/>
  <c r="N2" i="16"/>
  <c r="K2" i="13"/>
  <c r="R2" i="14"/>
  <c r="O2" i="15"/>
  <c r="N2" i="7"/>
  <c r="T2" i="13"/>
  <c r="L2" i="13"/>
  <c r="N2" i="13"/>
  <c r="S2" i="14"/>
  <c r="K2" i="14"/>
  <c r="S2" i="15"/>
  <c r="K2" i="15"/>
  <c r="P2" i="15"/>
  <c r="S2" i="16"/>
  <c r="K2" i="16"/>
  <c r="U2" i="16"/>
  <c r="M2" i="16"/>
  <c r="I2" i="9"/>
  <c r="Q2" i="9"/>
  <c r="P2" i="12"/>
  <c r="N2" i="12"/>
  <c r="U2" i="12"/>
  <c r="M2" i="12"/>
  <c r="O2" i="9"/>
  <c r="P2" i="9"/>
  <c r="T2" i="12"/>
  <c r="L2" i="12"/>
  <c r="S2" i="12"/>
  <c r="K2" i="12"/>
  <c r="J15" i="18"/>
  <c r="R2" i="12"/>
  <c r="J2" i="12"/>
  <c r="V4" i="17"/>
  <c r="V2" i="17" s="1"/>
  <c r="Q2" i="12"/>
  <c r="I2" i="12"/>
  <c r="O2" i="12"/>
  <c r="Q15" i="18"/>
  <c r="N2" i="17"/>
  <c r="M2" i="17"/>
  <c r="T2" i="17"/>
  <c r="L2" i="17"/>
  <c r="R2" i="17"/>
  <c r="J2" i="17"/>
  <c r="U2" i="17"/>
  <c r="S2" i="17"/>
  <c r="K2" i="17"/>
  <c r="Q2" i="17"/>
  <c r="I2" i="17"/>
  <c r="P2" i="17"/>
  <c r="O2" i="17"/>
  <c r="J2" i="9"/>
  <c r="K2" i="9"/>
  <c r="S2" i="9"/>
  <c r="R2" i="9"/>
  <c r="L2" i="9"/>
  <c r="T2" i="9"/>
  <c r="M2" i="9"/>
  <c r="U2" i="9"/>
  <c r="N2" i="9"/>
  <c r="V2" i="9"/>
  <c r="K2" i="8"/>
  <c r="S2" i="8"/>
  <c r="J2" i="8"/>
  <c r="R2" i="8"/>
  <c r="M2" i="8"/>
  <c r="U2" i="8"/>
  <c r="V2" i="8"/>
  <c r="N2" i="8"/>
  <c r="O2" i="8"/>
  <c r="P2" i="8"/>
  <c r="L2" i="8"/>
  <c r="T2" i="8"/>
  <c r="I2" i="8"/>
  <c r="Q2" i="8"/>
  <c r="P2" i="7"/>
  <c r="I2" i="7"/>
  <c r="Q2" i="7"/>
  <c r="J2" i="7"/>
  <c r="R2" i="7"/>
  <c r="K2" i="7"/>
  <c r="S2" i="7"/>
  <c r="L2" i="7"/>
  <c r="T2" i="7"/>
  <c r="V2" i="7"/>
  <c r="M2" i="7"/>
  <c r="U2" i="7"/>
  <c r="K2" i="6"/>
  <c r="S2" i="6"/>
  <c r="V2" i="6"/>
  <c r="L2" i="6"/>
  <c r="T2" i="6"/>
  <c r="M2" i="6"/>
  <c r="U2" i="6"/>
  <c r="O2" i="6"/>
  <c r="G2" i="6"/>
  <c r="G4" i="7" s="1"/>
  <c r="G5" i="7" s="1"/>
  <c r="P2" i="6"/>
  <c r="N2" i="6"/>
  <c r="I2" i="6"/>
  <c r="Q2" i="6"/>
  <c r="J2" i="6"/>
  <c r="R2" i="6"/>
  <c r="T2" i="11"/>
  <c r="L2" i="11"/>
  <c r="K2" i="11"/>
  <c r="R2" i="11"/>
  <c r="J2" i="11"/>
  <c r="O2" i="11"/>
  <c r="S2" i="11"/>
  <c r="P2" i="11"/>
  <c r="Q2" i="11"/>
  <c r="I2" i="11"/>
  <c r="N2" i="11"/>
  <c r="U2" i="11"/>
  <c r="M2" i="11"/>
  <c r="U2" i="10"/>
  <c r="R2" i="10"/>
  <c r="Q2" i="10"/>
  <c r="I2" i="10"/>
  <c r="J2" i="10"/>
  <c r="P2" i="10"/>
  <c r="N2" i="10"/>
  <c r="O2" i="10"/>
  <c r="V2" i="10"/>
  <c r="M2" i="10"/>
  <c r="T2" i="10"/>
  <c r="L2" i="10"/>
  <c r="S2" i="10"/>
  <c r="K2" i="10"/>
  <c r="U2" i="5"/>
  <c r="J12" i="5"/>
  <c r="J13" i="5"/>
  <c r="T99" i="5"/>
  <c r="S99" i="5"/>
  <c r="R99" i="5"/>
  <c r="Q99" i="5"/>
  <c r="P99" i="5"/>
  <c r="O99" i="5"/>
  <c r="N99" i="5"/>
  <c r="M99" i="5"/>
  <c r="L99" i="5"/>
  <c r="K99" i="5"/>
  <c r="J99" i="5"/>
  <c r="I99" i="5"/>
  <c r="V99" i="5"/>
  <c r="T98" i="5"/>
  <c r="S98" i="5"/>
  <c r="R98" i="5"/>
  <c r="Q98" i="5"/>
  <c r="P98" i="5"/>
  <c r="O98" i="5"/>
  <c r="N98" i="5"/>
  <c r="M98" i="5"/>
  <c r="L98" i="5"/>
  <c r="K98" i="5"/>
  <c r="J98" i="5"/>
  <c r="I98" i="5"/>
  <c r="V98" i="5"/>
  <c r="T97" i="5"/>
  <c r="S97" i="5"/>
  <c r="R97" i="5"/>
  <c r="Q97" i="5"/>
  <c r="P97" i="5"/>
  <c r="O97" i="5"/>
  <c r="N97" i="5"/>
  <c r="M97" i="5"/>
  <c r="L97" i="5"/>
  <c r="K97" i="5"/>
  <c r="J97" i="5"/>
  <c r="I97" i="5"/>
  <c r="V97" i="5"/>
  <c r="T96" i="5"/>
  <c r="S96" i="5"/>
  <c r="R96" i="5"/>
  <c r="Q96" i="5"/>
  <c r="P96" i="5"/>
  <c r="O96" i="5"/>
  <c r="N96" i="5"/>
  <c r="M96" i="5"/>
  <c r="L96" i="5"/>
  <c r="K96" i="5"/>
  <c r="J96" i="5"/>
  <c r="I96" i="5"/>
  <c r="V96" i="5"/>
  <c r="T95" i="5"/>
  <c r="S95" i="5"/>
  <c r="R95" i="5"/>
  <c r="Q95" i="5"/>
  <c r="P95" i="5"/>
  <c r="O95" i="5"/>
  <c r="N95" i="5"/>
  <c r="M95" i="5"/>
  <c r="L95" i="5"/>
  <c r="K95" i="5"/>
  <c r="J95" i="5"/>
  <c r="I95" i="5"/>
  <c r="V95" i="5"/>
  <c r="T94" i="5"/>
  <c r="S94" i="5"/>
  <c r="R94" i="5"/>
  <c r="Q94" i="5"/>
  <c r="P94" i="5"/>
  <c r="O94" i="5"/>
  <c r="N94" i="5"/>
  <c r="M94" i="5"/>
  <c r="L94" i="5"/>
  <c r="K94" i="5"/>
  <c r="J94" i="5"/>
  <c r="I94" i="5"/>
  <c r="V94" i="5"/>
  <c r="T93" i="5"/>
  <c r="S93" i="5"/>
  <c r="R93" i="5"/>
  <c r="Q93" i="5"/>
  <c r="P93" i="5"/>
  <c r="O93" i="5"/>
  <c r="N93" i="5"/>
  <c r="M93" i="5"/>
  <c r="L93" i="5"/>
  <c r="K93" i="5"/>
  <c r="J93" i="5"/>
  <c r="I93" i="5"/>
  <c r="V93" i="5"/>
  <c r="T92" i="5"/>
  <c r="S92" i="5"/>
  <c r="R92" i="5"/>
  <c r="Q92" i="5"/>
  <c r="P92" i="5"/>
  <c r="O92" i="5"/>
  <c r="N92" i="5"/>
  <c r="M92" i="5"/>
  <c r="L92" i="5"/>
  <c r="K92" i="5"/>
  <c r="J92" i="5"/>
  <c r="I92" i="5"/>
  <c r="V92" i="5"/>
  <c r="T91" i="5"/>
  <c r="S91" i="5"/>
  <c r="R91" i="5"/>
  <c r="Q91" i="5"/>
  <c r="P91" i="5"/>
  <c r="O91" i="5"/>
  <c r="N91" i="5"/>
  <c r="M91" i="5"/>
  <c r="L91" i="5"/>
  <c r="K91" i="5"/>
  <c r="J91" i="5"/>
  <c r="I91" i="5"/>
  <c r="V91" i="5"/>
  <c r="T90" i="5"/>
  <c r="S90" i="5"/>
  <c r="R90" i="5"/>
  <c r="Q90" i="5"/>
  <c r="P90" i="5"/>
  <c r="O90" i="5"/>
  <c r="N90" i="5"/>
  <c r="M90" i="5"/>
  <c r="L90" i="5"/>
  <c r="K90" i="5"/>
  <c r="J90" i="5"/>
  <c r="I90" i="5"/>
  <c r="V90" i="5"/>
  <c r="T89" i="5"/>
  <c r="S89" i="5"/>
  <c r="R89" i="5"/>
  <c r="Q89" i="5"/>
  <c r="P89" i="5"/>
  <c r="O89" i="5"/>
  <c r="N89" i="5"/>
  <c r="M89" i="5"/>
  <c r="L89" i="5"/>
  <c r="K89" i="5"/>
  <c r="J89" i="5"/>
  <c r="I89" i="5"/>
  <c r="V89" i="5"/>
  <c r="T88" i="5"/>
  <c r="S88" i="5"/>
  <c r="R88" i="5"/>
  <c r="Q88" i="5"/>
  <c r="P88" i="5"/>
  <c r="O88" i="5"/>
  <c r="N88" i="5"/>
  <c r="M88" i="5"/>
  <c r="L88" i="5"/>
  <c r="K88" i="5"/>
  <c r="J88" i="5"/>
  <c r="I88" i="5"/>
  <c r="V88" i="5"/>
  <c r="T87" i="5"/>
  <c r="S87" i="5"/>
  <c r="R87" i="5"/>
  <c r="Q87" i="5"/>
  <c r="P87" i="5"/>
  <c r="O87" i="5"/>
  <c r="N87" i="5"/>
  <c r="M87" i="5"/>
  <c r="L87" i="5"/>
  <c r="K87" i="5"/>
  <c r="J87" i="5"/>
  <c r="I87" i="5"/>
  <c r="V87" i="5"/>
  <c r="T86" i="5"/>
  <c r="S86" i="5"/>
  <c r="R86" i="5"/>
  <c r="Q86" i="5"/>
  <c r="P86" i="5"/>
  <c r="O86" i="5"/>
  <c r="N86" i="5"/>
  <c r="M86" i="5"/>
  <c r="L86" i="5"/>
  <c r="K86" i="5"/>
  <c r="J86" i="5"/>
  <c r="I86" i="5"/>
  <c r="V86" i="5"/>
  <c r="T85" i="5"/>
  <c r="S85" i="5"/>
  <c r="R85" i="5"/>
  <c r="Q85" i="5"/>
  <c r="P85" i="5"/>
  <c r="O85" i="5"/>
  <c r="N85" i="5"/>
  <c r="M85" i="5"/>
  <c r="L85" i="5"/>
  <c r="K85" i="5"/>
  <c r="J85" i="5"/>
  <c r="I85" i="5"/>
  <c r="V85" i="5"/>
  <c r="T84" i="5"/>
  <c r="S84" i="5"/>
  <c r="R84" i="5"/>
  <c r="Q84" i="5"/>
  <c r="P84" i="5"/>
  <c r="O84" i="5"/>
  <c r="N84" i="5"/>
  <c r="M84" i="5"/>
  <c r="L84" i="5"/>
  <c r="K84" i="5"/>
  <c r="J84" i="5"/>
  <c r="I84" i="5"/>
  <c r="V84" i="5"/>
  <c r="T83" i="5"/>
  <c r="S83" i="5"/>
  <c r="R83" i="5"/>
  <c r="Q83" i="5"/>
  <c r="P83" i="5"/>
  <c r="O83" i="5"/>
  <c r="N83" i="5"/>
  <c r="M83" i="5"/>
  <c r="L83" i="5"/>
  <c r="K83" i="5"/>
  <c r="J83" i="5"/>
  <c r="I83" i="5"/>
  <c r="V83" i="5"/>
  <c r="T82" i="5"/>
  <c r="S82" i="5"/>
  <c r="R82" i="5"/>
  <c r="Q82" i="5"/>
  <c r="P82" i="5"/>
  <c r="O82" i="5"/>
  <c r="N82" i="5"/>
  <c r="M82" i="5"/>
  <c r="L82" i="5"/>
  <c r="K82" i="5"/>
  <c r="J82" i="5"/>
  <c r="I82" i="5"/>
  <c r="V82" i="5"/>
  <c r="T81" i="5"/>
  <c r="S81" i="5"/>
  <c r="R81" i="5"/>
  <c r="Q81" i="5"/>
  <c r="P81" i="5"/>
  <c r="O81" i="5"/>
  <c r="N81" i="5"/>
  <c r="M81" i="5"/>
  <c r="L81" i="5"/>
  <c r="K81" i="5"/>
  <c r="J81" i="5"/>
  <c r="I81" i="5"/>
  <c r="V81" i="5"/>
  <c r="T80" i="5"/>
  <c r="S80" i="5"/>
  <c r="R80" i="5"/>
  <c r="Q80" i="5"/>
  <c r="P80" i="5"/>
  <c r="O80" i="5"/>
  <c r="N80" i="5"/>
  <c r="M80" i="5"/>
  <c r="L80" i="5"/>
  <c r="K80" i="5"/>
  <c r="J80" i="5"/>
  <c r="I80" i="5"/>
  <c r="V80" i="5"/>
  <c r="T79" i="5"/>
  <c r="S79" i="5"/>
  <c r="R79" i="5"/>
  <c r="Q79" i="5"/>
  <c r="P79" i="5"/>
  <c r="O79" i="5"/>
  <c r="N79" i="5"/>
  <c r="M79" i="5"/>
  <c r="L79" i="5"/>
  <c r="K79" i="5"/>
  <c r="J79" i="5"/>
  <c r="I79" i="5"/>
  <c r="V79" i="5"/>
  <c r="T78" i="5"/>
  <c r="S78" i="5"/>
  <c r="R78" i="5"/>
  <c r="Q78" i="5"/>
  <c r="P78" i="5"/>
  <c r="O78" i="5"/>
  <c r="N78" i="5"/>
  <c r="M78" i="5"/>
  <c r="L78" i="5"/>
  <c r="K78" i="5"/>
  <c r="J78" i="5"/>
  <c r="I78" i="5"/>
  <c r="V78" i="5"/>
  <c r="T77" i="5"/>
  <c r="S77" i="5"/>
  <c r="R77" i="5"/>
  <c r="Q77" i="5"/>
  <c r="P77" i="5"/>
  <c r="O77" i="5"/>
  <c r="N77" i="5"/>
  <c r="M77" i="5"/>
  <c r="L77" i="5"/>
  <c r="K77" i="5"/>
  <c r="J77" i="5"/>
  <c r="I77" i="5"/>
  <c r="V77" i="5"/>
  <c r="T76" i="5"/>
  <c r="S76" i="5"/>
  <c r="R76" i="5"/>
  <c r="Q76" i="5"/>
  <c r="P76" i="5"/>
  <c r="O76" i="5"/>
  <c r="N76" i="5"/>
  <c r="M76" i="5"/>
  <c r="L76" i="5"/>
  <c r="K76" i="5"/>
  <c r="J76" i="5"/>
  <c r="I76" i="5"/>
  <c r="V76" i="5"/>
  <c r="T75" i="5"/>
  <c r="S75" i="5"/>
  <c r="R75" i="5"/>
  <c r="Q75" i="5"/>
  <c r="P75" i="5"/>
  <c r="O75" i="5"/>
  <c r="N75" i="5"/>
  <c r="M75" i="5"/>
  <c r="L75" i="5"/>
  <c r="K75" i="5"/>
  <c r="J75" i="5"/>
  <c r="I75" i="5"/>
  <c r="V75" i="5"/>
  <c r="T74" i="5"/>
  <c r="S74" i="5"/>
  <c r="R74" i="5"/>
  <c r="Q74" i="5"/>
  <c r="P74" i="5"/>
  <c r="O74" i="5"/>
  <c r="N74" i="5"/>
  <c r="M74" i="5"/>
  <c r="L74" i="5"/>
  <c r="K74" i="5"/>
  <c r="J74" i="5"/>
  <c r="I74" i="5"/>
  <c r="V74" i="5"/>
  <c r="T73" i="5"/>
  <c r="S73" i="5"/>
  <c r="R73" i="5"/>
  <c r="Q73" i="5"/>
  <c r="P73" i="5"/>
  <c r="O73" i="5"/>
  <c r="N73" i="5"/>
  <c r="M73" i="5"/>
  <c r="L73" i="5"/>
  <c r="K73" i="5"/>
  <c r="J73" i="5"/>
  <c r="I73" i="5"/>
  <c r="V73" i="5"/>
  <c r="T72" i="5"/>
  <c r="S72" i="5"/>
  <c r="R72" i="5"/>
  <c r="Q72" i="5"/>
  <c r="P72" i="5"/>
  <c r="O72" i="5"/>
  <c r="N72" i="5"/>
  <c r="M72" i="5"/>
  <c r="L72" i="5"/>
  <c r="K72" i="5"/>
  <c r="J72" i="5"/>
  <c r="I72" i="5"/>
  <c r="V72" i="5"/>
  <c r="T71" i="5"/>
  <c r="S71" i="5"/>
  <c r="R71" i="5"/>
  <c r="Q71" i="5"/>
  <c r="P71" i="5"/>
  <c r="O71" i="5"/>
  <c r="N71" i="5"/>
  <c r="M71" i="5"/>
  <c r="L71" i="5"/>
  <c r="K71" i="5"/>
  <c r="J71" i="5"/>
  <c r="I71" i="5"/>
  <c r="V71" i="5"/>
  <c r="T70" i="5"/>
  <c r="S70" i="5"/>
  <c r="R70" i="5"/>
  <c r="Q70" i="5"/>
  <c r="P70" i="5"/>
  <c r="O70" i="5"/>
  <c r="N70" i="5"/>
  <c r="M70" i="5"/>
  <c r="L70" i="5"/>
  <c r="K70" i="5"/>
  <c r="J70" i="5"/>
  <c r="I70" i="5"/>
  <c r="V70" i="5"/>
  <c r="T69" i="5"/>
  <c r="S69" i="5"/>
  <c r="R69" i="5"/>
  <c r="Q69" i="5"/>
  <c r="P69" i="5"/>
  <c r="O69" i="5"/>
  <c r="N69" i="5"/>
  <c r="M69" i="5"/>
  <c r="L69" i="5"/>
  <c r="K69" i="5"/>
  <c r="J69" i="5"/>
  <c r="I69" i="5"/>
  <c r="V69" i="5"/>
  <c r="T68" i="5"/>
  <c r="S68" i="5"/>
  <c r="R68" i="5"/>
  <c r="Q68" i="5"/>
  <c r="P68" i="5"/>
  <c r="O68" i="5"/>
  <c r="N68" i="5"/>
  <c r="M68" i="5"/>
  <c r="L68" i="5"/>
  <c r="K68" i="5"/>
  <c r="J68" i="5"/>
  <c r="I68" i="5"/>
  <c r="V68" i="5"/>
  <c r="T67" i="5"/>
  <c r="S67" i="5"/>
  <c r="R67" i="5"/>
  <c r="Q67" i="5"/>
  <c r="P67" i="5"/>
  <c r="O67" i="5"/>
  <c r="N67" i="5"/>
  <c r="M67" i="5"/>
  <c r="L67" i="5"/>
  <c r="K67" i="5"/>
  <c r="J67" i="5"/>
  <c r="I67" i="5"/>
  <c r="V67" i="5"/>
  <c r="T66" i="5"/>
  <c r="S66" i="5"/>
  <c r="R66" i="5"/>
  <c r="Q66" i="5"/>
  <c r="P66" i="5"/>
  <c r="O66" i="5"/>
  <c r="N66" i="5"/>
  <c r="M66" i="5"/>
  <c r="L66" i="5"/>
  <c r="K66" i="5"/>
  <c r="J66" i="5"/>
  <c r="I66" i="5"/>
  <c r="V66" i="5"/>
  <c r="T65" i="5"/>
  <c r="S65" i="5"/>
  <c r="R65" i="5"/>
  <c r="Q65" i="5"/>
  <c r="P65" i="5"/>
  <c r="O65" i="5"/>
  <c r="N65" i="5"/>
  <c r="M65" i="5"/>
  <c r="L65" i="5"/>
  <c r="K65" i="5"/>
  <c r="J65" i="5"/>
  <c r="I65" i="5"/>
  <c r="V65" i="5"/>
  <c r="T64" i="5"/>
  <c r="S64" i="5"/>
  <c r="R64" i="5"/>
  <c r="Q64" i="5"/>
  <c r="P64" i="5"/>
  <c r="O64" i="5"/>
  <c r="N64" i="5"/>
  <c r="M64" i="5"/>
  <c r="L64" i="5"/>
  <c r="K64" i="5"/>
  <c r="J64" i="5"/>
  <c r="I64" i="5"/>
  <c r="V64" i="5"/>
  <c r="T63" i="5"/>
  <c r="S63" i="5"/>
  <c r="R63" i="5"/>
  <c r="Q63" i="5"/>
  <c r="P63" i="5"/>
  <c r="O63" i="5"/>
  <c r="N63" i="5"/>
  <c r="M63" i="5"/>
  <c r="L63" i="5"/>
  <c r="K63" i="5"/>
  <c r="J63" i="5"/>
  <c r="I63" i="5"/>
  <c r="V63" i="5"/>
  <c r="T62" i="5"/>
  <c r="S62" i="5"/>
  <c r="R62" i="5"/>
  <c r="Q62" i="5"/>
  <c r="P62" i="5"/>
  <c r="O62" i="5"/>
  <c r="N62" i="5"/>
  <c r="M62" i="5"/>
  <c r="L62" i="5"/>
  <c r="K62" i="5"/>
  <c r="J62" i="5"/>
  <c r="I62" i="5"/>
  <c r="V62" i="5"/>
  <c r="T61" i="5"/>
  <c r="S61" i="5"/>
  <c r="R61" i="5"/>
  <c r="Q61" i="5"/>
  <c r="P61" i="5"/>
  <c r="O61" i="5"/>
  <c r="N61" i="5"/>
  <c r="M61" i="5"/>
  <c r="L61" i="5"/>
  <c r="K61" i="5"/>
  <c r="J61" i="5"/>
  <c r="I61" i="5"/>
  <c r="V61" i="5"/>
  <c r="T60" i="5"/>
  <c r="S60" i="5"/>
  <c r="R60" i="5"/>
  <c r="Q60" i="5"/>
  <c r="P60" i="5"/>
  <c r="O60" i="5"/>
  <c r="N60" i="5"/>
  <c r="M60" i="5"/>
  <c r="L60" i="5"/>
  <c r="K60" i="5"/>
  <c r="J60" i="5"/>
  <c r="I60" i="5"/>
  <c r="V60" i="5"/>
  <c r="T59" i="5"/>
  <c r="S59" i="5"/>
  <c r="R59" i="5"/>
  <c r="Q59" i="5"/>
  <c r="P59" i="5"/>
  <c r="O59" i="5"/>
  <c r="N59" i="5"/>
  <c r="M59" i="5"/>
  <c r="L59" i="5"/>
  <c r="K59" i="5"/>
  <c r="J59" i="5"/>
  <c r="I59" i="5"/>
  <c r="V59" i="5"/>
  <c r="T58" i="5"/>
  <c r="S58" i="5"/>
  <c r="R58" i="5"/>
  <c r="Q58" i="5"/>
  <c r="P58" i="5"/>
  <c r="O58" i="5"/>
  <c r="N58" i="5"/>
  <c r="M58" i="5"/>
  <c r="L58" i="5"/>
  <c r="K58" i="5"/>
  <c r="J58" i="5"/>
  <c r="I58" i="5"/>
  <c r="V58" i="5"/>
  <c r="T57" i="5"/>
  <c r="S57" i="5"/>
  <c r="R57" i="5"/>
  <c r="Q57" i="5"/>
  <c r="P57" i="5"/>
  <c r="O57" i="5"/>
  <c r="N57" i="5"/>
  <c r="M57" i="5"/>
  <c r="L57" i="5"/>
  <c r="K57" i="5"/>
  <c r="J57" i="5"/>
  <c r="I57" i="5"/>
  <c r="V57" i="5"/>
  <c r="T56" i="5"/>
  <c r="S56" i="5"/>
  <c r="R56" i="5"/>
  <c r="Q56" i="5"/>
  <c r="P56" i="5"/>
  <c r="O56" i="5"/>
  <c r="N56" i="5"/>
  <c r="M56" i="5"/>
  <c r="L56" i="5"/>
  <c r="K56" i="5"/>
  <c r="J56" i="5"/>
  <c r="I56" i="5"/>
  <c r="V56" i="5"/>
  <c r="T55" i="5"/>
  <c r="S55" i="5"/>
  <c r="R55" i="5"/>
  <c r="Q55" i="5"/>
  <c r="P55" i="5"/>
  <c r="O55" i="5"/>
  <c r="N55" i="5"/>
  <c r="M55" i="5"/>
  <c r="L55" i="5"/>
  <c r="K55" i="5"/>
  <c r="J55" i="5"/>
  <c r="I55" i="5"/>
  <c r="V55" i="5"/>
  <c r="T54" i="5"/>
  <c r="S54" i="5"/>
  <c r="R54" i="5"/>
  <c r="Q54" i="5"/>
  <c r="P54" i="5"/>
  <c r="O54" i="5"/>
  <c r="N54" i="5"/>
  <c r="M54" i="5"/>
  <c r="L54" i="5"/>
  <c r="K54" i="5"/>
  <c r="J54" i="5"/>
  <c r="I54" i="5"/>
  <c r="V54" i="5"/>
  <c r="T53" i="5"/>
  <c r="S53" i="5"/>
  <c r="R53" i="5"/>
  <c r="Q53" i="5"/>
  <c r="P53" i="5"/>
  <c r="O53" i="5"/>
  <c r="N53" i="5"/>
  <c r="M53" i="5"/>
  <c r="L53" i="5"/>
  <c r="K53" i="5"/>
  <c r="J53" i="5"/>
  <c r="I53" i="5"/>
  <c r="V53" i="5"/>
  <c r="T52" i="5"/>
  <c r="S52" i="5"/>
  <c r="R52" i="5"/>
  <c r="Q52" i="5"/>
  <c r="P52" i="5"/>
  <c r="O52" i="5"/>
  <c r="N52" i="5"/>
  <c r="M52" i="5"/>
  <c r="L52" i="5"/>
  <c r="K52" i="5"/>
  <c r="J52" i="5"/>
  <c r="I52" i="5"/>
  <c r="V52" i="5"/>
  <c r="T51" i="5"/>
  <c r="S51" i="5"/>
  <c r="R51" i="5"/>
  <c r="Q51" i="5"/>
  <c r="P51" i="5"/>
  <c r="O51" i="5"/>
  <c r="N51" i="5"/>
  <c r="M51" i="5"/>
  <c r="L51" i="5"/>
  <c r="K51" i="5"/>
  <c r="J51" i="5"/>
  <c r="I51" i="5"/>
  <c r="V51" i="5"/>
  <c r="T50" i="5"/>
  <c r="S50" i="5"/>
  <c r="R50" i="5"/>
  <c r="Q50" i="5"/>
  <c r="P50" i="5"/>
  <c r="O50" i="5"/>
  <c r="N50" i="5"/>
  <c r="M50" i="5"/>
  <c r="L50" i="5"/>
  <c r="K50" i="5"/>
  <c r="J50" i="5"/>
  <c r="I50" i="5"/>
  <c r="V50" i="5"/>
  <c r="T49" i="5"/>
  <c r="S49" i="5"/>
  <c r="R49" i="5"/>
  <c r="Q49" i="5"/>
  <c r="P49" i="5"/>
  <c r="O49" i="5"/>
  <c r="N49" i="5"/>
  <c r="M49" i="5"/>
  <c r="L49" i="5"/>
  <c r="K49" i="5"/>
  <c r="J49" i="5"/>
  <c r="I49" i="5"/>
  <c r="V49" i="5"/>
  <c r="T48" i="5"/>
  <c r="S48" i="5"/>
  <c r="R48" i="5"/>
  <c r="Q48" i="5"/>
  <c r="P48" i="5"/>
  <c r="O48" i="5"/>
  <c r="N48" i="5"/>
  <c r="M48" i="5"/>
  <c r="L48" i="5"/>
  <c r="K48" i="5"/>
  <c r="J48" i="5"/>
  <c r="I48" i="5"/>
  <c r="V48" i="5"/>
  <c r="T47" i="5"/>
  <c r="S47" i="5"/>
  <c r="R47" i="5"/>
  <c r="Q47" i="5"/>
  <c r="P47" i="5"/>
  <c r="O47" i="5"/>
  <c r="N47" i="5"/>
  <c r="M47" i="5"/>
  <c r="L47" i="5"/>
  <c r="K47" i="5"/>
  <c r="J47" i="5"/>
  <c r="I47" i="5"/>
  <c r="V47" i="5"/>
  <c r="T46" i="5"/>
  <c r="S46" i="5"/>
  <c r="R46" i="5"/>
  <c r="Q46" i="5"/>
  <c r="P46" i="5"/>
  <c r="O46" i="5"/>
  <c r="N46" i="5"/>
  <c r="M46" i="5"/>
  <c r="L46" i="5"/>
  <c r="K46" i="5"/>
  <c r="J46" i="5"/>
  <c r="I46" i="5"/>
  <c r="V46" i="5"/>
  <c r="T45" i="5"/>
  <c r="S45" i="5"/>
  <c r="R45" i="5"/>
  <c r="Q45" i="5"/>
  <c r="P45" i="5"/>
  <c r="O45" i="5"/>
  <c r="N45" i="5"/>
  <c r="M45" i="5"/>
  <c r="L45" i="5"/>
  <c r="K45" i="5"/>
  <c r="J45" i="5"/>
  <c r="I45" i="5"/>
  <c r="V45" i="5"/>
  <c r="T44" i="5"/>
  <c r="S44" i="5"/>
  <c r="R44" i="5"/>
  <c r="Q44" i="5"/>
  <c r="P44" i="5"/>
  <c r="O44" i="5"/>
  <c r="N44" i="5"/>
  <c r="M44" i="5"/>
  <c r="L44" i="5"/>
  <c r="K44" i="5"/>
  <c r="J44" i="5"/>
  <c r="I44" i="5"/>
  <c r="V44" i="5"/>
  <c r="T43" i="5"/>
  <c r="S43" i="5"/>
  <c r="R43" i="5"/>
  <c r="Q43" i="5"/>
  <c r="P43" i="5"/>
  <c r="O43" i="5"/>
  <c r="N43" i="5"/>
  <c r="M43" i="5"/>
  <c r="L43" i="5"/>
  <c r="K43" i="5"/>
  <c r="J43" i="5"/>
  <c r="I43" i="5"/>
  <c r="V43" i="5"/>
  <c r="T42" i="5"/>
  <c r="S42" i="5"/>
  <c r="R42" i="5"/>
  <c r="Q42" i="5"/>
  <c r="P42" i="5"/>
  <c r="O42" i="5"/>
  <c r="N42" i="5"/>
  <c r="M42" i="5"/>
  <c r="L42" i="5"/>
  <c r="K42" i="5"/>
  <c r="J42" i="5"/>
  <c r="I42" i="5"/>
  <c r="V42" i="5"/>
  <c r="T41" i="5"/>
  <c r="S41" i="5"/>
  <c r="R41" i="5"/>
  <c r="Q41" i="5"/>
  <c r="P41" i="5"/>
  <c r="O41" i="5"/>
  <c r="N41" i="5"/>
  <c r="M41" i="5"/>
  <c r="L41" i="5"/>
  <c r="K41" i="5"/>
  <c r="J41" i="5"/>
  <c r="I41" i="5"/>
  <c r="V41" i="5"/>
  <c r="T40" i="5"/>
  <c r="S40" i="5"/>
  <c r="R40" i="5"/>
  <c r="Q40" i="5"/>
  <c r="P40" i="5"/>
  <c r="O40" i="5"/>
  <c r="N40" i="5"/>
  <c r="M40" i="5"/>
  <c r="L40" i="5"/>
  <c r="K40" i="5"/>
  <c r="J40" i="5"/>
  <c r="I40" i="5"/>
  <c r="V40" i="5"/>
  <c r="T39" i="5"/>
  <c r="S39" i="5"/>
  <c r="R39" i="5"/>
  <c r="Q39" i="5"/>
  <c r="P39" i="5"/>
  <c r="O39" i="5"/>
  <c r="N39" i="5"/>
  <c r="M39" i="5"/>
  <c r="L39" i="5"/>
  <c r="K39" i="5"/>
  <c r="J39" i="5"/>
  <c r="I39" i="5"/>
  <c r="V39" i="5"/>
  <c r="T38" i="5"/>
  <c r="S38" i="5"/>
  <c r="R38" i="5"/>
  <c r="Q38" i="5"/>
  <c r="P38" i="5"/>
  <c r="O38" i="5"/>
  <c r="N38" i="5"/>
  <c r="M38" i="5"/>
  <c r="L38" i="5"/>
  <c r="K38" i="5"/>
  <c r="J38" i="5"/>
  <c r="I38" i="5"/>
  <c r="V38" i="5"/>
  <c r="T37" i="5"/>
  <c r="S37" i="5"/>
  <c r="R37" i="5"/>
  <c r="Q37" i="5"/>
  <c r="P37" i="5"/>
  <c r="O37" i="5"/>
  <c r="N37" i="5"/>
  <c r="M37" i="5"/>
  <c r="L37" i="5"/>
  <c r="K37" i="5"/>
  <c r="J37" i="5"/>
  <c r="I37" i="5"/>
  <c r="V37" i="5"/>
  <c r="T36" i="5"/>
  <c r="S36" i="5"/>
  <c r="R36" i="5"/>
  <c r="Q36" i="5"/>
  <c r="P36" i="5"/>
  <c r="O36" i="5"/>
  <c r="N36" i="5"/>
  <c r="M36" i="5"/>
  <c r="L36" i="5"/>
  <c r="K36" i="5"/>
  <c r="J36" i="5"/>
  <c r="I36" i="5"/>
  <c r="V36" i="5"/>
  <c r="T35" i="5"/>
  <c r="S35" i="5"/>
  <c r="R35" i="5"/>
  <c r="Q35" i="5"/>
  <c r="P35" i="5"/>
  <c r="O35" i="5"/>
  <c r="N35" i="5"/>
  <c r="M35" i="5"/>
  <c r="L35" i="5"/>
  <c r="K35" i="5"/>
  <c r="J35" i="5"/>
  <c r="I35" i="5"/>
  <c r="V35" i="5"/>
  <c r="T34" i="5"/>
  <c r="S34" i="5"/>
  <c r="R34" i="5"/>
  <c r="Q34" i="5"/>
  <c r="P34" i="5"/>
  <c r="O34" i="5"/>
  <c r="N34" i="5"/>
  <c r="M34" i="5"/>
  <c r="L34" i="5"/>
  <c r="K34" i="5"/>
  <c r="J34" i="5"/>
  <c r="I34" i="5"/>
  <c r="V34" i="5"/>
  <c r="T33" i="5"/>
  <c r="S33" i="5"/>
  <c r="R33" i="5"/>
  <c r="Q33" i="5"/>
  <c r="P33" i="5"/>
  <c r="O33" i="5"/>
  <c r="N33" i="5"/>
  <c r="M33" i="5"/>
  <c r="L33" i="5"/>
  <c r="K33" i="5"/>
  <c r="J33" i="5"/>
  <c r="I33" i="5"/>
  <c r="V33" i="5"/>
  <c r="T32" i="5"/>
  <c r="S32" i="5"/>
  <c r="R32" i="5"/>
  <c r="Q32" i="5"/>
  <c r="P32" i="5"/>
  <c r="O32" i="5"/>
  <c r="N32" i="5"/>
  <c r="M32" i="5"/>
  <c r="L32" i="5"/>
  <c r="K32" i="5"/>
  <c r="J32" i="5"/>
  <c r="I32" i="5"/>
  <c r="V32" i="5"/>
  <c r="T31" i="5"/>
  <c r="S31" i="5"/>
  <c r="R31" i="5"/>
  <c r="Q31" i="5"/>
  <c r="P31" i="5"/>
  <c r="O31" i="5"/>
  <c r="N31" i="5"/>
  <c r="M31" i="5"/>
  <c r="L31" i="5"/>
  <c r="K31" i="5"/>
  <c r="J31" i="5"/>
  <c r="I31" i="5"/>
  <c r="V31" i="5"/>
  <c r="T30" i="5"/>
  <c r="S30" i="5"/>
  <c r="R30" i="5"/>
  <c r="Q30" i="5"/>
  <c r="P30" i="5"/>
  <c r="O30" i="5"/>
  <c r="N30" i="5"/>
  <c r="M30" i="5"/>
  <c r="L30" i="5"/>
  <c r="K30" i="5"/>
  <c r="J30" i="5"/>
  <c r="I30" i="5"/>
  <c r="V30" i="5"/>
  <c r="T29" i="5"/>
  <c r="S29" i="5"/>
  <c r="R29" i="5"/>
  <c r="Q29" i="5"/>
  <c r="P29" i="5"/>
  <c r="O29" i="5"/>
  <c r="N29" i="5"/>
  <c r="M29" i="5"/>
  <c r="L29" i="5"/>
  <c r="K29" i="5"/>
  <c r="J29" i="5"/>
  <c r="I29" i="5"/>
  <c r="V29" i="5"/>
  <c r="T28" i="5"/>
  <c r="S28" i="5"/>
  <c r="R28" i="5"/>
  <c r="Q28" i="5"/>
  <c r="P28" i="5"/>
  <c r="O28" i="5"/>
  <c r="N28" i="5"/>
  <c r="M28" i="5"/>
  <c r="L28" i="5"/>
  <c r="K28" i="5"/>
  <c r="J28" i="5"/>
  <c r="I28" i="5"/>
  <c r="V28" i="5"/>
  <c r="T27" i="5"/>
  <c r="S27" i="5"/>
  <c r="R27" i="5"/>
  <c r="Q27" i="5"/>
  <c r="P27" i="5"/>
  <c r="O27" i="5"/>
  <c r="N27" i="5"/>
  <c r="M27" i="5"/>
  <c r="L27" i="5"/>
  <c r="K27" i="5"/>
  <c r="J27" i="5"/>
  <c r="I27" i="5"/>
  <c r="V27" i="5"/>
  <c r="T26" i="5"/>
  <c r="S26" i="5"/>
  <c r="R26" i="5"/>
  <c r="Q26" i="5"/>
  <c r="P26" i="5"/>
  <c r="O26" i="5"/>
  <c r="N26" i="5"/>
  <c r="M26" i="5"/>
  <c r="L26" i="5"/>
  <c r="K26" i="5"/>
  <c r="J26" i="5"/>
  <c r="I26" i="5"/>
  <c r="V26" i="5"/>
  <c r="T25" i="5"/>
  <c r="S25" i="5"/>
  <c r="R25" i="5"/>
  <c r="Q25" i="5"/>
  <c r="P25" i="5"/>
  <c r="O25" i="5"/>
  <c r="N25" i="5"/>
  <c r="M25" i="5"/>
  <c r="L25" i="5"/>
  <c r="K25" i="5"/>
  <c r="J25" i="5"/>
  <c r="I25" i="5"/>
  <c r="V25" i="5"/>
  <c r="T24" i="5"/>
  <c r="S24" i="5"/>
  <c r="R24" i="5"/>
  <c r="Q24" i="5"/>
  <c r="P24" i="5"/>
  <c r="O24" i="5"/>
  <c r="N24" i="5"/>
  <c r="M24" i="5"/>
  <c r="L24" i="5"/>
  <c r="K24" i="5"/>
  <c r="J24" i="5"/>
  <c r="I24" i="5"/>
  <c r="V24" i="5"/>
  <c r="T23" i="5"/>
  <c r="S23" i="5"/>
  <c r="R23" i="5"/>
  <c r="Q23" i="5"/>
  <c r="P23" i="5"/>
  <c r="O23" i="5"/>
  <c r="N23" i="5"/>
  <c r="M23" i="5"/>
  <c r="L23" i="5"/>
  <c r="K23" i="5"/>
  <c r="J23" i="5"/>
  <c r="I23" i="5"/>
  <c r="V23" i="5"/>
  <c r="T22" i="5"/>
  <c r="S22" i="5"/>
  <c r="R22" i="5"/>
  <c r="Q22" i="5"/>
  <c r="P22" i="5"/>
  <c r="O22" i="5"/>
  <c r="N22" i="5"/>
  <c r="M22" i="5"/>
  <c r="L22" i="5"/>
  <c r="K22" i="5"/>
  <c r="J22" i="5"/>
  <c r="I22" i="5"/>
  <c r="V22" i="5"/>
  <c r="T21" i="5"/>
  <c r="S21" i="5"/>
  <c r="R21" i="5"/>
  <c r="Q21" i="5"/>
  <c r="P21" i="5"/>
  <c r="O21" i="5"/>
  <c r="N21" i="5"/>
  <c r="M21" i="5"/>
  <c r="L21" i="5"/>
  <c r="K21" i="5"/>
  <c r="J21" i="5"/>
  <c r="I21" i="5"/>
  <c r="V21" i="5"/>
  <c r="T20" i="5"/>
  <c r="S20" i="5"/>
  <c r="R20" i="5"/>
  <c r="Q20" i="5"/>
  <c r="P20" i="5"/>
  <c r="O20" i="5"/>
  <c r="N20" i="5"/>
  <c r="M20" i="5"/>
  <c r="L20" i="5"/>
  <c r="K20" i="5"/>
  <c r="J20" i="5"/>
  <c r="I20" i="5"/>
  <c r="V20" i="5"/>
  <c r="T19" i="5"/>
  <c r="S19" i="5"/>
  <c r="R19" i="5"/>
  <c r="Q19" i="5"/>
  <c r="P19" i="5"/>
  <c r="O19" i="5"/>
  <c r="N19" i="5"/>
  <c r="M19" i="5"/>
  <c r="L19" i="5"/>
  <c r="K19" i="5"/>
  <c r="J19" i="5"/>
  <c r="I19" i="5"/>
  <c r="V19" i="5"/>
  <c r="T18" i="5"/>
  <c r="S18" i="5"/>
  <c r="R18" i="5"/>
  <c r="Q18" i="5"/>
  <c r="P18" i="5"/>
  <c r="O18" i="5"/>
  <c r="N18" i="5"/>
  <c r="M18" i="5"/>
  <c r="L18" i="5"/>
  <c r="K18" i="5"/>
  <c r="J18" i="5"/>
  <c r="I18" i="5"/>
  <c r="V18" i="5"/>
  <c r="V17" i="5"/>
  <c r="T17" i="5"/>
  <c r="S17" i="5"/>
  <c r="R17" i="5"/>
  <c r="Q17" i="5"/>
  <c r="P17" i="5"/>
  <c r="O17" i="5"/>
  <c r="N17" i="5"/>
  <c r="M17" i="5"/>
  <c r="L17" i="5"/>
  <c r="K17" i="5"/>
  <c r="J17" i="5"/>
  <c r="I17" i="5"/>
  <c r="V16" i="5"/>
  <c r="T16" i="5"/>
  <c r="S16" i="5"/>
  <c r="R16" i="5"/>
  <c r="Q16" i="5"/>
  <c r="P16" i="5"/>
  <c r="O16" i="5"/>
  <c r="N16" i="5"/>
  <c r="M16" i="5"/>
  <c r="L16" i="5"/>
  <c r="K16" i="5"/>
  <c r="J16" i="5"/>
  <c r="I16" i="5"/>
  <c r="V15" i="5"/>
  <c r="T15" i="5"/>
  <c r="S15" i="5"/>
  <c r="R15" i="5"/>
  <c r="Q15" i="5"/>
  <c r="P15" i="5"/>
  <c r="O15" i="5"/>
  <c r="N15" i="5"/>
  <c r="M15" i="5"/>
  <c r="L15" i="5"/>
  <c r="K15" i="5"/>
  <c r="J15" i="5"/>
  <c r="I15" i="5"/>
  <c r="V14" i="5"/>
  <c r="T14" i="5"/>
  <c r="S14" i="5"/>
  <c r="R14" i="5"/>
  <c r="Q14" i="5"/>
  <c r="P14" i="5"/>
  <c r="O14" i="5"/>
  <c r="N14" i="5"/>
  <c r="M14" i="5"/>
  <c r="L14" i="5"/>
  <c r="K14" i="5"/>
  <c r="J14" i="5"/>
  <c r="I14" i="5"/>
  <c r="V13" i="5"/>
  <c r="T13" i="5"/>
  <c r="S13" i="5"/>
  <c r="R13" i="5"/>
  <c r="Q13" i="5"/>
  <c r="P13" i="5"/>
  <c r="O13" i="5"/>
  <c r="N13" i="5"/>
  <c r="M13" i="5"/>
  <c r="L13" i="5"/>
  <c r="K13" i="5"/>
  <c r="I13" i="5"/>
  <c r="V12" i="5"/>
  <c r="T12" i="5"/>
  <c r="S12" i="5"/>
  <c r="R12" i="5"/>
  <c r="Q12" i="5"/>
  <c r="P12" i="5"/>
  <c r="O12" i="5"/>
  <c r="N12" i="5"/>
  <c r="M12" i="5"/>
  <c r="L12" i="5"/>
  <c r="K12" i="5"/>
  <c r="I12" i="5"/>
  <c r="V11" i="5"/>
  <c r="T11" i="5"/>
  <c r="S11" i="5"/>
  <c r="R11" i="5"/>
  <c r="Q11" i="5"/>
  <c r="P11" i="5"/>
  <c r="O11" i="5"/>
  <c r="N11" i="5"/>
  <c r="M11" i="5"/>
  <c r="L11" i="5"/>
  <c r="K11" i="5"/>
  <c r="J11" i="5"/>
  <c r="I11" i="5"/>
  <c r="V10" i="5"/>
  <c r="T10" i="5"/>
  <c r="S10" i="5"/>
  <c r="R10" i="5"/>
  <c r="Q10" i="5"/>
  <c r="P10" i="5"/>
  <c r="O10" i="5"/>
  <c r="N10" i="5"/>
  <c r="M10" i="5"/>
  <c r="L10" i="5"/>
  <c r="K10" i="5"/>
  <c r="J10" i="5"/>
  <c r="I10" i="5"/>
  <c r="V9" i="5"/>
  <c r="T9" i="5"/>
  <c r="S9" i="5"/>
  <c r="R9" i="5"/>
  <c r="O9" i="5"/>
  <c r="N9" i="5"/>
  <c r="M9" i="5"/>
  <c r="L9" i="5"/>
  <c r="K9" i="5"/>
  <c r="J9" i="5"/>
  <c r="I9" i="5"/>
  <c r="V8" i="5"/>
  <c r="T8" i="5"/>
  <c r="S8" i="5"/>
  <c r="R8" i="5"/>
  <c r="O8" i="5"/>
  <c r="N8" i="5"/>
  <c r="M8" i="5"/>
  <c r="L8" i="5"/>
  <c r="K8" i="5"/>
  <c r="J8" i="5"/>
  <c r="I8" i="5"/>
  <c r="V7" i="5"/>
  <c r="T7" i="5"/>
  <c r="S7" i="5"/>
  <c r="R7" i="5"/>
  <c r="Q7" i="5"/>
  <c r="P7" i="5"/>
  <c r="O7" i="5"/>
  <c r="N7" i="5"/>
  <c r="M7" i="5"/>
  <c r="L7" i="5"/>
  <c r="K7" i="5"/>
  <c r="J7" i="5"/>
  <c r="I7" i="5"/>
  <c r="V6" i="5"/>
  <c r="T6" i="5"/>
  <c r="S6" i="5"/>
  <c r="R6" i="5"/>
  <c r="P6" i="5"/>
  <c r="O6" i="5"/>
  <c r="N6" i="5"/>
  <c r="M6" i="5"/>
  <c r="L6" i="5"/>
  <c r="K6" i="5"/>
  <c r="J6" i="5"/>
  <c r="I6" i="5"/>
  <c r="F6" i="5"/>
  <c r="Q6" i="5" s="1"/>
  <c r="V5" i="5"/>
  <c r="T5" i="5"/>
  <c r="S5" i="5"/>
  <c r="R5" i="5"/>
  <c r="Q5" i="5"/>
  <c r="O5" i="5"/>
  <c r="N5" i="5"/>
  <c r="M5" i="5"/>
  <c r="L5" i="5"/>
  <c r="K5" i="5"/>
  <c r="J5" i="5"/>
  <c r="I5" i="5"/>
  <c r="F5" i="5"/>
  <c r="P5" i="5" s="1"/>
  <c r="V4" i="5"/>
  <c r="T4" i="5"/>
  <c r="S4" i="5"/>
  <c r="R4" i="5"/>
  <c r="Q4" i="5"/>
  <c r="P4" i="5"/>
  <c r="O4" i="5"/>
  <c r="N4" i="5"/>
  <c r="M4" i="5"/>
  <c r="L4" i="5"/>
  <c r="K4" i="5"/>
  <c r="J4" i="5"/>
  <c r="I4" i="5"/>
  <c r="E2" i="5"/>
  <c r="G29" i="23" l="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53" i="23" s="1"/>
  <c r="G54" i="23" s="1"/>
  <c r="G55" i="23" s="1"/>
  <c r="G56" i="23" s="1"/>
  <c r="G57" i="23" s="1"/>
  <c r="G58" i="23" s="1"/>
  <c r="G59" i="23" s="1"/>
  <c r="G60" i="23" s="1"/>
  <c r="G61" i="23" s="1"/>
  <c r="G62" i="23" s="1"/>
  <c r="G63" i="23" s="1"/>
  <c r="G64" i="23" s="1"/>
  <c r="G65" i="23" s="1"/>
  <c r="G66" i="23" s="1"/>
  <c r="G67" i="23" s="1"/>
  <c r="G68" i="23" s="1"/>
  <c r="G69" i="23" s="1"/>
  <c r="G70" i="23" s="1"/>
  <c r="G71" i="23" s="1"/>
  <c r="G72" i="23" s="1"/>
  <c r="G73" i="23" s="1"/>
  <c r="G74" i="23" s="1"/>
  <c r="G75" i="23" s="1"/>
  <c r="G76" i="23" s="1"/>
  <c r="G77" i="23" s="1"/>
  <c r="G78" i="23" s="1"/>
  <c r="G79" i="23" s="1"/>
  <c r="G80" i="23" s="1"/>
  <c r="G81" i="23" s="1"/>
  <c r="G82" i="23" s="1"/>
  <c r="G83" i="23" s="1"/>
  <c r="G84" i="23" s="1"/>
  <c r="G85" i="23" s="1"/>
  <c r="G86" i="23" s="1"/>
  <c r="G87" i="23" s="1"/>
  <c r="G88" i="23" s="1"/>
  <c r="G89" i="23" s="1"/>
  <c r="G90" i="23" s="1"/>
  <c r="G91" i="23" s="1"/>
  <c r="G92" i="23" s="1"/>
  <c r="G93" i="23" s="1"/>
  <c r="G94" i="23" s="1"/>
  <c r="G95" i="23" s="1"/>
  <c r="G96" i="23" s="1"/>
  <c r="G97" i="23" s="1"/>
  <c r="G98" i="23" s="1"/>
  <c r="G99" i="23" s="1"/>
  <c r="G100" i="23" s="1"/>
  <c r="G101" i="23" s="1"/>
  <c r="G102" i="23" s="1"/>
  <c r="G103" i="23" s="1"/>
  <c r="G104" i="23" s="1"/>
  <c r="G105" i="23" s="1"/>
  <c r="G106" i="23" s="1"/>
  <c r="G107" i="23" s="1"/>
  <c r="G108" i="23" s="1"/>
  <c r="G109" i="23" s="1"/>
  <c r="G110" i="23" s="1"/>
  <c r="G111" i="23" s="1"/>
  <c r="G112" i="23" s="1"/>
  <c r="G113" i="23" s="1"/>
  <c r="G114" i="23" s="1"/>
  <c r="G115" i="23" s="1"/>
  <c r="G116" i="23" s="1"/>
  <c r="G117" i="23" s="1"/>
  <c r="G118" i="23" s="1"/>
  <c r="G119" i="23" s="1"/>
  <c r="G120" i="23" s="1"/>
  <c r="G121" i="23" s="1"/>
  <c r="G122" i="23" s="1"/>
  <c r="G123" i="23" s="1"/>
  <c r="G124" i="23" s="1"/>
  <c r="G125" i="23" s="1"/>
  <c r="G126" i="23" s="1"/>
  <c r="G127" i="23" s="1"/>
  <c r="G128" i="23" s="1"/>
  <c r="G129" i="23" s="1"/>
  <c r="G130" i="23" s="1"/>
  <c r="G131" i="23" s="1"/>
  <c r="G132" i="23" s="1"/>
  <c r="G133" i="23" s="1"/>
  <c r="G134" i="23" s="1"/>
  <c r="G135" i="23" s="1"/>
  <c r="G136" i="23" s="1"/>
  <c r="G137" i="23" s="1"/>
  <c r="G138" i="23" s="1"/>
  <c r="G139" i="23" s="1"/>
  <c r="G140" i="23" s="1"/>
  <c r="G141" i="23" s="1"/>
  <c r="G142" i="23" s="1"/>
  <c r="G143" i="23" s="1"/>
  <c r="G144" i="23" s="1"/>
  <c r="G145" i="23" s="1"/>
  <c r="G146" i="23" s="1"/>
  <c r="G147" i="23" s="1"/>
  <c r="G148" i="23" s="1"/>
  <c r="G149" i="23" s="1"/>
  <c r="G150" i="23" s="1"/>
  <c r="G151" i="23" s="1"/>
  <c r="G152" i="23" s="1"/>
  <c r="G153" i="23" s="1"/>
  <c r="G154" i="23" s="1"/>
  <c r="G155" i="23" s="1"/>
  <c r="G156" i="23" s="1"/>
  <c r="G157" i="23" s="1"/>
  <c r="G158" i="23" s="1"/>
  <c r="G159" i="23" s="1"/>
  <c r="G160" i="23" s="1"/>
  <c r="G161" i="23" s="1"/>
  <c r="G162" i="23" s="1"/>
  <c r="G163" i="23" s="1"/>
  <c r="G164" i="23" s="1"/>
  <c r="G165" i="23" s="1"/>
  <c r="G166" i="23" s="1"/>
  <c r="G167" i="23" s="1"/>
  <c r="G168" i="23" s="1"/>
  <c r="G169" i="23" s="1"/>
  <c r="G170" i="23" s="1"/>
  <c r="G171" i="23" s="1"/>
  <c r="G172" i="23" s="1"/>
  <c r="G173" i="23" s="1"/>
  <c r="G174" i="23" s="1"/>
  <c r="G175" i="23" s="1"/>
  <c r="G176" i="23" s="1"/>
  <c r="G177" i="23" s="1"/>
  <c r="G178" i="23" s="1"/>
  <c r="G179" i="23" s="1"/>
  <c r="G180" i="23" s="1"/>
  <c r="G181" i="23" s="1"/>
  <c r="G182" i="23" s="1"/>
  <c r="G183" i="23" s="1"/>
  <c r="G184" i="23" s="1"/>
  <c r="G185" i="23" s="1"/>
  <c r="G186" i="23" s="1"/>
  <c r="G187" i="23" s="1"/>
  <c r="G188" i="23" s="1"/>
  <c r="G189" i="23" s="1"/>
  <c r="G190" i="23" s="1"/>
  <c r="G191" i="23" s="1"/>
  <c r="G192" i="23" s="1"/>
  <c r="G193" i="23" s="1"/>
  <c r="G194" i="23" s="1"/>
  <c r="G195" i="23" s="1"/>
  <c r="G196" i="23" s="1"/>
  <c r="G197" i="23" s="1"/>
  <c r="G198" i="23" s="1"/>
  <c r="G199" i="23" s="1"/>
  <c r="G200" i="23" s="1"/>
  <c r="G201" i="23" s="1"/>
  <c r="G202" i="23" s="1"/>
  <c r="G203" i="23" s="1"/>
  <c r="G204" i="23" s="1"/>
  <c r="G205" i="23" s="1"/>
  <c r="G206" i="23" s="1"/>
  <c r="G207" i="23" s="1"/>
  <c r="G208" i="23" s="1"/>
  <c r="G209" i="23" s="1"/>
  <c r="G210" i="23" s="1"/>
  <c r="G211" i="23" s="1"/>
  <c r="G212" i="23" s="1"/>
  <c r="G213" i="23" s="1"/>
  <c r="G214" i="23" s="1"/>
  <c r="G215" i="23" s="1"/>
  <c r="G216" i="23" s="1"/>
  <c r="G217" i="23" s="1"/>
  <c r="G218" i="23" s="1"/>
  <c r="G219" i="23" s="1"/>
  <c r="G220" i="23" s="1"/>
  <c r="G221" i="23" s="1"/>
  <c r="G222" i="23" s="1"/>
  <c r="G223" i="23" s="1"/>
  <c r="G224" i="23" s="1"/>
  <c r="G225" i="23" s="1"/>
  <c r="G226" i="23" s="1"/>
  <c r="G227" i="23" s="1"/>
  <c r="G228" i="23" s="1"/>
  <c r="G229" i="23" s="1"/>
  <c r="G230" i="23" s="1"/>
  <c r="G231" i="23" s="1"/>
  <c r="G232" i="23" s="1"/>
  <c r="G233" i="23" s="1"/>
  <c r="G234" i="23" s="1"/>
  <c r="G235" i="23" s="1"/>
  <c r="G236" i="23" s="1"/>
  <c r="G237" i="23" s="1"/>
  <c r="G238" i="23" s="1"/>
  <c r="G239" i="23" s="1"/>
  <c r="G240" i="23" s="1"/>
  <c r="G241" i="23" s="1"/>
  <c r="G242" i="23" s="1"/>
  <c r="G243" i="23" s="1"/>
  <c r="G244" i="23" s="1"/>
  <c r="G245" i="23" s="1"/>
  <c r="G246" i="23" s="1"/>
  <c r="G247" i="23" s="1"/>
  <c r="G248" i="23" s="1"/>
  <c r="G249" i="23" s="1"/>
  <c r="G250" i="23" s="1"/>
  <c r="G251" i="23" s="1"/>
  <c r="G252" i="23" s="1"/>
  <c r="G253" i="23" s="1"/>
  <c r="G254" i="23" s="1"/>
  <c r="G255" i="23" s="1"/>
  <c r="G256" i="23" s="1"/>
  <c r="G257" i="23" s="1"/>
  <c r="G258" i="23" s="1"/>
  <c r="G259" i="23" s="1"/>
  <c r="G260" i="23" s="1"/>
  <c r="G261" i="23" s="1"/>
  <c r="G262" i="23" s="1"/>
  <c r="G263" i="23" s="1"/>
  <c r="G264" i="23" s="1"/>
  <c r="G265" i="23" s="1"/>
  <c r="G266" i="23" s="1"/>
  <c r="G267" i="23" s="1"/>
  <c r="G268" i="23" s="1"/>
  <c r="G269" i="23" s="1"/>
  <c r="G270" i="23" s="1"/>
  <c r="G271" i="23" s="1"/>
  <c r="G272" i="23" s="1"/>
  <c r="G273" i="23" s="1"/>
  <c r="G274" i="23" s="1"/>
  <c r="G275" i="23" s="1"/>
  <c r="G276" i="23" s="1"/>
  <c r="G277" i="23" s="1"/>
  <c r="G278" i="23" s="1"/>
  <c r="G279" i="23" s="1"/>
  <c r="G280" i="23" s="1"/>
  <c r="G281" i="23" s="1"/>
  <c r="G282" i="23" s="1"/>
  <c r="G283" i="23" s="1"/>
  <c r="G284" i="23" s="1"/>
  <c r="G285" i="23" s="1"/>
  <c r="G286" i="23" s="1"/>
  <c r="G287" i="23" s="1"/>
  <c r="G288" i="23" s="1"/>
  <c r="G289" i="23" s="1"/>
  <c r="G290" i="23" s="1"/>
  <c r="G291" i="23" s="1"/>
  <c r="G292" i="23" s="1"/>
  <c r="G293" i="23" s="1"/>
  <c r="G294" i="23" s="1"/>
  <c r="G295" i="23" s="1"/>
  <c r="G296" i="23" s="1"/>
  <c r="G297" i="23" s="1"/>
  <c r="G298" i="23" s="1"/>
  <c r="G299" i="23" s="1"/>
  <c r="G300" i="23" s="1"/>
  <c r="G301" i="23" s="1"/>
  <c r="G302" i="23" s="1"/>
  <c r="G303" i="23" s="1"/>
  <c r="G304" i="23" s="1"/>
  <c r="G305" i="23" s="1"/>
  <c r="G306" i="23" s="1"/>
  <c r="G307" i="23" s="1"/>
  <c r="G308" i="23" s="1"/>
  <c r="G309" i="23" s="1"/>
  <c r="G310" i="23" s="1"/>
  <c r="G311" i="23" s="1"/>
  <c r="G312" i="23" s="1"/>
  <c r="G313" i="23" s="1"/>
  <c r="G314" i="23" s="1"/>
  <c r="G315" i="23" s="1"/>
  <c r="G316" i="23" s="1"/>
  <c r="G317" i="23" s="1"/>
  <c r="G318" i="23" s="1"/>
  <c r="G319" i="23" s="1"/>
  <c r="G320" i="23" s="1"/>
  <c r="G321" i="23" s="1"/>
  <c r="G322" i="23" s="1"/>
  <c r="G323" i="23" s="1"/>
  <c r="G324" i="23" s="1"/>
  <c r="G325" i="23" s="1"/>
  <c r="G326" i="23" s="1"/>
  <c r="G327" i="23" s="1"/>
  <c r="G328" i="23" s="1"/>
  <c r="G329" i="23" s="1"/>
  <c r="G330" i="23" s="1"/>
  <c r="G331" i="23" s="1"/>
  <c r="G332" i="23" s="1"/>
  <c r="G333" i="23" s="1"/>
  <c r="G334" i="23" s="1"/>
  <c r="G335" i="23" s="1"/>
  <c r="G336" i="23" s="1"/>
  <c r="G337" i="23" s="1"/>
  <c r="G338" i="23" s="1"/>
  <c r="G339" i="23" s="1"/>
  <c r="G340" i="23" s="1"/>
  <c r="G341" i="23" s="1"/>
  <c r="G342" i="23" s="1"/>
  <c r="G343" i="23" s="1"/>
  <c r="G344" i="23" s="1"/>
  <c r="G345" i="23" s="1"/>
  <c r="G346" i="23" s="1"/>
  <c r="G347" i="23" s="1"/>
  <c r="G348" i="23" s="1"/>
  <c r="G349" i="23" s="1"/>
  <c r="G350" i="23" s="1"/>
  <c r="G351" i="23" s="1"/>
  <c r="G352" i="23" s="1"/>
  <c r="G353" i="23" s="1"/>
  <c r="G354" i="23" s="1"/>
  <c r="G355" i="23" s="1"/>
  <c r="G356" i="23" s="1"/>
  <c r="G357" i="23" s="1"/>
  <c r="G358" i="23" s="1"/>
  <c r="G359" i="23" s="1"/>
  <c r="G360" i="23" s="1"/>
  <c r="G361" i="23" s="1"/>
  <c r="G362" i="23" s="1"/>
  <c r="G363" i="23" s="1"/>
  <c r="G364" i="23" s="1"/>
  <c r="G365" i="23" s="1"/>
  <c r="G366" i="23" s="1"/>
  <c r="G367" i="23" s="1"/>
  <c r="G368" i="23" s="1"/>
  <c r="G369" i="23" s="1"/>
  <c r="G370" i="23" s="1"/>
  <c r="G371" i="23" s="1"/>
  <c r="G372" i="23" s="1"/>
  <c r="G373" i="23" s="1"/>
  <c r="G374" i="23" s="1"/>
  <c r="G375" i="23" s="1"/>
  <c r="G376" i="23" s="1"/>
  <c r="G377" i="23" s="1"/>
  <c r="G378" i="23" s="1"/>
  <c r="G379" i="23" s="1"/>
  <c r="G380" i="23" s="1"/>
  <c r="G381" i="23" s="1"/>
  <c r="G382" i="23" s="1"/>
  <c r="G383" i="23" s="1"/>
  <c r="G384" i="23" s="1"/>
  <c r="G385" i="23" s="1"/>
  <c r="G386" i="23" s="1"/>
  <c r="G387" i="23" s="1"/>
  <c r="G388" i="23" s="1"/>
  <c r="G389" i="23" s="1"/>
  <c r="G390" i="23" s="1"/>
  <c r="G391" i="23" s="1"/>
  <c r="G392" i="23" s="1"/>
  <c r="G393" i="23" s="1"/>
  <c r="G394" i="23" s="1"/>
  <c r="G395" i="23" s="1"/>
  <c r="G396" i="23" s="1"/>
  <c r="G397" i="23" s="1"/>
  <c r="G398" i="23" s="1"/>
  <c r="G399" i="23" s="1"/>
  <c r="G400" i="23" s="1"/>
  <c r="G401" i="23" s="1"/>
  <c r="G402" i="23" s="1"/>
  <c r="G403" i="23" s="1"/>
  <c r="G404" i="23" s="1"/>
  <c r="G405" i="23" s="1"/>
  <c r="G406" i="23" s="1"/>
  <c r="G407" i="23" s="1"/>
  <c r="G408" i="23" s="1"/>
  <c r="G409" i="23" s="1"/>
  <c r="G410" i="23" s="1"/>
  <c r="G411" i="23" s="1"/>
  <c r="G412" i="23" s="1"/>
  <c r="G413" i="23" s="1"/>
  <c r="G414" i="23" s="1"/>
  <c r="G415" i="23" s="1"/>
  <c r="G416" i="23" s="1"/>
  <c r="G417" i="23" s="1"/>
  <c r="G418" i="23" s="1"/>
  <c r="G419" i="23" s="1"/>
  <c r="G420" i="23" s="1"/>
  <c r="G421" i="23" s="1"/>
  <c r="G422" i="23" s="1"/>
  <c r="G423" i="23" s="1"/>
  <c r="G424" i="23" s="1"/>
  <c r="G425" i="23" s="1"/>
  <c r="G426" i="23" s="1"/>
  <c r="G427" i="23" s="1"/>
  <c r="G428" i="23" s="1"/>
  <c r="G429" i="23" s="1"/>
  <c r="G430" i="23" s="1"/>
  <c r="G431" i="23" s="1"/>
  <c r="G432" i="23" s="1"/>
  <c r="G433" i="23" s="1"/>
  <c r="G434" i="23" s="1"/>
  <c r="G435" i="23" s="1"/>
  <c r="G436" i="23" s="1"/>
  <c r="G437" i="23" s="1"/>
  <c r="G438" i="23" s="1"/>
  <c r="G439" i="23" s="1"/>
  <c r="G440" i="23" s="1"/>
  <c r="G441" i="23" s="1"/>
  <c r="G442" i="23" s="1"/>
  <c r="G443" i="23" s="1"/>
  <c r="G444" i="23" s="1"/>
  <c r="G445" i="23" s="1"/>
  <c r="G446" i="23" s="1"/>
  <c r="G447" i="23" s="1"/>
  <c r="G448" i="23" s="1"/>
  <c r="G449" i="23" s="1"/>
  <c r="G450" i="23" s="1"/>
  <c r="G451" i="23" s="1"/>
  <c r="G452" i="23" s="1"/>
  <c r="G453" i="23" s="1"/>
  <c r="G454" i="23" s="1"/>
  <c r="G455" i="23" s="1"/>
  <c r="G456" i="23" s="1"/>
  <c r="G457" i="23" s="1"/>
  <c r="G458" i="23" s="1"/>
  <c r="G459" i="23" s="1"/>
  <c r="G460" i="23" s="1"/>
  <c r="G461" i="23" s="1"/>
  <c r="G462" i="23" s="1"/>
  <c r="G463" i="23" s="1"/>
  <c r="G464" i="23" s="1"/>
  <c r="G465" i="23" s="1"/>
  <c r="G466" i="23" s="1"/>
  <c r="G467" i="23" s="1"/>
  <c r="G468" i="23" s="1"/>
  <c r="G469" i="23" s="1"/>
  <c r="G470" i="23" s="1"/>
  <c r="G471" i="23" s="1"/>
  <c r="G472" i="23" s="1"/>
  <c r="G473" i="23" s="1"/>
  <c r="G474" i="23" s="1"/>
  <c r="G475" i="23" s="1"/>
  <c r="G476" i="23" s="1"/>
  <c r="G477" i="23" s="1"/>
  <c r="G478" i="23" s="1"/>
  <c r="G479" i="23" s="1"/>
  <c r="G480" i="23" s="1"/>
  <c r="G481" i="23" s="1"/>
  <c r="G482" i="23" s="1"/>
  <c r="G483" i="23" s="1"/>
  <c r="G484" i="23" s="1"/>
  <c r="J15" i="21"/>
  <c r="K15" i="21" s="1"/>
  <c r="G14" i="20"/>
  <c r="G15" i="20" s="1"/>
  <c r="G16" i="20" s="1"/>
  <c r="G17" i="20" s="1"/>
  <c r="G18" i="20" s="1"/>
  <c r="G19" i="20" s="1"/>
  <c r="G20" i="20" s="1"/>
  <c r="G21" i="20" s="1"/>
  <c r="G22" i="20" s="1"/>
  <c r="G23" i="20" s="1"/>
  <c r="G24" i="20" s="1"/>
  <c r="G25" i="20" s="1"/>
  <c r="G26" i="20" s="1"/>
  <c r="G27" i="20" s="1"/>
  <c r="C8" i="21"/>
  <c r="C16" i="21" s="1"/>
  <c r="M1" i="14"/>
  <c r="U1" i="20"/>
  <c r="M1" i="20"/>
  <c r="M1" i="13"/>
  <c r="M1" i="15"/>
  <c r="U1" i="12"/>
  <c r="U1" i="14"/>
  <c r="U1" i="15"/>
  <c r="M1" i="12"/>
  <c r="U1" i="16"/>
  <c r="M1" i="16"/>
  <c r="M1" i="11"/>
  <c r="M1" i="17"/>
  <c r="U1" i="11"/>
  <c r="U1" i="13"/>
  <c r="U1" i="9"/>
  <c r="M1" i="9"/>
  <c r="M1" i="7"/>
  <c r="U1" i="7"/>
  <c r="U1" i="17"/>
  <c r="M1" i="10"/>
  <c r="M1" i="8"/>
  <c r="U1" i="8"/>
  <c r="U1" i="6"/>
  <c r="M1" i="6"/>
  <c r="G6" i="7"/>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2" i="7"/>
  <c r="G4" i="8" s="1"/>
  <c r="G5" i="8" s="1"/>
  <c r="G6" i="8" s="1"/>
  <c r="G7" i="8" s="1"/>
  <c r="G8" i="8" s="1"/>
  <c r="G9" i="8" s="1"/>
  <c r="G10" i="8" s="1"/>
  <c r="G11" i="8" s="1"/>
  <c r="G12" i="8" s="1"/>
  <c r="G13" i="8" s="1"/>
  <c r="G14" i="8" s="1"/>
  <c r="G15" i="8" s="1"/>
  <c r="G16" i="8" s="1"/>
  <c r="G17" i="8" s="1"/>
  <c r="G18" i="8" s="1"/>
  <c r="U1" i="10"/>
  <c r="F19" i="18"/>
  <c r="V2" i="5"/>
  <c r="O2" i="5"/>
  <c r="M2" i="5"/>
  <c r="T2" i="5"/>
  <c r="P2" i="5"/>
  <c r="S2" i="5"/>
  <c r="K2" i="5"/>
  <c r="I2" i="5"/>
  <c r="Q2" i="5"/>
  <c r="J2" i="5"/>
  <c r="R2" i="5"/>
  <c r="N2" i="5"/>
  <c r="L2" i="5"/>
  <c r="F2" i="5"/>
  <c r="G2" i="5" s="1"/>
  <c r="G5" i="5"/>
  <c r="G6" i="5" s="1"/>
  <c r="G7" i="5" s="1"/>
  <c r="G8" i="5" s="1"/>
  <c r="G9" i="5" s="1"/>
  <c r="G10" i="5" s="1"/>
  <c r="G11" i="5" s="1"/>
  <c r="G12" i="5" s="1"/>
  <c r="G13" i="5" s="1"/>
  <c r="G14" i="5" s="1"/>
  <c r="G15" i="5" s="1"/>
  <c r="G16" i="5" s="1"/>
  <c r="G17" i="5" s="1"/>
  <c r="G18" i="5" s="1"/>
  <c r="G19" i="5" s="1"/>
  <c r="G20" i="5" s="1"/>
  <c r="G21" i="5" s="1"/>
  <c r="G22" i="5" s="1"/>
  <c r="G28" i="20" l="1"/>
  <c r="G29" i="20" s="1"/>
  <c r="G30" i="20" s="1"/>
  <c r="G31" i="20" s="1"/>
  <c r="G32" i="20" s="1"/>
  <c r="G33" i="20" s="1"/>
  <c r="G34" i="20" s="1"/>
  <c r="G35" i="20" s="1"/>
  <c r="G36" i="20" s="1"/>
  <c r="G37" i="20" s="1"/>
  <c r="D9" i="21"/>
  <c r="D16" i="21"/>
  <c r="G2" i="8"/>
  <c r="G4" i="10" s="1"/>
  <c r="G23" i="5"/>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M1" i="5"/>
  <c r="T1" i="5"/>
  <c r="G38" i="20" l="1"/>
  <c r="G39" i="20" s="1"/>
  <c r="G40" i="20" s="1"/>
  <c r="G41" i="20" s="1"/>
  <c r="G42" i="20" s="1"/>
  <c r="G43" i="20" s="1"/>
  <c r="G44" i="20" s="1"/>
  <c r="G45" i="20" s="1"/>
  <c r="G46" i="20" s="1"/>
  <c r="G47" i="20" s="1"/>
  <c r="G5" i="10"/>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G48" i="10" s="1"/>
  <c r="G49" i="10" s="1"/>
  <c r="G50" i="10" s="1"/>
  <c r="G51" i="10" s="1"/>
  <c r="G52" i="10" s="1"/>
  <c r="G53" i="10" s="1"/>
  <c r="G54" i="10" s="1"/>
  <c r="G55" i="10" s="1"/>
  <c r="G56" i="10" s="1"/>
  <c r="G57" i="10" s="1"/>
  <c r="G58" i="10" s="1"/>
  <c r="G59" i="10" s="1"/>
  <c r="G60" i="10" s="1"/>
  <c r="G61" i="10" s="1"/>
  <c r="G62" i="10" s="1"/>
  <c r="G63" i="10" s="1"/>
  <c r="G64" i="10" s="1"/>
  <c r="G65" i="10" s="1"/>
  <c r="G66" i="10" s="1"/>
  <c r="G67" i="10" s="1"/>
  <c r="G68" i="10" s="1"/>
  <c r="G69" i="10" s="1"/>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2" i="10"/>
  <c r="G4" i="9" s="1"/>
  <c r="G5" i="9" s="1"/>
  <c r="G48" i="20" l="1"/>
  <c r="G49" i="20" s="1"/>
  <c r="G50" i="20" s="1"/>
  <c r="G51" i="20" s="1"/>
  <c r="G52" i="20" s="1"/>
  <c r="G53" i="20" s="1"/>
  <c r="G54" i="20" s="1"/>
  <c r="G55" i="20" s="1"/>
  <c r="G56" i="20" s="1"/>
  <c r="G57" i="20" s="1"/>
  <c r="G2" i="9"/>
  <c r="G4" i="11" s="1"/>
  <c r="G6" i="9"/>
  <c r="G7" i="9" s="1"/>
  <c r="G8" i="9" s="1"/>
  <c r="G9" i="9" s="1"/>
  <c r="G10" i="9" s="1"/>
  <c r="G11" i="9" s="1"/>
  <c r="G12" i="9" s="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20" l="1"/>
  <c r="G59" i="20" s="1"/>
  <c r="G60" i="20" s="1"/>
  <c r="G61" i="20" s="1"/>
  <c r="G62" i="20" s="1"/>
  <c r="G63" i="20" s="1"/>
  <c r="G64" i="20" s="1"/>
  <c r="G65" i="20" s="1"/>
  <c r="G66" i="20" s="1"/>
  <c r="G67" i="20" s="1"/>
  <c r="G68" i="20" s="1"/>
  <c r="G69" i="20" s="1"/>
  <c r="G70" i="20" s="1"/>
  <c r="G5" i="11"/>
  <c r="G6" i="11" s="1"/>
  <c r="G7" i="11" s="1"/>
  <c r="G8" i="11" s="1"/>
  <c r="G9" i="11" s="1"/>
  <c r="G10" i="11" s="1"/>
  <c r="G11" i="11" s="1"/>
  <c r="G12" i="11" s="1"/>
  <c r="G13" i="11" s="1"/>
  <c r="G14" i="11" s="1"/>
  <c r="G15" i="11" s="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2" i="11"/>
  <c r="G4" i="12" s="1"/>
  <c r="G71" i="20" l="1"/>
  <c r="G72" i="20" s="1"/>
  <c r="G73" i="20" s="1"/>
  <c r="G74" i="20" s="1"/>
  <c r="G75" i="20" s="1"/>
  <c r="G76" i="20" s="1"/>
  <c r="G77" i="20" s="1"/>
  <c r="G5" i="12"/>
  <c r="G6" i="12" s="1"/>
  <c r="G7" i="12" s="1"/>
  <c r="G8" i="12" s="1"/>
  <c r="G9" i="12" s="1"/>
  <c r="G10" i="12" s="1"/>
  <c r="G11" i="12" s="1"/>
  <c r="G12" i="12" s="1"/>
  <c r="G13" i="12" s="1"/>
  <c r="G14" i="12" s="1"/>
  <c r="G15" i="12" s="1"/>
  <c r="G16" i="12" s="1"/>
  <c r="G17" i="12" s="1"/>
  <c r="G18" i="12" s="1"/>
  <c r="G19" i="12" s="1"/>
  <c r="G20" i="12" s="1"/>
  <c r="G21" i="12" s="1"/>
  <c r="G22" i="12" s="1"/>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 r="G91" i="12" s="1"/>
  <c r="G92" i="12" s="1"/>
  <c r="G93" i="12" s="1"/>
  <c r="G94" i="12" s="1"/>
  <c r="G95" i="12" s="1"/>
  <c r="G96" i="12" s="1"/>
  <c r="G97" i="12" s="1"/>
  <c r="G98" i="12" s="1"/>
  <c r="G99" i="12" s="1"/>
  <c r="G100" i="12" s="1"/>
  <c r="G2" i="12"/>
  <c r="G4" i="13" s="1"/>
  <c r="G78" i="20" l="1"/>
  <c r="G79" i="20" s="1"/>
  <c r="G80" i="20" s="1"/>
  <c r="G81" i="20" s="1"/>
  <c r="G82" i="20" s="1"/>
  <c r="G83" i="20" s="1"/>
  <c r="G84" i="20" s="1"/>
  <c r="G85" i="20" s="1"/>
  <c r="G86" i="20" s="1"/>
  <c r="G87" i="20" s="1"/>
  <c r="G5" i="13"/>
  <c r="G6" i="13" s="1"/>
  <c r="G7" i="13" s="1"/>
  <c r="G8" i="13" s="1"/>
  <c r="G9" i="13" s="1"/>
  <c r="G10" i="13" s="1"/>
  <c r="G11" i="13" s="1"/>
  <c r="G12" i="13" s="1"/>
  <c r="G13" i="13" s="1"/>
  <c r="G14" i="13" s="1"/>
  <c r="G15" i="13" s="1"/>
  <c r="G16" i="13" s="1"/>
  <c r="G17" i="13" s="1"/>
  <c r="G18" i="13" s="1"/>
  <c r="G19" i="13" s="1"/>
  <c r="G20" i="13" s="1"/>
  <c r="G21" i="13" s="1"/>
  <c r="G22" i="13" s="1"/>
  <c r="G23" i="13" s="1"/>
  <c r="G24" i="13" s="1"/>
  <c r="G25" i="13" s="1"/>
  <c r="G26" i="13" s="1"/>
  <c r="G27" i="13" s="1"/>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2" i="13"/>
  <c r="G4" i="14" s="1"/>
  <c r="G88" i="20" l="1"/>
  <c r="G89" i="20" s="1"/>
  <c r="G90" i="20" s="1"/>
  <c r="G91" i="20" s="1"/>
  <c r="G92" i="20" s="1"/>
  <c r="G93" i="20" s="1"/>
  <c r="G94" i="20" s="1"/>
  <c r="G95" i="20" s="1"/>
  <c r="G96" i="20" s="1"/>
  <c r="G97" i="20" s="1"/>
  <c r="G2" i="14"/>
  <c r="G4" i="15" s="1"/>
  <c r="G5" i="14"/>
  <c r="G6" i="14" s="1"/>
  <c r="G7" i="14" s="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G30" i="14" s="1"/>
  <c r="G31" i="14" s="1"/>
  <c r="G32" i="14" s="1"/>
  <c r="G33" i="14" s="1"/>
  <c r="G34" i="14" s="1"/>
  <c r="G35" i="14" s="1"/>
  <c r="G36" i="14" s="1"/>
  <c r="G37" i="14" s="1"/>
  <c r="G38" i="14" s="1"/>
  <c r="G39" i="14" s="1"/>
  <c r="G40" i="14" s="1"/>
  <c r="G41" i="14" s="1"/>
  <c r="G42" i="14" s="1"/>
  <c r="G43" i="14" s="1"/>
  <c r="G44" i="14" s="1"/>
  <c r="G45" i="14" s="1"/>
  <c r="G46" i="14" s="1"/>
  <c r="G47" i="14" s="1"/>
  <c r="G48" i="14" s="1"/>
  <c r="G49" i="14" s="1"/>
  <c r="G50" i="14" s="1"/>
  <c r="G51" i="14" s="1"/>
  <c r="G52" i="14" s="1"/>
  <c r="G53" i="14" s="1"/>
  <c r="G54" i="14" s="1"/>
  <c r="G55" i="14" s="1"/>
  <c r="G56" i="14" s="1"/>
  <c r="G57" i="14" s="1"/>
  <c r="G58" i="14" s="1"/>
  <c r="G59" i="14" s="1"/>
  <c r="G60" i="14" s="1"/>
  <c r="G61" i="14" s="1"/>
  <c r="G62" i="14" s="1"/>
  <c r="G63" i="14" s="1"/>
  <c r="G64" i="14" s="1"/>
  <c r="G65" i="14" s="1"/>
  <c r="G66" i="14" s="1"/>
  <c r="G67" i="14" s="1"/>
  <c r="G68" i="14" s="1"/>
  <c r="G69" i="14" s="1"/>
  <c r="G70" i="14" s="1"/>
  <c r="G71" i="14" s="1"/>
  <c r="G72" i="14" s="1"/>
  <c r="G73" i="14" s="1"/>
  <c r="G74" i="14" s="1"/>
  <c r="G75" i="14" s="1"/>
  <c r="G76" i="14" s="1"/>
  <c r="G77" i="14" s="1"/>
  <c r="G78" i="14" s="1"/>
  <c r="G79" i="14" s="1"/>
  <c r="G80" i="14" s="1"/>
  <c r="G81" i="14" s="1"/>
  <c r="G82" i="14" s="1"/>
  <c r="G83" i="14" s="1"/>
  <c r="G84" i="14" s="1"/>
  <c r="G85" i="14" s="1"/>
  <c r="G86" i="14" s="1"/>
  <c r="G87" i="14" s="1"/>
  <c r="G88" i="14" s="1"/>
  <c r="G89" i="14" s="1"/>
  <c r="G90" i="14" s="1"/>
  <c r="G91" i="14" s="1"/>
  <c r="G92" i="14" s="1"/>
  <c r="G93" i="14" s="1"/>
  <c r="G94" i="14" s="1"/>
  <c r="G95" i="14" s="1"/>
  <c r="G96" i="14" s="1"/>
  <c r="G97" i="14" s="1"/>
  <c r="G98" i="14" s="1"/>
  <c r="G99" i="14" s="1"/>
  <c r="G100" i="14" s="1"/>
  <c r="G98" i="20" l="1"/>
  <c r="G99" i="20" s="1"/>
  <c r="G100" i="20" s="1"/>
  <c r="G101" i="20" s="1"/>
  <c r="G102" i="20" s="1"/>
  <c r="G103" i="20" s="1"/>
  <c r="G104" i="20" s="1"/>
  <c r="G105" i="20" s="1"/>
  <c r="G106" i="20" s="1"/>
  <c r="G107" i="20" s="1"/>
  <c r="G108" i="20" s="1"/>
  <c r="G109" i="20" s="1"/>
  <c r="G110" i="20" s="1"/>
  <c r="G111" i="20" s="1"/>
  <c r="G112" i="20" s="1"/>
  <c r="G113" i="20" s="1"/>
  <c r="G114" i="20" s="1"/>
  <c r="G115" i="20" s="1"/>
  <c r="G116" i="20" s="1"/>
  <c r="G117" i="20" s="1"/>
  <c r="G118" i="20" s="1"/>
  <c r="G119" i="20" s="1"/>
  <c r="G120" i="20" s="1"/>
  <c r="G121" i="20" s="1"/>
  <c r="G122" i="20" s="1"/>
  <c r="G123" i="20" s="1"/>
  <c r="G124" i="20" s="1"/>
  <c r="G125" i="20" s="1"/>
  <c r="G126" i="20" s="1"/>
  <c r="G127" i="20" s="1"/>
  <c r="G128" i="20" s="1"/>
  <c r="G129" i="20" s="1"/>
  <c r="G130" i="20" s="1"/>
  <c r="G131" i="20" s="1"/>
  <c r="G132" i="20" s="1"/>
  <c r="G133" i="20" s="1"/>
  <c r="G134" i="20" s="1"/>
  <c r="G135" i="20" s="1"/>
  <c r="G136" i="20" s="1"/>
  <c r="G137" i="20" s="1"/>
  <c r="G138" i="20" s="1"/>
  <c r="G139" i="20" s="1"/>
  <c r="G140" i="20" s="1"/>
  <c r="G141" i="20" s="1"/>
  <c r="G142" i="20" s="1"/>
  <c r="G143" i="20" s="1"/>
  <c r="G144" i="20" s="1"/>
  <c r="G145" i="20" s="1"/>
  <c r="G146" i="20" s="1"/>
  <c r="G147" i="20" s="1"/>
  <c r="G148" i="20" s="1"/>
  <c r="G149" i="20" s="1"/>
  <c r="G150" i="20" s="1"/>
  <c r="G151" i="20" s="1"/>
  <c r="G152" i="20" s="1"/>
  <c r="G153" i="20" s="1"/>
  <c r="G154" i="20" s="1"/>
  <c r="G155" i="20" s="1"/>
  <c r="G156" i="20" s="1"/>
  <c r="G157" i="20" s="1"/>
  <c r="G158" i="20" s="1"/>
  <c r="G159" i="20" s="1"/>
  <c r="G160" i="20" s="1"/>
  <c r="G161" i="20" s="1"/>
  <c r="G162" i="20" s="1"/>
  <c r="G163" i="20" s="1"/>
  <c r="G164" i="20" s="1"/>
  <c r="G165" i="20" s="1"/>
  <c r="G166" i="20" s="1"/>
  <c r="G167" i="20" s="1"/>
  <c r="G168" i="20" s="1"/>
  <c r="G169" i="20" s="1"/>
  <c r="G170" i="20" s="1"/>
  <c r="G171" i="20" s="1"/>
  <c r="G172" i="20" s="1"/>
  <c r="G173" i="20" s="1"/>
  <c r="G174" i="20" s="1"/>
  <c r="G175" i="20" s="1"/>
  <c r="G176" i="20" s="1"/>
  <c r="G177" i="20" s="1"/>
  <c r="G178" i="20" s="1"/>
  <c r="G179" i="20" s="1"/>
  <c r="G180" i="20" s="1"/>
  <c r="G181" i="20" s="1"/>
  <c r="G182" i="20" s="1"/>
  <c r="G183" i="20" s="1"/>
  <c r="G184" i="20" s="1"/>
  <c r="G185" i="20" s="1"/>
  <c r="G186" i="20" s="1"/>
  <c r="G187" i="20" s="1"/>
  <c r="G188" i="20" s="1"/>
  <c r="G189" i="20" s="1"/>
  <c r="G190" i="20" s="1"/>
  <c r="G191" i="20" s="1"/>
  <c r="G192" i="20" s="1"/>
  <c r="G193" i="20" s="1"/>
  <c r="G194" i="20" s="1"/>
  <c r="G195" i="20" s="1"/>
  <c r="G196" i="20" s="1"/>
  <c r="G197" i="20" s="1"/>
  <c r="G198" i="20" s="1"/>
  <c r="G199" i="20" s="1"/>
  <c r="G200" i="20" s="1"/>
  <c r="G201" i="20" s="1"/>
  <c r="G202" i="20" s="1"/>
  <c r="G203" i="20" s="1"/>
  <c r="G204" i="20" s="1"/>
  <c r="G205" i="20" s="1"/>
  <c r="G206" i="20" s="1"/>
  <c r="G207" i="20" s="1"/>
  <c r="G208" i="20" s="1"/>
  <c r="G209" i="20" s="1"/>
  <c r="G210" i="20" s="1"/>
  <c r="G211" i="20" s="1"/>
  <c r="G212" i="20" s="1"/>
  <c r="G213" i="20" s="1"/>
  <c r="G214" i="20" s="1"/>
  <c r="G215" i="20" s="1"/>
  <c r="G216" i="20" s="1"/>
  <c r="G217" i="20" s="1"/>
  <c r="G218" i="20" s="1"/>
  <c r="G219" i="20" s="1"/>
  <c r="G220" i="20" s="1"/>
  <c r="G221" i="20" s="1"/>
  <c r="G222" i="20" s="1"/>
  <c r="G223" i="20" s="1"/>
  <c r="G224" i="20" s="1"/>
  <c r="G225" i="20" s="1"/>
  <c r="G226" i="20" s="1"/>
  <c r="G227" i="20" s="1"/>
  <c r="G228" i="20" s="1"/>
  <c r="G229" i="20" s="1"/>
  <c r="G230" i="20" s="1"/>
  <c r="G231" i="20" s="1"/>
  <c r="G232" i="20" s="1"/>
  <c r="G233" i="20" s="1"/>
  <c r="G234" i="20" s="1"/>
  <c r="G235" i="20" s="1"/>
  <c r="G236" i="20" s="1"/>
  <c r="G237" i="20" s="1"/>
  <c r="G238" i="20" s="1"/>
  <c r="G239" i="20" s="1"/>
  <c r="G240" i="20" s="1"/>
  <c r="G241" i="20" s="1"/>
  <c r="G242" i="20" s="1"/>
  <c r="G243" i="20" s="1"/>
  <c r="G244" i="20" s="1"/>
  <c r="G245" i="20" s="1"/>
  <c r="G246" i="20" s="1"/>
  <c r="G247" i="20" s="1"/>
  <c r="G248" i="20" s="1"/>
  <c r="G249" i="20" s="1"/>
  <c r="G250" i="20" s="1"/>
  <c r="G251" i="20" s="1"/>
  <c r="G252" i="20" s="1"/>
  <c r="G253" i="20" s="1"/>
  <c r="G254" i="20" s="1"/>
  <c r="G255" i="20" s="1"/>
  <c r="G256" i="20" s="1"/>
  <c r="G257" i="20" s="1"/>
  <c r="G258" i="20" s="1"/>
  <c r="G259" i="20" s="1"/>
  <c r="G260" i="20" s="1"/>
  <c r="G261" i="20" s="1"/>
  <c r="G262" i="20" s="1"/>
  <c r="G263" i="20" s="1"/>
  <c r="G264" i="20" s="1"/>
  <c r="G265" i="20" s="1"/>
  <c r="G266" i="20" s="1"/>
  <c r="G267" i="20" s="1"/>
  <c r="G268" i="20" s="1"/>
  <c r="G269" i="20" s="1"/>
  <c r="G270" i="20" s="1"/>
  <c r="G271" i="20" s="1"/>
  <c r="G272" i="20" s="1"/>
  <c r="G273" i="20" s="1"/>
  <c r="G274" i="20" s="1"/>
  <c r="G275" i="20" s="1"/>
  <c r="G276" i="20" s="1"/>
  <c r="G277" i="20" s="1"/>
  <c r="G278" i="20" s="1"/>
  <c r="G279" i="20" s="1"/>
  <c r="G280" i="20" s="1"/>
  <c r="G281" i="20" s="1"/>
  <c r="G282" i="20" s="1"/>
  <c r="G283" i="20" s="1"/>
  <c r="G284" i="20" s="1"/>
  <c r="G285" i="20" s="1"/>
  <c r="G286" i="20" s="1"/>
  <c r="G287" i="20" s="1"/>
  <c r="G288" i="20" s="1"/>
  <c r="G289" i="20" s="1"/>
  <c r="G290" i="20" s="1"/>
  <c r="G291" i="20" s="1"/>
  <c r="G292" i="20" s="1"/>
  <c r="G293" i="20" s="1"/>
  <c r="G294" i="20" s="1"/>
  <c r="G295" i="20" s="1"/>
  <c r="G296" i="20" s="1"/>
  <c r="G297" i="20" s="1"/>
  <c r="G298" i="20" s="1"/>
  <c r="G299" i="20" s="1"/>
  <c r="G300" i="20" s="1"/>
  <c r="G301" i="20" s="1"/>
  <c r="G302" i="20" s="1"/>
  <c r="G303" i="20" s="1"/>
  <c r="G304" i="20" s="1"/>
  <c r="G305" i="20" s="1"/>
  <c r="G306" i="20" s="1"/>
  <c r="G307" i="20" s="1"/>
  <c r="G308" i="20" s="1"/>
  <c r="G309" i="20" s="1"/>
  <c r="G310" i="20" s="1"/>
  <c r="G311" i="20" s="1"/>
  <c r="G312" i="20" s="1"/>
  <c r="G313" i="20" s="1"/>
  <c r="G314" i="20" s="1"/>
  <c r="G315" i="20" s="1"/>
  <c r="G316" i="20" s="1"/>
  <c r="G317" i="20" s="1"/>
  <c r="G318" i="20" s="1"/>
  <c r="G319" i="20" s="1"/>
  <c r="G320" i="20" s="1"/>
  <c r="G321" i="20" s="1"/>
  <c r="G322" i="20" s="1"/>
  <c r="G323" i="20" s="1"/>
  <c r="G324" i="20" s="1"/>
  <c r="G325" i="20" s="1"/>
  <c r="G326" i="20" s="1"/>
  <c r="G327" i="20" s="1"/>
  <c r="G328" i="20" s="1"/>
  <c r="G329" i="20" s="1"/>
  <c r="G330" i="20" s="1"/>
  <c r="G331" i="20" s="1"/>
  <c r="G332" i="20" s="1"/>
  <c r="G333" i="20" s="1"/>
  <c r="G334" i="20" s="1"/>
  <c r="G335" i="20" s="1"/>
  <c r="G336" i="20" s="1"/>
  <c r="G337" i="20" s="1"/>
  <c r="G338" i="20" s="1"/>
  <c r="G339" i="20" s="1"/>
  <c r="G340" i="20" s="1"/>
  <c r="G341" i="20" s="1"/>
  <c r="G342" i="20" s="1"/>
  <c r="G343" i="20" s="1"/>
  <c r="G344" i="20" s="1"/>
  <c r="G345" i="20" s="1"/>
  <c r="G346" i="20" s="1"/>
  <c r="G347" i="20" s="1"/>
  <c r="G348" i="20" s="1"/>
  <c r="G349" i="20" s="1"/>
  <c r="G350" i="20" s="1"/>
  <c r="G351" i="20" s="1"/>
  <c r="G352" i="20" s="1"/>
  <c r="G353" i="20" s="1"/>
  <c r="G354" i="20" s="1"/>
  <c r="G355" i="20" s="1"/>
  <c r="G356" i="20" s="1"/>
  <c r="G357" i="20" s="1"/>
  <c r="G358" i="20" s="1"/>
  <c r="G359" i="20" s="1"/>
  <c r="G360" i="20" s="1"/>
  <c r="G361" i="20" s="1"/>
  <c r="G362" i="20" s="1"/>
  <c r="G363" i="20" s="1"/>
  <c r="G364" i="20" s="1"/>
  <c r="G365" i="20" s="1"/>
  <c r="G366" i="20" s="1"/>
  <c r="G367" i="20" s="1"/>
  <c r="G368" i="20" s="1"/>
  <c r="G369" i="20" s="1"/>
  <c r="G370" i="20" s="1"/>
  <c r="G371" i="20" s="1"/>
  <c r="G372" i="20" s="1"/>
  <c r="G373" i="20" s="1"/>
  <c r="G374" i="20" s="1"/>
  <c r="G375" i="20" s="1"/>
  <c r="G376" i="20" s="1"/>
  <c r="G377" i="20" s="1"/>
  <c r="G378" i="20" s="1"/>
  <c r="G379" i="20" s="1"/>
  <c r="G380" i="20" s="1"/>
  <c r="G381" i="20" s="1"/>
  <c r="G382" i="20" s="1"/>
  <c r="G383" i="20" s="1"/>
  <c r="G384" i="20" s="1"/>
  <c r="G385" i="20" s="1"/>
  <c r="G386" i="20" s="1"/>
  <c r="G387" i="20" s="1"/>
  <c r="G388" i="20" s="1"/>
  <c r="G389" i="20" s="1"/>
  <c r="G390" i="20" s="1"/>
  <c r="G391" i="20" s="1"/>
  <c r="G392" i="20" s="1"/>
  <c r="G393" i="20" s="1"/>
  <c r="G394" i="20" s="1"/>
  <c r="G395" i="20" s="1"/>
  <c r="G396" i="20" s="1"/>
  <c r="G397" i="20" s="1"/>
  <c r="G398" i="20" s="1"/>
  <c r="G399" i="20" s="1"/>
  <c r="G400" i="20" s="1"/>
  <c r="G401" i="20" s="1"/>
  <c r="G402" i="20" s="1"/>
  <c r="G403" i="20" s="1"/>
  <c r="G404" i="20" s="1"/>
  <c r="G405" i="20" s="1"/>
  <c r="G406" i="20" s="1"/>
  <c r="G407" i="20" s="1"/>
  <c r="G408" i="20" s="1"/>
  <c r="G409" i="20" s="1"/>
  <c r="G410" i="20" s="1"/>
  <c r="G411" i="20" s="1"/>
  <c r="G412" i="20" s="1"/>
  <c r="G413" i="20" s="1"/>
  <c r="G414" i="20" s="1"/>
  <c r="G415" i="20" s="1"/>
  <c r="G416" i="20" s="1"/>
  <c r="G417" i="20" s="1"/>
  <c r="G418" i="20" s="1"/>
  <c r="G419" i="20" s="1"/>
  <c r="G420" i="20" s="1"/>
  <c r="G421" i="20" s="1"/>
  <c r="G422" i="20" s="1"/>
  <c r="G423" i="20" s="1"/>
  <c r="G424" i="20" s="1"/>
  <c r="G425" i="20" s="1"/>
  <c r="G426" i="20" s="1"/>
  <c r="G427" i="20" s="1"/>
  <c r="G428" i="20" s="1"/>
  <c r="G429" i="20" s="1"/>
  <c r="G430" i="20" s="1"/>
  <c r="G431" i="20" s="1"/>
  <c r="G432" i="20" s="1"/>
  <c r="G433" i="20" s="1"/>
  <c r="G434" i="20" s="1"/>
  <c r="G435" i="20" s="1"/>
  <c r="G436" i="20" s="1"/>
  <c r="G437" i="20" s="1"/>
  <c r="G438" i="20" s="1"/>
  <c r="G439" i="20" s="1"/>
  <c r="G440" i="20" s="1"/>
  <c r="G441" i="20" s="1"/>
  <c r="G442" i="20" s="1"/>
  <c r="G443" i="20" s="1"/>
  <c r="G444" i="20" s="1"/>
  <c r="G445" i="20" s="1"/>
  <c r="G446" i="20" s="1"/>
  <c r="G447" i="20" s="1"/>
  <c r="G448" i="20" s="1"/>
  <c r="G449" i="20" s="1"/>
  <c r="G450" i="20" s="1"/>
  <c r="G451" i="20" s="1"/>
  <c r="G452" i="20" s="1"/>
  <c r="G453" i="20" s="1"/>
  <c r="G454" i="20" s="1"/>
  <c r="G455" i="20" s="1"/>
  <c r="G456" i="20" s="1"/>
  <c r="G457" i="20" s="1"/>
  <c r="G458" i="20" s="1"/>
  <c r="G459" i="20" s="1"/>
  <c r="G460" i="20" s="1"/>
  <c r="G461" i="20" s="1"/>
  <c r="G462" i="20" s="1"/>
  <c r="G463" i="20" s="1"/>
  <c r="G464" i="20" s="1"/>
  <c r="G465" i="20" s="1"/>
  <c r="G466" i="20" s="1"/>
  <c r="G467" i="20" s="1"/>
  <c r="G468" i="20" s="1"/>
  <c r="G469" i="20" s="1"/>
  <c r="G470" i="20" s="1"/>
  <c r="G471" i="20" s="1"/>
  <c r="G472" i="20" s="1"/>
  <c r="G473" i="20" s="1"/>
  <c r="G474" i="20" s="1"/>
  <c r="G475" i="20" s="1"/>
  <c r="G476" i="20" s="1"/>
  <c r="G477" i="20" s="1"/>
  <c r="G478" i="20" s="1"/>
  <c r="G479" i="20" s="1"/>
  <c r="G480" i="20" s="1"/>
  <c r="G481" i="20" s="1"/>
  <c r="G482" i="20" s="1"/>
  <c r="G483" i="20" s="1"/>
  <c r="G484" i="20" s="1"/>
  <c r="G485" i="20" s="1"/>
  <c r="G486" i="20" s="1"/>
  <c r="G487" i="20" s="1"/>
  <c r="G488" i="20" s="1"/>
  <c r="G489" i="20" s="1"/>
  <c r="G490" i="20" s="1"/>
  <c r="G491" i="20" s="1"/>
  <c r="G492" i="20" s="1"/>
  <c r="G493" i="20" s="1"/>
  <c r="G494" i="20" s="1"/>
  <c r="G495" i="20" s="1"/>
  <c r="G496" i="20" s="1"/>
  <c r="G497" i="20" s="1"/>
  <c r="G498" i="20" s="1"/>
  <c r="G499" i="20" s="1"/>
  <c r="G500" i="20" s="1"/>
  <c r="G5" i="15"/>
  <c r="G6" i="15" s="1"/>
  <c r="G7" i="15" s="1"/>
  <c r="G8" i="15" s="1"/>
  <c r="G9" i="15" s="1"/>
  <c r="G10" i="15" s="1"/>
  <c r="G11" i="15" s="1"/>
  <c r="G12" i="15" s="1"/>
  <c r="G13" i="15" s="1"/>
  <c r="G14" i="15" s="1"/>
  <c r="G15" i="15" s="1"/>
  <c r="G16" i="15" s="1"/>
  <c r="G17" i="15" s="1"/>
  <c r="G18" i="15" s="1"/>
  <c r="G19" i="15" s="1"/>
  <c r="G20" i="15" s="1"/>
  <c r="G21" i="15" s="1"/>
  <c r="G22" i="15" s="1"/>
  <c r="G23" i="15" s="1"/>
  <c r="G24" i="15" s="1"/>
  <c r="G25" i="15" s="1"/>
  <c r="G26" i="15" s="1"/>
  <c r="G27" i="15" s="1"/>
  <c r="G28" i="15" s="1"/>
  <c r="G29" i="15" s="1"/>
  <c r="G30" i="15" s="1"/>
  <c r="G31" i="15" s="1"/>
  <c r="G32" i="15" s="1"/>
  <c r="G33" i="15" s="1"/>
  <c r="G34" i="15" s="1"/>
  <c r="G35" i="15" s="1"/>
  <c r="G36" i="15" s="1"/>
  <c r="G37" i="15" s="1"/>
  <c r="G38" i="15" s="1"/>
  <c r="G39" i="15" s="1"/>
  <c r="G40" i="15" s="1"/>
  <c r="G41" i="15" s="1"/>
  <c r="G42" i="15" s="1"/>
  <c r="G43" i="15" s="1"/>
  <c r="G44" i="15" s="1"/>
  <c r="G45" i="15" s="1"/>
  <c r="G46" i="15" s="1"/>
  <c r="G47" i="15" s="1"/>
  <c r="G48" i="15" s="1"/>
  <c r="G49" i="15" s="1"/>
  <c r="G50" i="15" s="1"/>
  <c r="G51" i="15" s="1"/>
  <c r="G52" i="15" s="1"/>
  <c r="G53" i="15" s="1"/>
  <c r="G54" i="15" s="1"/>
  <c r="G55" i="15" s="1"/>
  <c r="G56" i="15" s="1"/>
  <c r="G57" i="15" s="1"/>
  <c r="G58" i="15" s="1"/>
  <c r="G59" i="15" s="1"/>
  <c r="G60" i="15" s="1"/>
  <c r="G61" i="15" s="1"/>
  <c r="G62" i="15" s="1"/>
  <c r="G63" i="15" s="1"/>
  <c r="G64" i="15" s="1"/>
  <c r="G65" i="15" s="1"/>
  <c r="G66" i="15" s="1"/>
  <c r="G67" i="15" s="1"/>
  <c r="G68" i="15" s="1"/>
  <c r="G69" i="15" s="1"/>
  <c r="G70" i="15" s="1"/>
  <c r="G71" i="15" s="1"/>
  <c r="G72" i="15" s="1"/>
  <c r="G73" i="15" s="1"/>
  <c r="G74" i="15" s="1"/>
  <c r="G75" i="15" s="1"/>
  <c r="G76" i="15" s="1"/>
  <c r="G77" i="15" s="1"/>
  <c r="G78" i="15" s="1"/>
  <c r="G79" i="15" s="1"/>
  <c r="G80" i="15" s="1"/>
  <c r="G81" i="15" s="1"/>
  <c r="G82" i="15" s="1"/>
  <c r="G83" i="15" s="1"/>
  <c r="G84" i="15" s="1"/>
  <c r="G85" i="15" s="1"/>
  <c r="G86" i="15" s="1"/>
  <c r="G87" i="15" s="1"/>
  <c r="G88" i="15" s="1"/>
  <c r="G89" i="15" s="1"/>
  <c r="G90" i="15" s="1"/>
  <c r="G91" i="15" s="1"/>
  <c r="G92" i="15" s="1"/>
  <c r="G93" i="15" s="1"/>
  <c r="G94" i="15" s="1"/>
  <c r="G95" i="15" s="1"/>
  <c r="G96" i="15" s="1"/>
  <c r="G97" i="15" s="1"/>
  <c r="G98" i="15" s="1"/>
  <c r="G99" i="15" s="1"/>
  <c r="G100" i="15" s="1"/>
  <c r="G2" i="15"/>
  <c r="G4"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2" i="16"/>
  <c r="G4" i="17" s="1"/>
  <c r="G5" i="17" l="1"/>
  <c r="G6" i="17" s="1"/>
  <c r="G7" i="17" s="1"/>
  <c r="G8" i="17" s="1"/>
  <c r="G9" i="17" s="1"/>
  <c r="G10" i="17" s="1"/>
  <c r="G11" i="17" s="1"/>
  <c r="G12" i="17" s="1"/>
  <c r="G13" i="17" s="1"/>
  <c r="G14" i="17" s="1"/>
  <c r="G15" i="17" s="1"/>
  <c r="G16" i="17" s="1"/>
  <c r="G17" i="17" s="1"/>
  <c r="G18" i="17" s="1"/>
  <c r="G19" i="17" s="1"/>
  <c r="G20" i="17" s="1"/>
  <c r="G21" i="17" s="1"/>
  <c r="G22" i="17" s="1"/>
  <c r="G23" i="17" s="1"/>
  <c r="G24" i="17" s="1"/>
  <c r="G25" i="17" s="1"/>
  <c r="G26" i="17" s="1"/>
  <c r="G27" i="17" s="1"/>
  <c r="G28" i="17" s="1"/>
  <c r="G29" i="17" s="1"/>
  <c r="G30" i="17" s="1"/>
  <c r="G31" i="17" s="1"/>
  <c r="G32" i="17" s="1"/>
  <c r="G33" i="17" s="1"/>
  <c r="G34" i="17" s="1"/>
  <c r="G35" i="17" s="1"/>
  <c r="G36" i="17" s="1"/>
  <c r="G37" i="17" s="1"/>
  <c r="G38" i="17" s="1"/>
  <c r="G39" i="17" s="1"/>
  <c r="G40" i="17" s="1"/>
  <c r="G41" i="17" s="1"/>
  <c r="G42" i="17" s="1"/>
  <c r="G43" i="17" s="1"/>
  <c r="G44" i="17" s="1"/>
  <c r="G45" i="17" s="1"/>
  <c r="G46" i="17" s="1"/>
  <c r="G47" i="17" s="1"/>
  <c r="G48" i="17" s="1"/>
  <c r="G49" i="17" s="1"/>
  <c r="G50" i="17" s="1"/>
  <c r="G51" i="17" s="1"/>
  <c r="G52" i="17" s="1"/>
  <c r="G53" i="17" s="1"/>
  <c r="G54" i="17" s="1"/>
  <c r="G55" i="17" s="1"/>
  <c r="G56" i="17" s="1"/>
  <c r="G57" i="17" s="1"/>
  <c r="G58" i="17" s="1"/>
  <c r="G59" i="17" s="1"/>
  <c r="G60" i="17" s="1"/>
  <c r="G61" i="17" s="1"/>
  <c r="G62" i="17" s="1"/>
  <c r="G63" i="17" s="1"/>
  <c r="G64" i="17" s="1"/>
  <c r="G65" i="17" s="1"/>
  <c r="G66" i="17" s="1"/>
  <c r="G67" i="17" s="1"/>
  <c r="G68" i="17" s="1"/>
  <c r="G69" i="17" s="1"/>
  <c r="G70" i="17" s="1"/>
  <c r="G71" i="17" s="1"/>
  <c r="G72" i="17" s="1"/>
  <c r="G73" i="17" s="1"/>
  <c r="G74" i="17" s="1"/>
  <c r="G75" i="17" s="1"/>
  <c r="G76" i="17" s="1"/>
  <c r="G77" i="17" s="1"/>
  <c r="G78" i="17" s="1"/>
  <c r="G79" i="17" s="1"/>
  <c r="G80" i="17" s="1"/>
  <c r="G81" i="17" s="1"/>
  <c r="G82" i="17" s="1"/>
  <c r="G83" i="17" s="1"/>
  <c r="G84" i="17" s="1"/>
  <c r="G85" i="17" s="1"/>
  <c r="G86" i="17" s="1"/>
  <c r="G87" i="17" s="1"/>
  <c r="G88" i="17" s="1"/>
  <c r="G89" i="17" s="1"/>
  <c r="G90" i="17" s="1"/>
  <c r="G91" i="17" s="1"/>
  <c r="G92" i="17" s="1"/>
  <c r="G93" i="17" s="1"/>
  <c r="G94" i="17" s="1"/>
  <c r="G95" i="17" s="1"/>
  <c r="G96" i="17" s="1"/>
  <c r="G97" i="17" s="1"/>
  <c r="G98" i="17" s="1"/>
  <c r="G99" i="17" s="1"/>
  <c r="G100" i="17" s="1"/>
  <c r="G2" i="17"/>
  <c r="F11" i="4" l="1"/>
  <c r="D25" i="18"/>
  <c r="D35" i="18"/>
  <c r="F35" i="18" s="1"/>
  <c r="D34" i="18"/>
  <c r="F34" i="18" s="1"/>
  <c r="D24" i="18"/>
  <c r="F48" i="18"/>
  <c r="F50" i="18"/>
  <c r="G49" i="18" l="1"/>
  <c r="F19" i="4"/>
  <c r="D29" i="18"/>
  <c r="F29" i="18" s="1"/>
  <c r="G29" i="18"/>
  <c r="G37" i="18"/>
  <c r="F16" i="4"/>
  <c r="D31" i="18"/>
  <c r="F31" i="18" s="1"/>
  <c r="D36" i="18"/>
  <c r="F36" i="18" s="1"/>
  <c r="D33" i="18"/>
  <c r="F33" i="18" s="1"/>
  <c r="F18" i="4"/>
  <c r="D32" i="18"/>
  <c r="F32" i="18" s="1"/>
  <c r="F17" i="4"/>
  <c r="G28" i="18"/>
  <c r="G38" i="18"/>
  <c r="D37" i="18"/>
  <c r="F37" i="18" s="1"/>
  <c r="D28" i="18"/>
  <c r="F28" i="18" s="1"/>
  <c r="F13" i="4"/>
  <c r="D27" i="18"/>
  <c r="F27" i="18" s="1"/>
  <c r="D26" i="18"/>
  <c r="F26" i="18" s="1"/>
  <c r="F27" i="4" l="1"/>
  <c r="D38" i="18"/>
  <c r="F38" i="18" s="1"/>
  <c r="F42" i="18" s="1"/>
  <c r="F41" i="18"/>
  <c r="F14" i="4"/>
  <c r="F26" i="4" s="1"/>
  <c r="F30" i="4" l="1"/>
  <c r="F43" i="18"/>
  <c r="F45" i="18" s="1"/>
  <c r="C28" i="4" l="1"/>
  <c r="C4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 Christensen</author>
  </authors>
  <commentList>
    <comment ref="G2" authorId="0" shapeId="0" xr:uid="{E6537F7B-32A5-4F6C-850B-95F70537B8F4}">
      <text>
        <r>
          <rPr>
            <sz val="9"/>
            <color indexed="81"/>
            <rFont val="Tahoma"/>
            <family val="2"/>
          </rPr>
          <t xml:space="preserve">This should be April 30, Statement ending balance. 
Or last transaction entered balance.
 If it does not matchdDouble check deposit / withdrawal amounts and if you skipped a transaction. </t>
        </r>
      </text>
    </comment>
    <comment ref="I2" authorId="0" shapeId="0" xr:uid="{F6C0A32F-5694-42DF-845B-0C91051DD3CB}">
      <text>
        <r>
          <rPr>
            <sz val="9"/>
            <color indexed="81"/>
            <rFont val="Tahoma"/>
            <family val="2"/>
          </rPr>
          <t>Troop Deposited Fall Product Proceeds</t>
        </r>
      </text>
    </comment>
    <comment ref="J2" authorId="0" shapeId="0" xr:uid="{18A855DD-BC16-411F-B3CF-0218FB21A80E}">
      <text>
        <r>
          <rPr>
            <sz val="9"/>
            <color indexed="81"/>
            <rFont val="Tahoma"/>
            <family val="2"/>
          </rPr>
          <t>This is total Troop Deposited Cookie Proceeds</t>
        </r>
      </text>
    </comment>
    <comment ref="G4" authorId="0" shapeId="0" xr:uid="{7302B84A-2EE2-4CC6-957C-2871F8733291}">
      <text>
        <r>
          <rPr>
            <sz val="9"/>
            <color indexed="81"/>
            <rFont val="Tahoma"/>
            <family val="2"/>
          </rPr>
          <t xml:space="preserve">This is Troop Starting Balance on statement. Double check to make sure it is the monthly starting balance and not the month end balance.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77DC2269-B6B8-435E-BDB4-4A7B3D6504C5}">
      <text>
        <r>
          <rPr>
            <b/>
            <sz val="9"/>
            <color indexed="81"/>
            <rFont val="Tahoma"/>
            <family val="2"/>
          </rPr>
          <t>Kate Christensen:</t>
        </r>
        <r>
          <rPr>
            <sz val="9"/>
            <color indexed="81"/>
            <rFont val="Tahoma"/>
            <family val="2"/>
          </rPr>
          <t xml:space="preserve">
This should be April 30, Statement ending balance. </t>
        </r>
      </text>
    </comment>
    <comment ref="G4" authorId="1" shapeId="0" xr:uid="{AE43A860-1540-7740-A7AC-1E0EFF7BE075}">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AC8AF02A-50FF-4FC5-96E0-36A830B09BE4}">
      <text>
        <r>
          <rPr>
            <b/>
            <sz val="9"/>
            <color indexed="81"/>
            <rFont val="Tahoma"/>
            <family val="2"/>
          </rPr>
          <t>Kate Christensen:</t>
        </r>
        <r>
          <rPr>
            <sz val="9"/>
            <color indexed="81"/>
            <rFont val="Tahoma"/>
            <family val="2"/>
          </rPr>
          <t xml:space="preserve">
This should be April 30, Statement ending balance. </t>
        </r>
      </text>
    </comment>
    <comment ref="G4" authorId="1" shapeId="0" xr:uid="{51C9D990-8C5D-8D40-BD61-50E813B4AF91}">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F65C58B1-383D-43FA-9C4E-96CE5186EB68}">
      <text>
        <r>
          <rPr>
            <b/>
            <sz val="9"/>
            <color indexed="81"/>
            <rFont val="Tahoma"/>
            <family val="2"/>
          </rPr>
          <t>Kate Christensen:</t>
        </r>
        <r>
          <rPr>
            <sz val="9"/>
            <color indexed="81"/>
            <rFont val="Tahoma"/>
            <family val="2"/>
          </rPr>
          <t xml:space="preserve">
This should be April 30, Statement ending balance. </t>
        </r>
      </text>
    </comment>
    <comment ref="G4" authorId="1" shapeId="0" xr:uid="{A4E3731F-B9B5-A443-BDFC-107D757C0708}">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DDF19F7C-071F-4A26-9F59-A207C21E3E60}">
      <text>
        <r>
          <rPr>
            <b/>
            <sz val="9"/>
            <color indexed="81"/>
            <rFont val="Tahoma"/>
            <family val="2"/>
          </rPr>
          <t>Kate Christensen:</t>
        </r>
        <r>
          <rPr>
            <sz val="9"/>
            <color indexed="81"/>
            <rFont val="Tahoma"/>
            <family val="2"/>
          </rPr>
          <t xml:space="preserve">
This should be April 30, Statement ending balance. </t>
        </r>
      </text>
    </comment>
    <comment ref="G4" authorId="1" shapeId="0" xr:uid="{5A441397-F6E6-DB4C-B0A8-C38D38105F85}">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78B01F58-8D41-4077-BC81-8688350C9E05}">
      <text>
        <r>
          <rPr>
            <b/>
            <sz val="9"/>
            <color indexed="81"/>
            <rFont val="Tahoma"/>
            <family val="2"/>
          </rPr>
          <t>Kate Christensen:</t>
        </r>
        <r>
          <rPr>
            <sz val="9"/>
            <color indexed="81"/>
            <rFont val="Tahoma"/>
            <family val="2"/>
          </rPr>
          <t xml:space="preserve">
This should be April 30, Statement ending balance. </t>
        </r>
      </text>
    </comment>
    <comment ref="G4" authorId="1" shapeId="0" xr:uid="{FC3C7158-B31A-CF47-901D-4A820C4B0163}">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40C172FA-5807-46F8-A994-7AA5E3FD9A4D}">
      <text>
        <r>
          <rPr>
            <b/>
            <sz val="9"/>
            <color indexed="81"/>
            <rFont val="Tahoma"/>
            <family val="2"/>
          </rPr>
          <t>Kate Christensen:</t>
        </r>
        <r>
          <rPr>
            <sz val="9"/>
            <color indexed="81"/>
            <rFont val="Tahoma"/>
            <family val="2"/>
          </rPr>
          <t xml:space="preserve">
This should be April 30, Statement ending balance. </t>
        </r>
      </text>
    </comment>
    <comment ref="G4" authorId="1" shapeId="0" xr:uid="{31D02846-3F69-C644-A63E-6E531CB7CE7D}">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CDA3CE84-7C4D-447C-88A9-30416107AA8B}">
      <text>
        <r>
          <rPr>
            <b/>
            <sz val="9"/>
            <color indexed="81"/>
            <rFont val="Tahoma"/>
            <family val="2"/>
          </rPr>
          <t>Kate Christensen:</t>
        </r>
        <r>
          <rPr>
            <sz val="9"/>
            <color indexed="81"/>
            <rFont val="Tahoma"/>
            <family val="2"/>
          </rPr>
          <t xml:space="preserve">
This should be April 30, Statement ending balance. </t>
        </r>
      </text>
    </comment>
    <comment ref="G4" authorId="1" shapeId="0" xr:uid="{EA6DA401-C21A-D947-AE1D-A821E8D7FC09}">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Kate Christensen</author>
  </authors>
  <commentList>
    <comment ref="F21" authorId="0" shapeId="0" xr:uid="{FBC41774-71D4-423E-8713-B158A0AB6512}">
      <text>
        <r>
          <rPr>
            <b/>
            <sz val="9"/>
            <color indexed="81"/>
            <rFont val="Tahoma"/>
            <family val="2"/>
          </rPr>
          <t>Kate Christensen:</t>
        </r>
        <r>
          <rPr>
            <sz val="9"/>
            <color indexed="81"/>
            <rFont val="Tahoma"/>
            <family val="2"/>
          </rPr>
          <t xml:space="preserve">
# From Smart Cookie Troop Balance Summary report</t>
        </r>
      </text>
    </comment>
    <comment ref="F24" authorId="0" shapeId="0" xr:uid="{6795CBB6-335A-4705-A007-5845F6A8DF38}">
      <text>
        <r>
          <rPr>
            <b/>
            <sz val="9"/>
            <color indexed="81"/>
            <rFont val="Tahoma"/>
            <family val="2"/>
          </rPr>
          <t>Kate Christensen:</t>
        </r>
        <r>
          <rPr>
            <sz val="9"/>
            <color indexed="81"/>
            <rFont val="Tahoma"/>
            <family val="2"/>
          </rPr>
          <t xml:space="preserve">
This is the Fall Product Net Troop Proceeds (above) additional or missing will be noted under income other or expense other</t>
        </r>
      </text>
    </comment>
    <comment ref="F25" authorId="0" shapeId="0" xr:uid="{83B83721-B20F-453E-ACBD-E95692725B59}">
      <text>
        <r>
          <rPr>
            <b/>
            <sz val="9"/>
            <color indexed="81"/>
            <rFont val="Tahoma"/>
            <family val="2"/>
          </rPr>
          <t>Kate Christensen:</t>
        </r>
        <r>
          <rPr>
            <sz val="9"/>
            <color indexed="81"/>
            <rFont val="Tahoma"/>
            <family val="2"/>
          </rPr>
          <t xml:space="preserve">
Kate Christensen:
This is the Cookie Program Net Troop Proceeds (F5) additional or missing will be noted under income other or expense cookie debt
</t>
        </r>
      </text>
    </comment>
    <comment ref="G28" authorId="0" shapeId="0" xr:uid="{85FAD5B1-DF83-4DB6-ACA7-F0B22ABC6A4E}">
      <text>
        <r>
          <rPr>
            <b/>
            <sz val="9"/>
            <color indexed="81"/>
            <rFont val="Tahoma"/>
            <family val="2"/>
          </rPr>
          <t>Kate Christensen:</t>
        </r>
        <r>
          <rPr>
            <sz val="9"/>
            <color indexed="81"/>
            <rFont val="Tahoma"/>
            <family val="2"/>
          </rPr>
          <t xml:space="preserve">
Notes for Other Income
</t>
        </r>
      </text>
    </comment>
    <comment ref="F29" authorId="0" shapeId="0" xr:uid="{4B65C81C-BAC7-48C6-9E58-F20B35AD71E5}">
      <text>
        <r>
          <rPr>
            <b/>
            <sz val="9"/>
            <color indexed="81"/>
            <rFont val="Tahoma"/>
            <family val="2"/>
          </rPr>
          <t>Kate Christensen:</t>
        </r>
        <r>
          <rPr>
            <sz val="9"/>
            <color indexed="81"/>
            <rFont val="Tahoma"/>
            <family val="2"/>
          </rPr>
          <t xml:space="preserve">
This calculates in any money over the product sale proceeds + other income coloumn</t>
        </r>
      </text>
    </comment>
    <comment ref="F38" authorId="0" shapeId="0" xr:uid="{4CB4ED25-F883-4C70-9B40-EC77E484BD00}">
      <text>
        <r>
          <rPr>
            <b/>
            <sz val="9"/>
            <color indexed="81"/>
            <rFont val="Tahoma"/>
            <family val="2"/>
          </rPr>
          <t>Kate Christensen:</t>
        </r>
        <r>
          <rPr>
            <sz val="9"/>
            <color indexed="81"/>
            <rFont val="Tahoma"/>
            <family val="2"/>
          </rPr>
          <t xml:space="preserve">
This is other expenses and if applicable Fall Product Debt
</t>
        </r>
      </text>
    </comment>
    <comment ref="F48" authorId="0" shapeId="0" xr:uid="{6E8BFAF1-E7CF-4694-B820-C532DC30E1B8}">
      <text>
        <r>
          <rPr>
            <b/>
            <sz val="9"/>
            <color indexed="81"/>
            <rFont val="Tahoma"/>
            <family val="2"/>
          </rPr>
          <t>Kate Christensen:</t>
        </r>
        <r>
          <rPr>
            <sz val="9"/>
            <color indexed="81"/>
            <rFont val="Tahoma"/>
            <family val="2"/>
          </rPr>
          <t xml:space="preserve">
Adds up all deposits with code 2 on Bank Transaction Tab</t>
        </r>
      </text>
    </comment>
    <comment ref="F50" authorId="0" shapeId="0" xr:uid="{F1B3395E-D369-4DC8-9495-C81949D0BE34}">
      <text>
        <r>
          <rPr>
            <b/>
            <sz val="9"/>
            <color indexed="81"/>
            <rFont val="Tahoma"/>
            <family val="2"/>
          </rPr>
          <t>Kate Christensen:</t>
        </r>
        <r>
          <rPr>
            <sz val="9"/>
            <color indexed="81"/>
            <rFont val="Tahoma"/>
            <family val="2"/>
          </rPr>
          <t xml:space="preserve">
Adds up all withdrawals with code 2 on Bank Transaction Tab</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Kate Christensen</author>
  </authors>
  <commentList>
    <comment ref="G2" authorId="0" shapeId="0" xr:uid="{6D0D499E-EE00-4E53-B6B2-56CB1948D04D}">
      <text>
        <r>
          <rPr>
            <sz val="9"/>
            <color indexed="81"/>
            <rFont val="Tahoma"/>
            <family val="2"/>
          </rPr>
          <t xml:space="preserve">This should be April 30, Statement ending balance. 
Or last transaction entered balance.
 If it does not matchdDouble check deposit / withdrawal amounts and if you skipped a transaction. </t>
        </r>
      </text>
    </comment>
    <comment ref="I2" authorId="0" shapeId="0" xr:uid="{9FFF2B03-FAC7-4047-A84A-27717FF7A77F}">
      <text>
        <r>
          <rPr>
            <sz val="9"/>
            <color indexed="81"/>
            <rFont val="Tahoma"/>
            <family val="2"/>
          </rPr>
          <t>Troop Deposited Fall Product Proceeds</t>
        </r>
      </text>
    </comment>
    <comment ref="J2" authorId="0" shapeId="0" xr:uid="{B5E7DD9C-3B08-46BA-96AE-A62870FE6599}">
      <text>
        <r>
          <rPr>
            <sz val="9"/>
            <color indexed="81"/>
            <rFont val="Tahoma"/>
            <family val="2"/>
          </rPr>
          <t>This is total Troop Deposited Cookie Proceeds</t>
        </r>
      </text>
    </comment>
    <comment ref="G4" authorId="0" shapeId="0" xr:uid="{A087F39C-CB79-4690-BE87-988320801FD8}">
      <text>
        <r>
          <rPr>
            <sz val="9"/>
            <color indexed="81"/>
            <rFont val="Tahoma"/>
            <family val="2"/>
          </rPr>
          <t xml:space="preserve">This is Troop Starting Balance on statement. Double check to make sure it is the monthly starting balance and not the month end balance.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 Christensen</author>
  </authors>
  <commentList>
    <comment ref="F6" authorId="0" shapeId="0" xr:uid="{4578227A-6AE8-46FD-8743-FFF7780C212D}">
      <text>
        <r>
          <rPr>
            <sz val="9"/>
            <color indexed="81"/>
            <rFont val="Tahoma"/>
            <family val="2"/>
          </rPr>
          <t># From Smart Cookie Troop Balance Summary report</t>
        </r>
      </text>
    </comment>
    <comment ref="F9" authorId="0" shapeId="0" xr:uid="{DAA1AB67-BA5C-41CE-8D0B-A8DCB8B308CD}">
      <text>
        <r>
          <rPr>
            <sz val="9"/>
            <color indexed="81"/>
            <rFont val="Tahoma"/>
            <family val="2"/>
          </rPr>
          <t>This is the Fall Product Net Troop Proceeds (above) additional or missing will be noted under income other or expense other</t>
        </r>
      </text>
    </comment>
    <comment ref="F10" authorId="0" shapeId="0" xr:uid="{FD0B98C8-B663-4569-AE37-990C9CF0380C}">
      <text>
        <r>
          <rPr>
            <sz val="9"/>
            <color indexed="81"/>
            <rFont val="Tahoma"/>
            <family val="2"/>
          </rPr>
          <t xml:space="preserve">This is the Cookie Program Net Troop Proceeds (F5) additional or missing will be noted under income other or expense cookie debt
</t>
        </r>
      </text>
    </comment>
    <comment ref="G13" authorId="0" shapeId="0" xr:uid="{BFCD66DF-1720-4764-AFAE-3FC458A27A3C}">
      <text>
        <r>
          <rPr>
            <b/>
            <sz val="9"/>
            <color indexed="81"/>
            <rFont val="Tahoma"/>
            <family val="2"/>
          </rPr>
          <t>Kate Christensen:</t>
        </r>
        <r>
          <rPr>
            <sz val="9"/>
            <color indexed="81"/>
            <rFont val="Tahoma"/>
            <family val="2"/>
          </rPr>
          <t xml:space="preserve">
Notes for Other Income
</t>
        </r>
      </text>
    </comment>
    <comment ref="F14" authorId="0" shapeId="0" xr:uid="{E2942134-00B0-4250-BA91-0C239CCF0661}">
      <text>
        <r>
          <rPr>
            <sz val="9"/>
            <color indexed="81"/>
            <rFont val="Tahoma"/>
            <family val="2"/>
          </rPr>
          <t>This calculates in any money over the product sale proceeds + other income coloumn</t>
        </r>
      </text>
    </comment>
    <comment ref="F23" authorId="0" shapeId="0" xr:uid="{21F4D5A3-5AED-42D2-88CA-FCE60FB08F01}">
      <text>
        <r>
          <rPr>
            <sz val="9"/>
            <color indexed="81"/>
            <rFont val="Tahoma"/>
            <family val="2"/>
          </rPr>
          <t xml:space="preserve">This is other expenses and if applicable Fall Product Debt
</t>
        </r>
      </text>
    </comment>
    <comment ref="F33" authorId="0" shapeId="0" xr:uid="{204B641D-8881-42EE-AF61-BF3A0C8DA557}">
      <text>
        <r>
          <rPr>
            <sz val="9"/>
            <color indexed="81"/>
            <rFont val="Tahoma"/>
            <family val="2"/>
          </rPr>
          <t>Adds up all deposits with Fall Product  category on Bank Transaction Tab</t>
        </r>
      </text>
    </comment>
    <comment ref="F34" authorId="0" shapeId="0" xr:uid="{0E46915A-CF0A-4CE2-B086-D51CD49A814A}">
      <text>
        <r>
          <rPr>
            <sz val="9"/>
            <color indexed="81"/>
            <rFont val="Tahoma"/>
            <family val="2"/>
          </rPr>
          <t>Adds up all withdrawals with Fall Product Category
 on Bank Transaction Tab</t>
        </r>
      </text>
    </comment>
    <comment ref="G35" authorId="0" shapeId="0" xr:uid="{03E007A0-513E-4851-A3BA-4EF2E3FD20F4}">
      <text>
        <r>
          <rPr>
            <sz val="9"/>
            <color indexed="81"/>
            <rFont val="Tahoma"/>
            <family val="2"/>
          </rPr>
          <t>Positive number additional income
Negative number () debt</t>
        </r>
      </text>
    </comment>
    <comment ref="F37" authorId="0" shapeId="0" xr:uid="{34F93CD3-FC9A-46ED-98E0-0131189B20D5}">
      <text>
        <r>
          <rPr>
            <sz val="9"/>
            <color indexed="81"/>
            <rFont val="Tahoma"/>
            <family val="2"/>
          </rPr>
          <t xml:space="preserve">
Adds up all deposits with cookie category on Bank Transaction Tab</t>
        </r>
      </text>
    </comment>
    <comment ref="F38" authorId="0" shapeId="0" xr:uid="{64A60EBD-DA01-4F0A-9C86-71EABF2858BA}">
      <text>
        <r>
          <rPr>
            <sz val="9"/>
            <color indexed="81"/>
            <rFont val="Tahoma"/>
            <family val="2"/>
          </rPr>
          <t>Adds up all withdrawals with Cookie Category
 on Bank Transaction Tab</t>
        </r>
      </text>
    </comment>
    <comment ref="G39" authorId="0" shapeId="0" xr:uid="{DCAD7D9F-69B1-4D09-856B-C0CAB9A5F29A}">
      <text>
        <r>
          <rPr>
            <sz val="9"/>
            <color indexed="81"/>
            <rFont val="Tahoma"/>
            <family val="2"/>
          </rPr>
          <t xml:space="preserve">Positive number additional income
Negative number () debt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Kate Christensen</author>
  </authors>
  <commentList>
    <comment ref="D5" authorId="0" shapeId="0" xr:uid="{4CDBB746-96C5-410B-8F02-FFB96E10D08C}">
      <text>
        <r>
          <rPr>
            <sz val="9"/>
            <color indexed="81"/>
            <rFont val="Tahoma"/>
            <family val="2"/>
          </rPr>
          <t xml:space="preserve">This can be found on the SMART Cookie troop balance summary report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jdoe</author>
  </authors>
  <commentList>
    <comment ref="G4" authorId="0" shapeId="0" xr:uid="{B947F6EE-C41B-48D7-80A9-9744B0E4AAC4}">
      <text>
        <r>
          <rPr>
            <b/>
            <sz val="9"/>
            <color indexed="81"/>
            <rFont val="Tahoma"/>
            <family val="2"/>
          </rPr>
          <t>jdoe:</t>
        </r>
        <r>
          <rPr>
            <sz val="9"/>
            <color indexed="81"/>
            <rFont val="Tahoma"/>
            <family val="2"/>
          </rPr>
          <t xml:space="preserve">
Enter troop starting Balance 5/1/20##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98A70968-8B35-430E-AC70-98DEDAAE222D}">
      <text>
        <r>
          <rPr>
            <b/>
            <sz val="9"/>
            <color indexed="81"/>
            <rFont val="Tahoma"/>
            <family val="2"/>
          </rPr>
          <t>Kate Christensen:</t>
        </r>
        <r>
          <rPr>
            <sz val="9"/>
            <color indexed="81"/>
            <rFont val="Tahoma"/>
            <family val="2"/>
          </rPr>
          <t xml:space="preserve">
This should be April 30, Statement ending balance. </t>
        </r>
      </text>
    </comment>
    <comment ref="G4" authorId="1" shapeId="0" xr:uid="{CA49116D-F06A-491E-A68F-638B2E43475F}">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02CE1E78-0BA1-457E-902D-93AD3C3B225C}">
      <text>
        <r>
          <rPr>
            <b/>
            <sz val="9"/>
            <color indexed="81"/>
            <rFont val="Tahoma"/>
            <family val="2"/>
          </rPr>
          <t>Kate Christensen:</t>
        </r>
        <r>
          <rPr>
            <sz val="9"/>
            <color indexed="81"/>
            <rFont val="Tahoma"/>
            <family val="2"/>
          </rPr>
          <t xml:space="preserve">
This should be April 30, Statement ending balance. </t>
        </r>
      </text>
    </comment>
    <comment ref="G4" authorId="1" shapeId="0" xr:uid="{4E039BDA-D87C-4DC4-B6A4-5B368977020B}">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F7712A4E-F912-47A5-96E0-F7FE1876EB0D}">
      <text>
        <r>
          <rPr>
            <b/>
            <sz val="9"/>
            <color indexed="81"/>
            <rFont val="Tahoma"/>
            <family val="2"/>
          </rPr>
          <t>Kate Christensen:</t>
        </r>
        <r>
          <rPr>
            <sz val="9"/>
            <color indexed="81"/>
            <rFont val="Tahoma"/>
            <family val="2"/>
          </rPr>
          <t xml:space="preserve">
This should be April 30, Statement ending balance. </t>
        </r>
      </text>
    </comment>
    <comment ref="G4" authorId="1" shapeId="0" xr:uid="{7810D664-8822-467A-A39B-8D25F4EDE4D6}">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0B1EC4D5-ACAB-45D7-AB2A-69890809847B}">
      <text>
        <r>
          <rPr>
            <b/>
            <sz val="9"/>
            <color indexed="81"/>
            <rFont val="Tahoma"/>
            <family val="2"/>
          </rPr>
          <t>Kate Christensen:</t>
        </r>
        <r>
          <rPr>
            <sz val="9"/>
            <color indexed="81"/>
            <rFont val="Tahoma"/>
            <family val="2"/>
          </rPr>
          <t xml:space="preserve">
This should be April 30, Statement ending balance. </t>
        </r>
      </text>
    </comment>
    <comment ref="G4" authorId="1" shapeId="0" xr:uid="{09EB2BDE-BEF7-AF45-A945-3A7993D81845}">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Kate Christensen</author>
    <author>jdoe</author>
  </authors>
  <commentList>
    <comment ref="G2" authorId="0" shapeId="0" xr:uid="{01E8F0BA-5999-497C-AE5B-54A00418BCC1}">
      <text>
        <r>
          <rPr>
            <b/>
            <sz val="9"/>
            <color indexed="81"/>
            <rFont val="Tahoma"/>
            <family val="2"/>
          </rPr>
          <t>Kate Christensen:</t>
        </r>
        <r>
          <rPr>
            <sz val="9"/>
            <color indexed="81"/>
            <rFont val="Tahoma"/>
            <family val="2"/>
          </rPr>
          <t xml:space="preserve">
This should be April 30, Statement ending balance. </t>
        </r>
      </text>
    </comment>
    <comment ref="G4" authorId="1" shapeId="0" xr:uid="{6BB2FFB4-A165-4E86-8B72-1D7FBFA14F08}">
      <text>
        <r>
          <rPr>
            <b/>
            <sz val="9"/>
            <color rgb="FF000000"/>
            <rFont val="Tahoma"/>
            <family val="2"/>
          </rPr>
          <t>jdoe:</t>
        </r>
        <r>
          <rPr>
            <sz val="9"/>
            <color rgb="FF000000"/>
            <rFont val="Tahoma"/>
            <family val="2"/>
          </rPr>
          <t xml:space="preserve">
</t>
        </r>
        <r>
          <rPr>
            <sz val="9"/>
            <color rgb="FF000000"/>
            <rFont val="Tahoma"/>
            <family val="2"/>
          </rPr>
          <t xml:space="preserve">Enter troop starting Balance 5/1/20##
</t>
        </r>
      </text>
    </comment>
  </commentList>
</comments>
</file>

<file path=xl/sharedStrings.xml><?xml version="1.0" encoding="utf-8"?>
<sst xmlns="http://schemas.openxmlformats.org/spreadsheetml/2006/main" count="1846" uniqueCount="642">
  <si>
    <t>Updated 10/1/2023</t>
  </si>
  <si>
    <t xml:space="preserve">Thank you for using the Troop account Balancing Sheet. </t>
  </si>
  <si>
    <t xml:space="preserve"> This can be used to help you keep track of troop income, expenses and to complete your Troop Annual Report. </t>
  </si>
  <si>
    <t>The following Cells are locked and cannot be edited:</t>
  </si>
  <si>
    <t>BankTransactions Tab:</t>
  </si>
  <si>
    <t>Row 1-3 and Columns G &amp; I-V exception cell G4</t>
  </si>
  <si>
    <t xml:space="preserve">AR Summary Tab: </t>
  </si>
  <si>
    <t>Columns A-G, exception F4 &amp; F5 (user input numbers)</t>
  </si>
  <si>
    <t>Product Breakdown Tab:</t>
  </si>
  <si>
    <t>Column B-F &amp; I-M, exception cells highlighted yellow (user input numbers)</t>
  </si>
  <si>
    <t>Uses of Workbook</t>
  </si>
  <si>
    <t xml:space="preserve">There are multiple uses of this workbook.  </t>
  </si>
  <si>
    <t xml:space="preserve">1) </t>
  </si>
  <si>
    <t>Bank Transaction Tab is  simple balance sheet to keep track of troop account transactions</t>
  </si>
  <si>
    <t>2)</t>
  </si>
  <si>
    <t>Use the category column (H) to help identify how that transaction is calculated in the Annual Report</t>
  </si>
  <si>
    <t>3)</t>
  </si>
  <si>
    <t xml:space="preserve">Annual Report (AR) summary tab details automatically calculated based on categories. </t>
  </si>
  <si>
    <t>4)</t>
  </si>
  <si>
    <t xml:space="preserve">Product Breakdown Tab shows money that is accounted for that goes through the troop bank account. </t>
  </si>
  <si>
    <t>-</t>
  </si>
  <si>
    <t xml:space="preserve">Able to enter additional information for Accountability.  If minus money is it due to unsold items, parent debt, other? </t>
  </si>
  <si>
    <t>BankTransaction Tab Instructions</t>
  </si>
  <si>
    <t>Row 2 gives totals for each of the Columns which autofills AR Summary Column D</t>
  </si>
  <si>
    <t>Enter Starting Balance (May 1) on BankTransaction Tab Cell G4 (highlighted yellow)</t>
  </si>
  <si>
    <t>Enter information for each transaction in Columns A-F and Category in Column H</t>
  </si>
  <si>
    <t xml:space="preserve">- </t>
  </si>
  <si>
    <t>Column A : fill in who made transaction; signed check</t>
  </si>
  <si>
    <t>Column B: Date of transaction</t>
  </si>
  <si>
    <t>Column C: List who payment was made to</t>
  </si>
  <si>
    <t xml:space="preserve">Column D: provide breif description- what badge activitey, types of supplies which travel event, types of awards, ect. </t>
  </si>
  <si>
    <t>Column E &amp; F: deposits and withdrawal amounts</t>
  </si>
  <si>
    <t xml:space="preserve">Column H: Select category that transaction falls under.  Cookie deposits and withdrawals will all be categorized under cookies. </t>
  </si>
  <si>
    <t xml:space="preserve">Unable to split a transaction between categories.  Would have to create two transactions with money split for each category. </t>
  </si>
  <si>
    <t>AR Summary Tab</t>
  </si>
  <si>
    <t xml:space="preserve">All values are automatiaclly pulled into column D from the BankTransaction tab row 2 </t>
  </si>
  <si>
    <t>Enter Product: Troop Proceeds in AR Summary Tab cells F4 &amp; F5 (highlighted Yellow)- found in Fall product sales report* and SMART Cookie Sales Report</t>
  </si>
  <si>
    <t>Additional calculations are made based on Council recorded Fall product and Cookie Troop Proceeds</t>
  </si>
  <si>
    <t>Special note: For category "Fall Product" and "Cookies" on the transaction tab the total should be the same amount as on the product sales reports (AR Summary Tab cell F4 &amp; F5)</t>
  </si>
  <si>
    <t xml:space="preserve">If it is larger you have additionanl income - AR Summary Tab auto adjusts this to reflect what should be on the report listed as Other income.  </t>
  </si>
  <si>
    <t>If it is less your troop had to pay for cookies (or cc fees) and should be noted as cookie debit. AR Summary Tab auto adjusts this to reflect what should be on the report under expenses cookie debt, or other expenses for fall product. Will need to provide explaination on actual report.</t>
  </si>
  <si>
    <t xml:space="preserve">*Fall product proceeds may not match the Nut-E report depending if your troop earned the 10% bonus.  This is manually calculated by the product department. </t>
  </si>
  <si>
    <t>Product Breakdown</t>
  </si>
  <si>
    <t xml:space="preserve">Values are automatiaclly calculated or pulled into column C from the BankTransaction deposit and withdrawals based on category. </t>
  </si>
  <si>
    <t xml:space="preserve">Highlighted yellow cells  require user input. This will adjust for the amount of money that has not been accounted for. </t>
  </si>
  <si>
    <t xml:space="preserve">Reminder: all product money should be deposited into the troop account before being used by the troop. </t>
  </si>
  <si>
    <t xml:space="preserve">*Disclaimer: this tool ws created with intention to help other volunteers with their Troop Annual Report. If there is an error found in one of the formulas or you have recomendation please contact customercare@girlscouts-ssc.org and provide the cell and description of issue the information will be passed along.  It may be fixed for the following year report. </t>
  </si>
  <si>
    <t>to unlock the cells on protected sheets- all lowercase.</t>
  </si>
  <si>
    <t>gsannualreport</t>
  </si>
  <si>
    <t xml:space="preserve">Total Income = </t>
  </si>
  <si>
    <t xml:space="preserve">Total Expensens= </t>
  </si>
  <si>
    <t>Totals</t>
  </si>
  <si>
    <t>User/ check #</t>
  </si>
  <si>
    <t>Date</t>
  </si>
  <si>
    <t>Payable/Deposit</t>
  </si>
  <si>
    <t>Purchased/ Details</t>
  </si>
  <si>
    <t>Account Deposit Amount</t>
  </si>
  <si>
    <t>Account Withdrawl Amount</t>
  </si>
  <si>
    <t xml:space="preserve"> Account Balance</t>
  </si>
  <si>
    <t>Category</t>
  </si>
  <si>
    <t>Fall Product Money</t>
  </si>
  <si>
    <t>Cookie 
Money</t>
  </si>
  <si>
    <t xml:space="preserve">Additional Money Earning Activities </t>
  </si>
  <si>
    <t>Sponsorships</t>
  </si>
  <si>
    <t>Troop Dues</t>
  </si>
  <si>
    <t>Other Income</t>
  </si>
  <si>
    <t>Registration</t>
  </si>
  <si>
    <t>Insignia</t>
  </si>
  <si>
    <t>Activities/
Program</t>
  </si>
  <si>
    <t>Travel</t>
  </si>
  <si>
    <t>Parties 
Food &amp; Beverages</t>
  </si>
  <si>
    <t>Service Projects Donation</t>
  </si>
  <si>
    <t>Cookie 
Debt</t>
  </si>
  <si>
    <t>Other Expense</t>
  </si>
  <si>
    <t>May 2024 Starting Balance</t>
  </si>
  <si>
    <t>None</t>
  </si>
  <si>
    <t>Bank Balance Wkst : Defining Categories:</t>
  </si>
  <si>
    <t>Description</t>
  </si>
  <si>
    <t>Fall Product</t>
  </si>
  <si>
    <t>Any money deposited or withdrawn related to Fall product- includes ACH withdrawals/deposits from council, Troop money deposits</t>
  </si>
  <si>
    <t xml:space="preserve"> Cookies</t>
  </si>
  <si>
    <r>
      <t>Any money deposited or withdrawn related to direct Cookie Sales.  Includes Starting booth funds, money turned in by girls, ACH from Council, Money from 3</t>
    </r>
    <r>
      <rPr>
        <vertAlign val="superscript"/>
        <sz val="11"/>
        <color theme="1"/>
        <rFont val="Aptos"/>
        <family val="2"/>
        <charset val="1"/>
      </rPr>
      <t>rd</t>
    </r>
    <r>
      <rPr>
        <sz val="11"/>
        <color theme="1"/>
        <rFont val="Aptos"/>
        <family val="2"/>
        <charset val="1"/>
      </rPr>
      <t xml:space="preserve"> party apps related to cookies.  This is important to have show cookie discrepancy correctly on AR Summary Tab</t>
    </r>
  </si>
  <si>
    <t xml:space="preserve"> Additional Money Earning Activities</t>
  </si>
  <si>
    <t>Troops request permission from Council to host additional money Earning Activities Application for Troop Money Earning Project- this will include money made and withdrawals for materials or supplies related to the activity</t>
  </si>
  <si>
    <t xml:space="preserve"> Sponsorships</t>
  </si>
  <si>
    <t>This is for money that is donated to the troop from parents, New Troop Start up funds from Council, grants from organizations and deposited in troop account.  If sponsorship is over $250 then funds must go through Council first- see Donation to Troop form.</t>
  </si>
  <si>
    <t xml:space="preserve"> Troop Dues</t>
  </si>
  <si>
    <t>This is money collected from Families on behalf of a girl for the troop to purchase supplies, badges, materials,</t>
  </si>
  <si>
    <t xml:space="preserve"> Other Income</t>
  </si>
  <si>
    <t>Examples of Additional income that the troop has received,</t>
  </si>
  <si>
    <r>
      <t>-</t>
    </r>
    <r>
      <rPr>
        <sz val="7"/>
        <color theme="1"/>
        <rFont val="Times New Roman"/>
        <family val="1"/>
      </rPr>
      <t xml:space="preserve">            </t>
    </r>
    <r>
      <rPr>
        <sz val="11"/>
        <color theme="1"/>
        <rFont val="Aptos"/>
        <family val="2"/>
        <charset val="1"/>
      </rPr>
      <t>Money deposited from last year cookie sales,</t>
    </r>
  </si>
  <si>
    <r>
      <t>-</t>
    </r>
    <r>
      <rPr>
        <sz val="7"/>
        <color theme="1"/>
        <rFont val="Times New Roman"/>
        <family val="1"/>
      </rPr>
      <t xml:space="preserve">            </t>
    </r>
    <r>
      <rPr>
        <sz val="11"/>
        <color theme="1"/>
        <rFont val="Aptos"/>
        <family val="2"/>
        <charset val="1"/>
      </rPr>
      <t>Refund money from last year</t>
    </r>
  </si>
  <si>
    <r>
      <t>-</t>
    </r>
    <r>
      <rPr>
        <sz val="7"/>
        <color theme="1"/>
        <rFont val="Times New Roman"/>
        <family val="1"/>
      </rPr>
      <t xml:space="preserve">            </t>
    </r>
    <r>
      <rPr>
        <sz val="11"/>
        <color theme="1"/>
        <rFont val="Aptos"/>
        <family val="2"/>
        <charset val="1"/>
      </rPr>
      <t>Additional money collected above product net proceeds listed</t>
    </r>
  </si>
  <si>
    <t>Membership Registration</t>
  </si>
  <si>
    <t>This is money that the troop paid out to renew or register girls and adults directly to Girl Scouts.  If the troop receives payment form families or reimbursement from Program Credits from council for registration that should be listed as membership registration</t>
  </si>
  <si>
    <t xml:space="preserve"> Insignia</t>
  </si>
  <si>
    <t>Badges, Pins, Awards, Patches anything that girls/adults receive to go on their vests.</t>
  </si>
  <si>
    <t xml:space="preserve"> Troop Activities and Programming</t>
  </si>
  <si>
    <t xml:space="preserve"> Event costs and Program material and supplies for girls to have a Girl Scout Experience.  Can include, books, project materials, cost of attendance for Girl Scout or Troop events for girls/adults.  This may include some camping/overnight costs,</t>
  </si>
  <si>
    <t xml:space="preserve"> Troop Travel</t>
  </si>
  <si>
    <t>Costs associated with Travel/overnight  event that require Traveling with Your Girl Scout to be submitted. Example Gas to transport troop for travel, Airline tickets, hotel costs, insurance, car rental,  Special event/activity cost  or eating out associated with travel event,</t>
  </si>
  <si>
    <t xml:space="preserve"> Parties, Food and Beverages</t>
  </si>
  <si>
    <t>Costs related to Celebrations the girls have-example End of Year Party, cost of fun activities (Wahooz, or supplies from Zurchers).  Troop Snacks</t>
  </si>
  <si>
    <t xml:space="preserve"> Service Projects and Donations</t>
  </si>
  <si>
    <t>This is for supplies and materials that were purchased as part of a service project.  Examples- Food for Donation to homeless shelter,  materials to make blankets for dogs. Read over Philanthropic Uses of Product Proceeds</t>
  </si>
  <si>
    <t xml:space="preserve"> Cookie Debt</t>
  </si>
  <si>
    <t>This is money that troop had to pay towards cookies for the current cookie program year. Usually after donations have been applied to unsold cookies or troop credit card fees.  This is not a line item on bank statements but must be calculated- see Special Note</t>
  </si>
  <si>
    <t xml:space="preserve"> Other Expense</t>
  </si>
  <si>
    <t>Examples of Expenses that don’t fall under above categories,</t>
  </si>
  <si>
    <r>
      <t>-</t>
    </r>
    <r>
      <rPr>
        <sz val="7"/>
        <color theme="1"/>
        <rFont val="Times New Roman"/>
        <family val="1"/>
      </rPr>
      <t xml:space="preserve">            </t>
    </r>
    <r>
      <rPr>
        <sz val="11"/>
        <color theme="1"/>
        <rFont val="Aptos"/>
        <family val="2"/>
        <charset val="1"/>
      </rPr>
      <t>Postage                                            - Bank Fees                                             -Tokens of Appreciation</t>
    </r>
  </si>
  <si>
    <r>
      <t>-</t>
    </r>
    <r>
      <rPr>
        <sz val="7"/>
        <color theme="1"/>
        <rFont val="Times New Roman"/>
        <family val="1"/>
      </rPr>
      <t xml:space="preserve">            </t>
    </r>
    <r>
      <rPr>
        <sz val="11"/>
        <color theme="1"/>
        <rFont val="Aptos"/>
        <family val="2"/>
        <charset val="1"/>
      </rPr>
      <t xml:space="preserve"> leader training,                            - Cookie Storage Unit                          - Plan 2 Insurance for event</t>
    </r>
  </si>
  <si>
    <r>
      <t>-</t>
    </r>
    <r>
      <rPr>
        <sz val="7"/>
        <color theme="1"/>
        <rFont val="Times New Roman"/>
        <family val="1"/>
      </rPr>
      <t xml:space="preserve">            </t>
    </r>
    <r>
      <rPr>
        <sz val="11"/>
        <color theme="1"/>
        <rFont val="Aptos"/>
        <family val="2"/>
        <charset val="1"/>
      </rPr>
      <t>Reservation of Fire pit at location</t>
    </r>
  </si>
  <si>
    <r>
      <t>-</t>
    </r>
    <r>
      <rPr>
        <sz val="7"/>
        <color theme="1"/>
        <rFont val="Times New Roman"/>
        <family val="1"/>
      </rPr>
      <t xml:space="preserve">            </t>
    </r>
    <r>
      <rPr>
        <sz val="11"/>
        <color theme="1"/>
        <rFont val="Aptos"/>
        <family val="2"/>
        <charset val="1"/>
      </rPr>
      <t>Gas related to Girl Scout activity that is not specific to Troop Travel</t>
    </r>
  </si>
  <si>
    <t> </t>
  </si>
  <si>
    <t>Special Note Regarding Product Sales:</t>
  </si>
  <si>
    <t>Calculate overall Product Sales additional income or debt</t>
  </si>
  <si>
    <t xml:space="preserve">0 : Numbers match,  </t>
  </si>
  <si>
    <t>Positive: Amount needs to be entered as Income Other (line 6),</t>
  </si>
  <si>
    <r>
      <t xml:space="preserve"> </t>
    </r>
    <r>
      <rPr>
        <sz val="11"/>
        <color rgb="FFFF0000"/>
        <rFont val="Aptos"/>
        <family val="2"/>
        <charset val="1"/>
      </rPr>
      <t>Negative: Amount needs to be entered as Expense Cookie Debt or other (line 7 or 8)</t>
    </r>
  </si>
  <si>
    <t>Examples of how to categorize</t>
  </si>
  <si>
    <t>Bank Transaction Tab Summary for AR</t>
  </si>
  <si>
    <t>2025</t>
  </si>
  <si>
    <t>Help you calculate totals for your Troops Annual Report which must be submitted through the Volunteer Toolkit. Does not replace requirement for providing official banking statements. Column D &amp; F pulls numbers from BankTransaction tab. Fill in Yellow highlighted areas</t>
  </si>
  <si>
    <t>Statement Begining Balance May 1</t>
  </si>
  <si>
    <t>Statement Ending Balance April 30</t>
  </si>
  <si>
    <t>Fall Product Net Troop Proceeds</t>
  </si>
  <si>
    <t>Cookie Program Net Troop Proceeds</t>
  </si>
  <si>
    <r>
      <t xml:space="preserve">Totals from Statements </t>
    </r>
    <r>
      <rPr>
        <sz val="8"/>
        <color theme="1"/>
        <rFont val="Calibri"/>
        <family val="2"/>
        <scheme val="minor"/>
      </rPr>
      <t>(BankTransaction Tab)</t>
    </r>
  </si>
  <si>
    <t>AR Report Values</t>
  </si>
  <si>
    <t xml:space="preserve">Deposited Troop 
Fall Product Proceeds = </t>
  </si>
  <si>
    <t>&lt;-- Council reported Troop Fall product Proceeds</t>
  </si>
  <si>
    <t xml:space="preserve">Deposited Troop 
Cookie Proceeds = </t>
  </si>
  <si>
    <t>Cookies</t>
  </si>
  <si>
    <t>&lt;-- Council reported Troop Cookie Proceeds</t>
  </si>
  <si>
    <t>='AR Summary'!D9!AE4</t>
  </si>
  <si>
    <t>Other Notes</t>
  </si>
  <si>
    <t>Activities/Program</t>
  </si>
  <si>
    <t>Parties food &amp; beverages</t>
  </si>
  <si>
    <t>Cookie Debt</t>
  </si>
  <si>
    <t>Other Expenses</t>
  </si>
  <si>
    <t>Starting Balance</t>
  </si>
  <si>
    <t>Total Income</t>
  </si>
  <si>
    <t>Total Expense</t>
  </si>
  <si>
    <t>Ending Balance</t>
  </si>
  <si>
    <t>Is the Ending Balance the same as the statement Balance?</t>
  </si>
  <si>
    <t>Total Fall Product Money Deposited</t>
  </si>
  <si>
    <t>Total Fall Product Money Withdrawal</t>
  </si>
  <si>
    <t>Troop FP Proceeds Deposited</t>
  </si>
  <si>
    <t>=FP Discrepancy</t>
  </si>
  <si>
    <t>Total Cookie Money Deposited</t>
  </si>
  <si>
    <t>Total Cookie Money Withdrawal</t>
  </si>
  <si>
    <t xml:space="preserve"> Troop Cookie Proceeds Deposited</t>
  </si>
  <si>
    <t>=Cookie Discrepancy</t>
  </si>
  <si>
    <t>Cookie $$ Breakdown- Based on Statements</t>
  </si>
  <si>
    <t>Fall Product $$ Breakdown- Based on Statements</t>
  </si>
  <si>
    <t>Total Cookie Money Deposited
into Troop Account</t>
  </si>
  <si>
    <t>Total Fall Product Money Deposited
into Troop Account</t>
  </si>
  <si>
    <t xml:space="preserve">Total Cookie Money Withdrawal 
from Troop Account </t>
  </si>
  <si>
    <t xml:space="preserve">Total Fall Product Money Withdrawal 
from Troop Account </t>
  </si>
  <si>
    <r>
      <t xml:space="preserve">Money still owed to Council </t>
    </r>
    <r>
      <rPr>
        <sz val="6"/>
        <rFont val="Calibri"/>
        <family val="2"/>
        <scheme val="minor"/>
      </rPr>
      <t>(troops have to pay council before they earn proceeds)</t>
    </r>
  </si>
  <si>
    <t>Outstanding Withdrawals</t>
  </si>
  <si>
    <t>Money still owed to Council</t>
  </si>
  <si>
    <t>=</t>
  </si>
  <si>
    <t>Troop Deposited Cookie Proceeds</t>
  </si>
  <si>
    <t>Troop Deposited Earned Proceeds</t>
  </si>
  <si>
    <t>Council Noted Earned Troop Proceeds Cookie
(Income Line 2 AR)</t>
  </si>
  <si>
    <t>Council Noted Troop Proceeds Fall Product
(Income Line 1 AR)</t>
  </si>
  <si>
    <t xml:space="preserve">Difference between deposited Troop Cookie Money and Council stated Net Proceeds: </t>
  </si>
  <si>
    <t xml:space="preserve">Difference between deposited Troop Fall Product Money and Council stated Net Proceeds: </t>
  </si>
  <si>
    <t>Accounability</t>
  </si>
  <si>
    <t>+</t>
  </si>
  <si>
    <t>Money on hand still needs to be deposited into troop account</t>
  </si>
  <si>
    <t xml:space="preserve">Outstanding Deposits
</t>
  </si>
  <si>
    <t>Funds Accounted for</t>
  </si>
  <si>
    <t>Money parents owe</t>
  </si>
  <si>
    <t>Credit Card Fees (troop pays this cost)</t>
  </si>
  <si>
    <t>Money Council Owes to Troop</t>
  </si>
  <si>
    <t>Unsold Cookie Cost boxes = 
(troop pays this cost)</t>
  </si>
  <si>
    <t>Money accounted for</t>
  </si>
  <si>
    <t>THIS IS EXAMPLE to show how things are inputted. And formulas</t>
  </si>
  <si>
    <t>Total Balance</t>
  </si>
  <si>
    <t>User</t>
  </si>
  <si>
    <t>Purchased</t>
  </si>
  <si>
    <t>Total Troop Account</t>
  </si>
  <si>
    <t>CODE</t>
  </si>
  <si>
    <t>(1)
Fall Product</t>
  </si>
  <si>
    <t>(2)
Cookies</t>
  </si>
  <si>
    <t xml:space="preserve">(3)
Additional Money Earning Activities </t>
  </si>
  <si>
    <t>(4)
Donation/Sponserships</t>
  </si>
  <si>
    <t>(5)
Troop Dues</t>
  </si>
  <si>
    <t>(6) 
Other</t>
  </si>
  <si>
    <t>(11)
Registration</t>
  </si>
  <si>
    <t>(12)
Insignia</t>
  </si>
  <si>
    <t>(13)
Activites/Program</t>
  </si>
  <si>
    <t>(14)
Travel</t>
  </si>
  <si>
    <t>(15)
Parties food &amp; beverages</t>
  </si>
  <si>
    <t>(16)
Service Projects Donation</t>
  </si>
  <si>
    <t>(17)
Cookie Debt</t>
  </si>
  <si>
    <t>(18)
Other</t>
  </si>
  <si>
    <t>May 2022 Starting Balance</t>
  </si>
  <si>
    <t>Debt- Kate</t>
  </si>
  <si>
    <t>GSSSC</t>
  </si>
  <si>
    <t>Girl Bridging kits</t>
  </si>
  <si>
    <t>debit-Kate</t>
  </si>
  <si>
    <t>Boise Zoo</t>
  </si>
  <si>
    <t>6 girl tickets+ 2 adult Tickets</t>
  </si>
  <si>
    <t>Debit Jill</t>
  </si>
  <si>
    <t>Cheveron</t>
  </si>
  <si>
    <t>Gas to zoo</t>
  </si>
  <si>
    <t>Dep-Kate</t>
  </si>
  <si>
    <t xml:space="preserve">Deposit - </t>
  </si>
  <si>
    <t>Troop Dues: Sylvia, Danny, Mary Jo</t>
  </si>
  <si>
    <t>Debit-Jill</t>
  </si>
  <si>
    <t>3 Petal Packets &amp; 3 Wkshop registration - art outdoors</t>
  </si>
  <si>
    <t>Joan</t>
  </si>
  <si>
    <t xml:space="preserve">Depsite Cookie Money </t>
  </si>
  <si>
    <t>Cookie $$- Sarah</t>
  </si>
  <si>
    <t xml:space="preserve">Deposit </t>
  </si>
  <si>
    <t>Cookie $$- Booth</t>
  </si>
  <si>
    <t>ACH</t>
  </si>
  <si>
    <t>Deposit- Paypal Here</t>
  </si>
  <si>
    <t>Paypal Here- Cookie Money</t>
  </si>
  <si>
    <t>ACH GSSSC</t>
  </si>
  <si>
    <t>Cookie $$- ACH 1, 2, 3 owed council</t>
  </si>
  <si>
    <t>Debit-Kate</t>
  </si>
  <si>
    <t>Pizza Hut</t>
  </si>
  <si>
    <t>End of Year</t>
  </si>
  <si>
    <t>Debit -Kate</t>
  </si>
  <si>
    <t>Hobby Lobby</t>
  </si>
  <si>
    <t>End of Year service project- Blanket materials</t>
  </si>
  <si>
    <t>Jill</t>
  </si>
  <si>
    <t>GSUSA</t>
  </si>
  <si>
    <t>Renewal Registration-3 girls+2 adults</t>
  </si>
  <si>
    <t>(1)
Fall Product Money</t>
  </si>
  <si>
    <t>(2)
Cookie Money</t>
  </si>
  <si>
    <t>(4)
Sponsorships</t>
  </si>
  <si>
    <t>(13)
Activities/
Program</t>
  </si>
  <si>
    <t>June 2022 Starting Balance</t>
  </si>
  <si>
    <t>Credit</t>
  </si>
  <si>
    <t>Deposit GSSSC</t>
  </si>
  <si>
    <t>Amelia CD Registration40</t>
  </si>
  <si>
    <t>Debit</t>
  </si>
  <si>
    <t>Fred Meyers</t>
  </si>
  <si>
    <t>Wal-Mart</t>
  </si>
  <si>
    <t>Costco</t>
  </si>
  <si>
    <t>Jubilation Camp Food</t>
  </si>
  <si>
    <t>JoAnn's</t>
  </si>
  <si>
    <t>Jubilation Flag items</t>
  </si>
  <si>
    <t>Winco Foods</t>
  </si>
  <si>
    <t>Camping needs</t>
  </si>
  <si>
    <t>Shoshone Falls</t>
  </si>
  <si>
    <t>Visit Park</t>
  </si>
  <si>
    <t>Little Ceasar's</t>
  </si>
  <si>
    <t>Travel Lunch</t>
  </si>
  <si>
    <t>Albertson's</t>
  </si>
  <si>
    <t>Food-Breakfast</t>
  </si>
  <si>
    <t>Gas -Eryn</t>
  </si>
  <si>
    <t>Gas-Lee</t>
  </si>
  <si>
    <t>Gas -Esther</t>
  </si>
  <si>
    <t>Gas - Ryan</t>
  </si>
  <si>
    <t>Gas - Esther</t>
  </si>
  <si>
    <t>Gas - Eryn</t>
  </si>
  <si>
    <t>Gas - Katie</t>
  </si>
  <si>
    <t>Prize for Cookies</t>
  </si>
  <si>
    <t>Subway</t>
  </si>
  <si>
    <t>Lunch Adults Outing</t>
  </si>
  <si>
    <t>Etsy</t>
  </si>
  <si>
    <t>Cookie Certificate</t>
  </si>
  <si>
    <t>Dollar Tree</t>
  </si>
  <si>
    <t>Prize Bags for Cookies</t>
  </si>
  <si>
    <t>Cookie Prizes</t>
  </si>
  <si>
    <t>Deposit SU</t>
  </si>
  <si>
    <t>Escape Room Patches31.80</t>
  </si>
  <si>
    <t>Miley over pay returned cookie dough 50</t>
  </si>
  <si>
    <t>Donation</t>
  </si>
  <si>
    <t>From Lee7.94</t>
  </si>
  <si>
    <t>Deposit</t>
  </si>
  <si>
    <t>Roaring Springs extra tickets for family216.18</t>
  </si>
  <si>
    <t>Roaring Springs</t>
  </si>
  <si>
    <t>Troop Outing</t>
  </si>
  <si>
    <t>Ink/Certificates</t>
  </si>
  <si>
    <t>GS USA</t>
  </si>
  <si>
    <t>6 Adult Registration</t>
  </si>
  <si>
    <t>Sarah GS Event</t>
  </si>
  <si>
    <t>Bri GS Event</t>
  </si>
  <si>
    <t>Escape Room</t>
  </si>
  <si>
    <t>Refund Insignia</t>
  </si>
  <si>
    <t>Jubilation</t>
  </si>
  <si>
    <t>Adults Fee X5</t>
  </si>
  <si>
    <t>DocNetwork</t>
  </si>
  <si>
    <t>Ziplining</t>
  </si>
  <si>
    <t>Rafting</t>
  </si>
  <si>
    <t>Fire Arms</t>
  </si>
  <si>
    <t>High Ropes</t>
  </si>
  <si>
    <t>Stem</t>
  </si>
  <si>
    <t>Axe Throwing</t>
  </si>
  <si>
    <t>Paypal</t>
  </si>
  <si>
    <t>Jubilation Payment</t>
  </si>
  <si>
    <t>Check 264</t>
  </si>
  <si>
    <t>Service Unit 29</t>
  </si>
  <si>
    <t>Check</t>
  </si>
  <si>
    <t>Silver Creek Plunge</t>
  </si>
  <si>
    <t>Travel Treats</t>
  </si>
  <si>
    <t>Gas</t>
  </si>
  <si>
    <t>Tent, Cooler</t>
  </si>
  <si>
    <t>Winco Food</t>
  </si>
  <si>
    <t>Cadette Camp Food</t>
  </si>
  <si>
    <t>Cadette Ice</t>
  </si>
  <si>
    <t>Applebee's</t>
  </si>
  <si>
    <t>Cadette Dinner</t>
  </si>
  <si>
    <t>Cadette Camp</t>
  </si>
  <si>
    <t>Jossy Camps100</t>
  </si>
  <si>
    <t>Jubilation/program</t>
  </si>
  <si>
    <t>Blankets Juniors</t>
  </si>
  <si>
    <t>Home Depot</t>
  </si>
  <si>
    <t>foam camp buckets</t>
  </si>
  <si>
    <t>duct tape</t>
  </si>
  <si>
    <t>Amazon.com</t>
  </si>
  <si>
    <t>Bandanas Jubilation</t>
  </si>
  <si>
    <t>Cricket film for bandanas</t>
  </si>
  <si>
    <t>July  2022 Starting Balance</t>
  </si>
  <si>
    <t>Check 268</t>
  </si>
  <si>
    <t>Esther Krone</t>
  </si>
  <si>
    <t>Jubilation Items</t>
  </si>
  <si>
    <t>Deposit Parent Payments</t>
  </si>
  <si>
    <t>Roaring Springs468.46</t>
  </si>
  <si>
    <t>Check 89</t>
  </si>
  <si>
    <t>Stan Adona</t>
  </si>
  <si>
    <t>2 Tents from Costco</t>
  </si>
  <si>
    <t>Check 90</t>
  </si>
  <si>
    <t>Alison Adona</t>
  </si>
  <si>
    <t>Plan 2 $5 and Insignia</t>
  </si>
  <si>
    <t>Check 91</t>
  </si>
  <si>
    <t>reimburse Roaring Springs</t>
  </si>
  <si>
    <t>Check 92</t>
  </si>
  <si>
    <t>Ryanna Krause</t>
  </si>
  <si>
    <t>Bucket - Duct Tape</t>
  </si>
  <si>
    <t>Check 93</t>
  </si>
  <si>
    <t>Bucket - Home Depot</t>
  </si>
  <si>
    <t>Aug 2022 Starting Balance</t>
  </si>
  <si>
    <t>Check 269</t>
  </si>
  <si>
    <t>Bronze Award Bears from Amazon</t>
  </si>
  <si>
    <t>Fred Meyer</t>
  </si>
  <si>
    <t>Ink</t>
  </si>
  <si>
    <t xml:space="preserve">Deposit from Council </t>
  </si>
  <si>
    <t>Disbandment Check Mieka</t>
  </si>
  <si>
    <t>Wahooz</t>
  </si>
  <si>
    <t>Journey In A Day</t>
  </si>
  <si>
    <t>Program JIAD</t>
  </si>
  <si>
    <t>Jimmy John's</t>
  </si>
  <si>
    <t>Check 261</t>
  </si>
  <si>
    <t>Ryan Dahl</t>
  </si>
  <si>
    <t>Cookie Refund Last Year</t>
  </si>
  <si>
    <t>ID Parks and Rec</t>
  </si>
  <si>
    <t>BSDunes Shelter Reservation</t>
  </si>
  <si>
    <t>Target</t>
  </si>
  <si>
    <t>JIAD Returns77.27</t>
  </si>
  <si>
    <t>Check 97</t>
  </si>
  <si>
    <t xml:space="preserve">Ryan Dahl </t>
  </si>
  <si>
    <t>Reimburse Rollerskating</t>
  </si>
  <si>
    <t>BSDunes Plates</t>
  </si>
  <si>
    <t>Food BSDunes</t>
  </si>
  <si>
    <t>Walmart</t>
  </si>
  <si>
    <t>Bruno Sand Dunes</t>
  </si>
  <si>
    <t>Water for BSDunes</t>
  </si>
  <si>
    <t>Maverik</t>
  </si>
  <si>
    <t>Gas Trip</t>
  </si>
  <si>
    <t>Sleds</t>
  </si>
  <si>
    <t>Park Day Passes</t>
  </si>
  <si>
    <t>Observatory</t>
  </si>
  <si>
    <t>Bridging gifts</t>
  </si>
  <si>
    <t>Michael's</t>
  </si>
  <si>
    <t>Certificate Paper</t>
  </si>
  <si>
    <t>Thank you's Leaders</t>
  </si>
  <si>
    <t>Food-Bridging</t>
  </si>
  <si>
    <t>Little Caesars</t>
  </si>
  <si>
    <t>Food error</t>
  </si>
  <si>
    <t>Insignia Returns29.68</t>
  </si>
  <si>
    <t>Insignia Returns59.36</t>
  </si>
  <si>
    <t>Insignia Returns7.31</t>
  </si>
  <si>
    <t>Insignia Returns3.71</t>
  </si>
  <si>
    <t>Insignia Returns8.48</t>
  </si>
  <si>
    <t>Insignia Returns11.13</t>
  </si>
  <si>
    <t>Insignia Returns9.54</t>
  </si>
  <si>
    <t>Oct  2022 Starting Balance</t>
  </si>
  <si>
    <t>Bridging Certificates</t>
  </si>
  <si>
    <t>Registration- Belinda</t>
  </si>
  <si>
    <t>Reimbursed troop</t>
  </si>
  <si>
    <t>Insignia Return</t>
  </si>
  <si>
    <t>Error Correction</t>
  </si>
  <si>
    <t>Alison from 9/29 fixed</t>
  </si>
  <si>
    <t xml:space="preserve">Registration </t>
  </si>
  <si>
    <t>Belinda</t>
  </si>
  <si>
    <t xml:space="preserve">SU Roller Skating </t>
  </si>
  <si>
    <t>Maddie/Adddie</t>
  </si>
  <si>
    <t>Check 98</t>
  </si>
  <si>
    <t>Eryn Rand</t>
  </si>
  <si>
    <t xml:space="preserve">JIAD </t>
  </si>
  <si>
    <t>Kestrel</t>
  </si>
  <si>
    <t>SU Rollerskating</t>
  </si>
  <si>
    <t>Check 94</t>
  </si>
  <si>
    <t>Desiree Dunn</t>
  </si>
  <si>
    <t>Reimburse RollerSkating</t>
  </si>
  <si>
    <t>Check 99</t>
  </si>
  <si>
    <t>Christmas Parade</t>
  </si>
  <si>
    <t>Bri Donation</t>
  </si>
  <si>
    <t>Family Dollar</t>
  </si>
  <si>
    <t>Treats</t>
  </si>
  <si>
    <t>Little Caesar's</t>
  </si>
  <si>
    <t>Check 271</t>
  </si>
  <si>
    <t>SU 29</t>
  </si>
  <si>
    <t>RollerSkating</t>
  </si>
  <si>
    <t>Tent exchange</t>
  </si>
  <si>
    <t>Junior Program</t>
  </si>
  <si>
    <t>Returns- Junior Program</t>
  </si>
  <si>
    <t>Nov  2022 Starting Balance</t>
  </si>
  <si>
    <t>Lakeshore Learning Materials</t>
  </si>
  <si>
    <t>Paper for Festival of Trees</t>
  </si>
  <si>
    <t>Lowe's</t>
  </si>
  <si>
    <t>Festival of Trees</t>
  </si>
  <si>
    <t>Check 101</t>
  </si>
  <si>
    <t>Bridging Balloons</t>
  </si>
  <si>
    <t>Popcorn handouts for Parade</t>
  </si>
  <si>
    <t>Dec 2022 Starting Balance</t>
  </si>
  <si>
    <t>Staples</t>
  </si>
  <si>
    <t>Rubberbands</t>
  </si>
  <si>
    <t>Food for Parade</t>
  </si>
  <si>
    <t>WinCo Foods</t>
  </si>
  <si>
    <t>Napkins/Plates</t>
  </si>
  <si>
    <t>Reimbursed Program  Credits from council</t>
  </si>
  <si>
    <t>JIAD</t>
  </si>
  <si>
    <t>Check 102</t>
  </si>
  <si>
    <t>Stephanie Hopkins</t>
  </si>
  <si>
    <t>Festival of Trees S/A</t>
  </si>
  <si>
    <t>Check 105</t>
  </si>
  <si>
    <t>Grace Episcopal Meeting Room</t>
  </si>
  <si>
    <t>Meeting place</t>
  </si>
  <si>
    <t>Christmas Party Prizes/Cards</t>
  </si>
  <si>
    <t>Party Food</t>
  </si>
  <si>
    <t>Christmas Party Cling Wrap/Candy</t>
  </si>
  <si>
    <t>2 Gift Cards for prize ball</t>
  </si>
  <si>
    <t xml:space="preserve">Labyrinth </t>
  </si>
  <si>
    <t xml:space="preserve">Escape Room </t>
  </si>
  <si>
    <t>Check 107</t>
  </si>
  <si>
    <t>Christmas Party Drinks</t>
  </si>
  <si>
    <t>Check 106</t>
  </si>
  <si>
    <t>First Christian Church</t>
  </si>
  <si>
    <t>Meeting Rooms for JIAD</t>
  </si>
  <si>
    <t>Jan 2023 Starting Balance</t>
  </si>
  <si>
    <t>Gift Bags</t>
  </si>
  <si>
    <t>Snowshoeing</t>
  </si>
  <si>
    <t>ACH Fall Product</t>
  </si>
  <si>
    <t>Payment</t>
  </si>
  <si>
    <t>Labyrinth</t>
  </si>
  <si>
    <t>Sonya Ramos</t>
  </si>
  <si>
    <t>Reimburse Roller Skating</t>
  </si>
  <si>
    <t>Girl Scouts Of The Usa</t>
  </si>
  <si>
    <t>Registration - Elizabeth</t>
  </si>
  <si>
    <t>Feb  2023 Starting Balance</t>
  </si>
  <si>
    <t>?</t>
  </si>
  <si>
    <t>GSSSC refund</t>
  </si>
  <si>
    <t xml:space="preserve">snowshoeing </t>
  </si>
  <si>
    <t>Deposit for participants</t>
  </si>
  <si>
    <t>Check 108</t>
  </si>
  <si>
    <t xml:space="preserve">Refund Donna Davis </t>
  </si>
  <si>
    <t>Withdrawl for Booths</t>
  </si>
  <si>
    <t>cash start</t>
  </si>
  <si>
    <t>Registation payment</t>
  </si>
  <si>
    <t>Square Deposit</t>
  </si>
  <si>
    <t>Fred Meyer Fuel Center</t>
  </si>
  <si>
    <t>Flyer Dancer</t>
  </si>
  <si>
    <t>Mar 2023 Starting Balance</t>
  </si>
  <si>
    <t xml:space="preserve">Donation </t>
  </si>
  <si>
    <t>see below</t>
  </si>
  <si>
    <t xml:space="preserve">Transfer to fix </t>
  </si>
  <si>
    <t>Error for Little Caesar's</t>
  </si>
  <si>
    <t>Cookies Venmo</t>
  </si>
  <si>
    <t>Aunica Cookies</t>
  </si>
  <si>
    <t>Check 100</t>
  </si>
  <si>
    <t>Healing Hooves Deposit</t>
  </si>
  <si>
    <t>Paige Cookies</t>
  </si>
  <si>
    <t>Bridging Gifts</t>
  </si>
  <si>
    <t>Deposit Returning  Booth</t>
  </si>
  <si>
    <t>Start Cash</t>
  </si>
  <si>
    <t>Column1</t>
  </si>
  <si>
    <t>Apr  2023 Starting Balance</t>
  </si>
  <si>
    <t>ACH GSSSCCookies</t>
  </si>
  <si>
    <t>Cold Stone Creamery</t>
  </si>
  <si>
    <t>GC for Bronze reAward and Leader Appreciation</t>
  </si>
  <si>
    <t>=IF([@CODE]=13, [ @[Account Deposit Amount] ]-[ @[Account Withdrawl Amount] ], )</t>
  </si>
  <si>
    <t>Leader Registration</t>
  </si>
  <si>
    <t>Insignia?</t>
  </si>
  <si>
    <t>Nampa Recreation Center</t>
  </si>
  <si>
    <t>Babysitting Course (2)</t>
  </si>
  <si>
    <t>Silverwood Theme Park</t>
  </si>
  <si>
    <t>Bri's Cookies</t>
  </si>
  <si>
    <t xml:space="preserve">Square </t>
  </si>
  <si>
    <t>2022-2023</t>
  </si>
  <si>
    <t>(1)Fall Product</t>
  </si>
  <si>
    <t>May</t>
  </si>
  <si>
    <t>June</t>
  </si>
  <si>
    <t>July</t>
  </si>
  <si>
    <t>August</t>
  </si>
  <si>
    <t>September</t>
  </si>
  <si>
    <t>October</t>
  </si>
  <si>
    <t>November</t>
  </si>
  <si>
    <t>December</t>
  </si>
  <si>
    <t>January</t>
  </si>
  <si>
    <t>February</t>
  </si>
  <si>
    <t>March</t>
  </si>
  <si>
    <t>April</t>
  </si>
  <si>
    <t>Help you calculate totals for your Troops Annual Report which must be submitted through the Volunteer Toolkit. Does not replace requirement for providing official banking statements. Column D &amp; F pulls numbers from BankTransaction tab. Fill in Yellow highlighted area</t>
  </si>
  <si>
    <t>(13)
Activities/Program</t>
  </si>
  <si>
    <t>JL</t>
  </si>
  <si>
    <t>Girl Scouts Silver Sage</t>
  </si>
  <si>
    <t>Badges/Patches</t>
  </si>
  <si>
    <t>Amazon</t>
  </si>
  <si>
    <t>Beads for SWAPS for Jubliation</t>
  </si>
  <si>
    <t>Girl Scouts of USA</t>
  </si>
  <si>
    <t>Photo Sheets for Bronze Project</t>
  </si>
  <si>
    <t>Lollipop for community project</t>
  </si>
  <si>
    <t>Cookie 2024 Donaton</t>
  </si>
  <si>
    <t>Girl Scouts of Silver Sage</t>
  </si>
  <si>
    <t>USPS</t>
  </si>
  <si>
    <t>mail cookie dough</t>
  </si>
  <si>
    <t>Advantage Archery</t>
  </si>
  <si>
    <t>Cadette Achery Badge</t>
  </si>
  <si>
    <t>Copy-it</t>
  </si>
  <si>
    <t>Photo prints for Bronze</t>
  </si>
  <si>
    <t>End of the year celebration</t>
  </si>
  <si>
    <t>Parties Food &amp; Beverages</t>
  </si>
  <si>
    <t>Refund for photo sleeve</t>
  </si>
  <si>
    <t>mail room</t>
  </si>
  <si>
    <t>Jublitation Reimbursement parent paid</t>
  </si>
  <si>
    <t>Reimbursement roaring springs</t>
  </si>
  <si>
    <t>Thank you cards</t>
  </si>
  <si>
    <t>Girl Scouts USA</t>
  </si>
  <si>
    <t>membership Juliette</t>
  </si>
  <si>
    <t>withdrawl</t>
  </si>
  <si>
    <t>straw bales for parade float</t>
  </si>
  <si>
    <t>organizer box for badges</t>
  </si>
  <si>
    <t>registeration</t>
  </si>
  <si>
    <t>Swensen</t>
  </si>
  <si>
    <t>Jubliation food for scouts</t>
  </si>
  <si>
    <t>Grovers Supply</t>
  </si>
  <si>
    <t>Parade Supplies PVC</t>
  </si>
  <si>
    <t>Food Jubliation</t>
  </si>
  <si>
    <t>Girl Scout Silver Sage</t>
  </si>
  <si>
    <t>Smith's Food</t>
  </si>
  <si>
    <t>Food for Jubliation</t>
  </si>
  <si>
    <t>Shade Canopy for Jublation</t>
  </si>
  <si>
    <t>Depoist Reimbursement</t>
  </si>
  <si>
    <t>Troop Reward for cookie sales</t>
  </si>
  <si>
    <t>Pictures for Juniior Bronze</t>
  </si>
  <si>
    <t>Deposit Reimbursement</t>
  </si>
  <si>
    <t>Walamrt</t>
  </si>
  <si>
    <t>Swensen's</t>
  </si>
  <si>
    <t>Hamburgers for troop Camp out</t>
  </si>
  <si>
    <t>Fun Patch</t>
  </si>
  <si>
    <t>Oylpmics patches</t>
  </si>
  <si>
    <t>Parent Volunteer Membership</t>
  </si>
  <si>
    <t>Girls Scouts of USA</t>
  </si>
  <si>
    <t>Materials for bridging</t>
  </si>
  <si>
    <t>Brownie insigna</t>
  </si>
  <si>
    <t>2025 cookie pre-order merch</t>
  </si>
  <si>
    <t>Twin Falls County Parks</t>
  </si>
  <si>
    <t>Troop campout space reversation</t>
  </si>
  <si>
    <t>Fall Product material envelopes</t>
  </si>
  <si>
    <t>copies for bridging</t>
  </si>
  <si>
    <t>Drinks for Bridging</t>
  </si>
  <si>
    <t>Decorations Bridging</t>
  </si>
  <si>
    <t>Check fee</t>
  </si>
  <si>
    <t>Needed a check to pay church for rent</t>
  </si>
  <si>
    <t>Troop campout food</t>
  </si>
  <si>
    <t>United Methodist Church</t>
  </si>
  <si>
    <t>Rental for rooms spaces</t>
  </si>
  <si>
    <t>Cadette woodworking materials</t>
  </si>
  <si>
    <t>Leader connecting Leader</t>
  </si>
  <si>
    <t>Cadette Comic Artist packet</t>
  </si>
  <si>
    <t>Camp use fee for McCall in Sept 25</t>
  </si>
  <si>
    <t>TUBB's Pumpkin Patch</t>
  </si>
  <si>
    <t>Troop Activity</t>
  </si>
  <si>
    <t>festival of lights</t>
  </si>
  <si>
    <t>troop parade activity</t>
  </si>
  <si>
    <t>St. Lukes</t>
  </si>
  <si>
    <t>babysitting course for cadettes</t>
  </si>
  <si>
    <t>Flags</t>
  </si>
  <si>
    <t>Additional Money Earning Activities</t>
  </si>
  <si>
    <t>girl scouts silver sage</t>
  </si>
  <si>
    <t>badges/patches</t>
  </si>
  <si>
    <t>advantage emblem</t>
  </si>
  <si>
    <t>patches</t>
  </si>
  <si>
    <t>badges</t>
  </si>
  <si>
    <t>hobby lobby</t>
  </si>
  <si>
    <t>items for float</t>
  </si>
  <si>
    <t>Fall product ACH</t>
  </si>
  <si>
    <t>Hands on</t>
  </si>
  <si>
    <t>Troop Ceramanic activity</t>
  </si>
  <si>
    <t>10/28/0204</t>
  </si>
  <si>
    <t>Magic Valley Liquidation</t>
  </si>
  <si>
    <t>Canopy for cookie booth</t>
  </si>
  <si>
    <t>Projector for cookie training</t>
  </si>
  <si>
    <t>Stella's Ice Cream</t>
  </si>
  <si>
    <t>Cookie Kickoff</t>
  </si>
  <si>
    <t>Journey in a day</t>
  </si>
  <si>
    <t>Girls Scouts of silver sage</t>
  </si>
  <si>
    <t>Making Friends</t>
  </si>
  <si>
    <t>Patches</t>
  </si>
  <si>
    <t>Depoist</t>
  </si>
  <si>
    <t>cookies inital orders</t>
  </si>
  <si>
    <t>Glacier West</t>
  </si>
  <si>
    <t>Storage unit for cookies-had to cancel</t>
  </si>
  <si>
    <t>cashier boxes for cookie booth</t>
  </si>
  <si>
    <t>Addison Storage</t>
  </si>
  <si>
    <t>Storage unit for cookies</t>
  </si>
  <si>
    <t>Tote for cookie booth supplies</t>
  </si>
  <si>
    <t>deposit cookies</t>
  </si>
  <si>
    <t>start up cash for booths</t>
  </si>
  <si>
    <t>start up cash</t>
  </si>
  <si>
    <t>reimbursement the start up cash</t>
  </si>
  <si>
    <t>cookie booths</t>
  </si>
  <si>
    <t>deposit weekend 1 booths</t>
  </si>
  <si>
    <t>weekend 1 booths</t>
  </si>
  <si>
    <t>deposit coins from booths</t>
  </si>
  <si>
    <t>deposit</t>
  </si>
  <si>
    <t>weekend 2 booth deposit</t>
  </si>
  <si>
    <t>Addison storage</t>
  </si>
  <si>
    <t>cookie storage</t>
  </si>
  <si>
    <t>reimbursement for Christmas parade tutu</t>
  </si>
  <si>
    <t>Juliette Gordon Low</t>
  </si>
  <si>
    <t>reimbursement for painting night</t>
  </si>
  <si>
    <t>stella's</t>
  </si>
  <si>
    <t>girl scout week celebration</t>
  </si>
  <si>
    <t>cookie deposit</t>
  </si>
  <si>
    <t>cookie booth</t>
  </si>
  <si>
    <t>girl scout silver sage</t>
  </si>
  <si>
    <t>brownie journey</t>
  </si>
  <si>
    <t>cookie depoist</t>
  </si>
  <si>
    <t>cookie</t>
  </si>
  <si>
    <t>ACH council</t>
  </si>
  <si>
    <t>Cookie</t>
  </si>
  <si>
    <t>Categories can and should include deposits and withdrawals related to the category, to balance what the troop actually paid toward each category.    An example would be purchasing badges categorized as insignia, then receiving a refund after returning badges that also fall under the insignia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</si>
</sst>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409]* #,##0.00_);_([$$-409]* \(#,##0.00\);_([$$-409]* &quot;-&quot;??_);_(@_)"/>
    <numFmt numFmtId="165" formatCode="&quot;$&quot;#,##0.00"/>
  </numFmts>
  <fonts count="57">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Calibri"/>
      <family val="2"/>
    </font>
    <font>
      <b/>
      <sz val="9"/>
      <color rgb="FF000000"/>
      <name val="Calibri"/>
      <family val="2"/>
    </font>
    <font>
      <b/>
      <sz val="9"/>
      <color theme="1"/>
      <name val="Calibri"/>
      <family val="2"/>
    </font>
    <font>
      <b/>
      <sz val="9"/>
      <color theme="0"/>
      <name val="Calibri"/>
      <family val="2"/>
    </font>
    <font>
      <sz val="9"/>
      <color theme="0"/>
      <name val="Calibri"/>
      <family val="2"/>
    </font>
    <font>
      <sz val="9"/>
      <name val="Calibri"/>
      <family val="2"/>
    </font>
    <font>
      <sz val="9"/>
      <color theme="4"/>
      <name val="Calibri"/>
      <family val="2"/>
    </font>
    <font>
      <sz val="9"/>
      <color rgb="FF444444"/>
      <name val="Calibri"/>
      <family val="2"/>
    </font>
    <font>
      <sz val="11"/>
      <color rgb="FF393939"/>
      <name val="Open Sans Light"/>
      <family val="2"/>
    </font>
    <font>
      <sz val="8"/>
      <color theme="0"/>
      <name val="Calibri"/>
      <family val="2"/>
    </font>
    <font>
      <sz val="9"/>
      <color rgb="FF393939"/>
      <name val="Open Sans Light"/>
      <family val="2"/>
    </font>
    <font>
      <b/>
      <sz val="11"/>
      <color theme="1"/>
      <name val="Calibri"/>
      <family val="2"/>
      <scheme val="minor"/>
    </font>
    <font>
      <sz val="8"/>
      <color theme="1"/>
      <name val="Calibri"/>
      <family val="2"/>
      <scheme val="minor"/>
    </font>
    <font>
      <sz val="14"/>
      <color theme="5"/>
      <name val="Calibri"/>
      <family val="2"/>
      <scheme val="minor"/>
    </font>
    <font>
      <sz val="9"/>
      <color theme="1"/>
      <name val="Calibri"/>
      <family val="2"/>
      <scheme val="minor"/>
    </font>
    <font>
      <sz val="20"/>
      <color theme="5"/>
      <name val="Calibri"/>
      <family val="2"/>
      <scheme val="minor"/>
    </font>
    <font>
      <u/>
      <sz val="11"/>
      <color theme="10"/>
      <name val="Calibri"/>
      <family val="2"/>
      <scheme val="minor"/>
    </font>
    <font>
      <sz val="12"/>
      <color theme="1"/>
      <name val="Calibri"/>
      <family val="2"/>
      <scheme val="minor"/>
    </font>
    <font>
      <sz val="11"/>
      <color theme="1"/>
      <name val="Docs-Calibri"/>
    </font>
    <font>
      <sz val="12"/>
      <color rgb="FF000000"/>
      <name val="Calibri"/>
      <family val="2"/>
      <scheme val="minor"/>
    </font>
    <font>
      <b/>
      <sz val="9"/>
      <color rgb="FF000000"/>
      <name val="Tahoma"/>
      <family val="2"/>
    </font>
    <font>
      <sz val="9"/>
      <color rgb="FF000000"/>
      <name val="Tahoma"/>
      <family val="2"/>
    </font>
    <font>
      <sz val="10"/>
      <color rgb="FF000000"/>
      <name val="Helvetica Neue"/>
      <family val="2"/>
    </font>
    <font>
      <sz val="11"/>
      <name val="Calibri"/>
      <family val="2"/>
      <scheme val="minor"/>
    </font>
    <font>
      <sz val="8"/>
      <name val="Calibri"/>
      <family val="2"/>
      <scheme val="minor"/>
    </font>
    <font>
      <b/>
      <sz val="10"/>
      <name val="Calibri"/>
      <family val="2"/>
      <scheme val="minor"/>
    </font>
    <font>
      <b/>
      <sz val="8"/>
      <name val="Calibri"/>
      <family val="2"/>
      <scheme val="minor"/>
    </font>
    <font>
      <sz val="8"/>
      <color theme="5"/>
      <name val="Calibri"/>
      <family val="2"/>
      <scheme val="minor"/>
    </font>
    <font>
      <b/>
      <sz val="8"/>
      <color theme="5"/>
      <name val="Calibri"/>
      <family val="2"/>
      <scheme val="minor"/>
    </font>
    <font>
      <sz val="9"/>
      <color theme="1"/>
      <name val="Girl Scout Text Book"/>
      <family val="1"/>
    </font>
    <font>
      <sz val="9"/>
      <color theme="0"/>
      <name val="Girl Scout Text Book"/>
      <family val="1"/>
    </font>
    <font>
      <sz val="11"/>
      <color theme="1"/>
      <name val="Girl Scout Text Book"/>
      <family val="1"/>
    </font>
    <font>
      <sz val="10"/>
      <color theme="1"/>
      <name val="Calibri"/>
      <family val="2"/>
      <scheme val="minor"/>
    </font>
    <font>
      <sz val="6"/>
      <name val="Calibri"/>
      <family val="2"/>
      <scheme val="minor"/>
    </font>
    <font>
      <b/>
      <sz val="6"/>
      <name val="Calibri"/>
      <family val="2"/>
      <scheme val="minor"/>
    </font>
    <font>
      <b/>
      <sz val="12"/>
      <name val="Calibri"/>
      <family val="2"/>
      <scheme val="minor"/>
    </font>
    <font>
      <sz val="10"/>
      <color rgb="FF000000"/>
      <name val="Calibri"/>
      <family val="2"/>
    </font>
    <font>
      <sz val="11"/>
      <color rgb="FF000000"/>
      <name val="Calibri"/>
      <family val="2"/>
    </font>
    <font>
      <sz val="10"/>
      <color theme="1"/>
      <name val="Calibri"/>
      <family val="2"/>
    </font>
    <font>
      <sz val="11"/>
      <color theme="1"/>
      <name val="Calibri"/>
      <family val="2"/>
    </font>
    <font>
      <sz val="9"/>
      <color theme="1"/>
      <name val="Calibri"/>
      <family val="2"/>
    </font>
    <font>
      <sz val="10"/>
      <color rgb="FF000000"/>
      <name val="Calibri"/>
      <family val="2"/>
    </font>
    <font>
      <sz val="20"/>
      <color rgb="FF0F4761"/>
      <name val="Aptos Display"/>
      <family val="2"/>
      <charset val="1"/>
    </font>
    <font>
      <sz val="11"/>
      <color theme="1"/>
      <name val="Aptos"/>
      <family val="2"/>
      <charset val="1"/>
    </font>
    <font>
      <b/>
      <sz val="11"/>
      <color rgb="FFFFFFFF"/>
      <name val="Aptos"/>
      <family val="2"/>
      <charset val="1"/>
    </font>
    <font>
      <sz val="11"/>
      <color rgb="FF000000"/>
      <name val="Aptos"/>
      <family val="2"/>
      <charset val="1"/>
    </font>
    <font>
      <vertAlign val="superscript"/>
      <sz val="11"/>
      <color theme="1"/>
      <name val="Aptos"/>
      <family val="2"/>
      <charset val="1"/>
    </font>
    <font>
      <sz val="7"/>
      <color theme="1"/>
      <name val="Times New Roman"/>
      <family val="1"/>
    </font>
    <font>
      <sz val="14"/>
      <color rgb="FF156082"/>
      <name val="Aptos"/>
      <family val="2"/>
      <charset val="1"/>
    </font>
    <font>
      <sz val="14"/>
      <color rgb="FF404040"/>
      <name val="Aptos"/>
      <family val="2"/>
      <charset val="1"/>
    </font>
    <font>
      <sz val="11"/>
      <color rgb="FF156082"/>
      <name val="Aptos"/>
      <family val="2"/>
      <charset val="1"/>
    </font>
    <font>
      <sz val="11"/>
      <color rgb="FF242424"/>
      <name val="Aptos Narrow"/>
      <family val="2"/>
    </font>
    <font>
      <sz val="11"/>
      <color rgb="FFFF0000"/>
      <name val="Aptos"/>
      <family val="2"/>
      <charset val="1"/>
    </font>
  </fonts>
  <fills count="24">
    <fill>
      <patternFill patternType="none"/>
    </fill>
    <fill>
      <patternFill patternType="gray125"/>
    </fill>
    <fill>
      <patternFill patternType="solid">
        <fgColor rgb="FFEFEFEF"/>
        <bgColor indexed="64"/>
      </patternFill>
    </fill>
    <fill>
      <patternFill patternType="solid">
        <fgColor rgb="FFCFE2F3"/>
        <bgColor indexed="64"/>
      </patternFill>
    </fill>
    <fill>
      <patternFill patternType="solid">
        <fgColor rgb="FF5B95F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9"/>
        <bgColor theme="9"/>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9F9F9"/>
        <bgColor indexed="64"/>
      </patternFill>
    </fill>
    <fill>
      <patternFill patternType="solid">
        <fgColor theme="9" tint="0.39997558519241921"/>
        <bgColor indexed="64"/>
      </patternFill>
    </fill>
    <fill>
      <patternFill patternType="solid">
        <fgColor rgb="FFE7E6E6"/>
        <bgColor indexed="64"/>
      </patternFill>
    </fill>
    <fill>
      <patternFill patternType="solid">
        <fgColor theme="8"/>
        <bgColor theme="8"/>
      </patternFill>
    </fill>
    <fill>
      <patternFill patternType="solid">
        <fgColor theme="9" tint="0.79998168889431442"/>
        <bgColor indexed="64"/>
      </patternFill>
    </fill>
    <fill>
      <patternFill patternType="solid">
        <fgColor rgb="FFBDD7EE"/>
        <bgColor rgb="FFBDD7EE"/>
      </patternFill>
    </fill>
    <fill>
      <patternFill patternType="solid">
        <fgColor rgb="FFDDEBF7"/>
        <bgColor rgb="FFDDEBF7"/>
      </patternFill>
    </fill>
    <fill>
      <patternFill patternType="solid">
        <fgColor rgb="FFDEEAF6"/>
        <bgColor indexed="64"/>
      </patternFill>
    </fill>
    <fill>
      <patternFill patternType="solid">
        <fgColor rgb="FFBDD6EE"/>
        <bgColor indexed="64"/>
      </patternFill>
    </fill>
    <fill>
      <patternFill patternType="solid">
        <fgColor rgb="FF4EA72E"/>
        <bgColor indexed="64"/>
      </patternFill>
    </fill>
    <fill>
      <patternFill patternType="solid">
        <fgColor rgb="FFD9F2D0"/>
        <bgColor indexed="64"/>
      </patternFill>
    </fill>
  </fills>
  <borders count="62">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indexed="64"/>
      </left>
      <right style="medium">
        <color indexed="64"/>
      </right>
      <top style="medium">
        <color indexed="64"/>
      </top>
      <bottom style="medium">
        <color indexed="64"/>
      </bottom>
      <diagonal/>
    </border>
    <border>
      <left style="medium">
        <color rgb="FFCCCCCC"/>
      </left>
      <right style="medium">
        <color rgb="FFCCCCCC"/>
      </right>
      <top/>
      <bottom/>
      <diagonal/>
    </border>
    <border>
      <left/>
      <right/>
      <top/>
      <bottom style="medium">
        <color rgb="FFCCCCCC"/>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FFFF"/>
      </left>
      <right style="thin">
        <color rgb="FFFFFFFF"/>
      </right>
      <top style="thin">
        <color rgb="FFFFFFFF"/>
      </top>
      <bottom style="thin">
        <color rgb="FFFFFFFF"/>
      </bottom>
      <diagonal/>
    </border>
    <border>
      <left style="medium">
        <color rgb="FFCCCCCC"/>
      </left>
      <right/>
      <top/>
      <bottom/>
      <diagonal/>
    </border>
    <border>
      <left/>
      <right style="medium">
        <color rgb="FFCCCCCC"/>
      </right>
      <top/>
      <bottom style="medium">
        <color rgb="FFCCCCCC"/>
      </bottom>
      <diagonal/>
    </border>
    <border>
      <left/>
      <right/>
      <top style="medium">
        <color indexed="64"/>
      </top>
      <bottom/>
      <diagonal/>
    </border>
    <border>
      <left style="medium">
        <color auto="1"/>
      </left>
      <right/>
      <top/>
      <bottom/>
      <diagonal/>
    </border>
    <border>
      <left/>
      <right/>
      <top style="thin">
        <color auto="1"/>
      </top>
      <bottom/>
      <diagonal/>
    </border>
    <border>
      <left/>
      <right style="medium">
        <color indexed="64"/>
      </right>
      <top/>
      <bottom/>
      <diagonal/>
    </border>
    <border>
      <left/>
      <right/>
      <top/>
      <bottom style="thin">
        <color indexed="64"/>
      </bottom>
      <diagonal/>
    </border>
    <border>
      <left/>
      <right/>
      <top/>
      <bottom style="thin">
        <color rgb="FF00B0F0"/>
      </bottom>
      <diagonal/>
    </border>
    <border>
      <left/>
      <right/>
      <top/>
      <bottom style="thick">
        <color rgb="FF00B0F0"/>
      </bottom>
      <diagonal/>
    </border>
    <border>
      <left style="thick">
        <color rgb="FF00B0F0"/>
      </left>
      <right/>
      <top style="thick">
        <color rgb="FF00B0F0"/>
      </top>
      <bottom style="thin">
        <color indexed="64"/>
      </bottom>
      <diagonal/>
    </border>
    <border>
      <left/>
      <right/>
      <top style="thick">
        <color rgb="FF00B0F0"/>
      </top>
      <bottom style="thin">
        <color indexed="64"/>
      </bottom>
      <diagonal/>
    </border>
    <border>
      <left/>
      <right/>
      <top style="thick">
        <color rgb="FF00B0F0"/>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rgb="FF00B0F0"/>
      </left>
      <right style="thick">
        <color rgb="FF00B0F0"/>
      </right>
      <top style="thick">
        <color rgb="FF00B0F0"/>
      </top>
      <bottom style="medium">
        <color indexed="64"/>
      </bottom>
      <diagonal/>
    </border>
    <border>
      <left style="thick">
        <color rgb="FF00B0F0"/>
      </left>
      <right/>
      <top style="thick">
        <color rgb="FF00B0F0"/>
      </top>
      <bottom style="medium">
        <color indexed="64"/>
      </bottom>
      <diagonal/>
    </border>
    <border>
      <left/>
      <right/>
      <top/>
      <bottom style="medium">
        <color rgb="FF00B0F0"/>
      </bottom>
      <diagonal/>
    </border>
    <border>
      <left/>
      <right/>
      <top/>
      <bottom style="thin">
        <color theme="2"/>
      </bottom>
      <diagonal/>
    </border>
    <border>
      <left/>
      <right/>
      <top style="thin">
        <color theme="2"/>
      </top>
      <bottom/>
      <diagonal/>
    </border>
    <border>
      <left/>
      <right/>
      <top style="thin">
        <color theme="2"/>
      </top>
      <bottom style="thin">
        <color theme="2"/>
      </bottom>
      <diagonal/>
    </border>
    <border>
      <left/>
      <right/>
      <top style="thin">
        <color theme="2"/>
      </top>
      <bottom style="thin">
        <color indexed="64"/>
      </bottom>
      <diagonal/>
    </border>
    <border>
      <left style="medium">
        <color rgb="FF00B0F0"/>
      </left>
      <right style="thick">
        <color rgb="FF00B0F0"/>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style="thick">
        <color rgb="FF00B0F0"/>
      </right>
      <top/>
      <bottom style="medium">
        <color rgb="FF00B0F0"/>
      </bottom>
      <diagonal/>
    </border>
    <border>
      <left/>
      <right style="medium">
        <color rgb="FF00B0F0"/>
      </right>
      <top/>
      <bottom style="medium">
        <color rgb="FF00B0F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right/>
      <top/>
      <bottom style="thin">
        <color rgb="FF8DD873"/>
      </bottom>
      <diagonal/>
    </border>
    <border>
      <left style="thin">
        <color rgb="FF8DD873"/>
      </left>
      <right/>
      <top style="thin">
        <color rgb="FF8DD873"/>
      </top>
      <bottom style="thin">
        <color rgb="FF4EA72E"/>
      </bottom>
      <diagonal/>
    </border>
    <border>
      <left/>
      <right style="thin">
        <color rgb="FF8DD873"/>
      </right>
      <top style="thin">
        <color rgb="FF8DD873"/>
      </top>
      <bottom style="thin">
        <color rgb="FF4EA72E"/>
      </bottom>
      <diagonal/>
    </border>
    <border>
      <left style="thin">
        <color rgb="FF8DD873"/>
      </left>
      <right style="thin">
        <color rgb="FF8DD873"/>
      </right>
      <top style="thin">
        <color rgb="FF8DD873"/>
      </top>
      <bottom style="thin">
        <color rgb="FF8DD873"/>
      </bottom>
      <diagonal/>
    </border>
    <border>
      <left style="thin">
        <color rgb="FF8DD873"/>
      </left>
      <right style="thin">
        <color rgb="FF8DD873"/>
      </right>
      <top style="thin">
        <color rgb="FF8DD873"/>
      </top>
      <bottom/>
      <diagonal/>
    </border>
    <border>
      <left style="thin">
        <color rgb="FF8DD873"/>
      </left>
      <right style="thin">
        <color rgb="FF8DD873"/>
      </right>
      <top/>
      <bottom/>
      <diagonal/>
    </border>
    <border>
      <left style="thin">
        <color rgb="FF8DD873"/>
      </left>
      <right style="thin">
        <color rgb="FF8DD873"/>
      </right>
      <top/>
      <bottom style="thin">
        <color rgb="FF8DD873"/>
      </bottom>
      <diagonal/>
    </border>
  </borders>
  <cellStyleXfs count="5">
    <xf numFmtId="0" fontId="0" fillId="0" borderId="0"/>
    <xf numFmtId="44" fontId="1" fillId="0" borderId="0" applyFont="0" applyFill="0" applyBorder="0" applyAlignment="0" applyProtection="0"/>
    <xf numFmtId="0" fontId="20" fillId="0" borderId="0" applyNumberFormat="0" applyFill="0" applyBorder="0" applyAlignment="0" applyProtection="0"/>
    <xf numFmtId="0" fontId="21" fillId="0" borderId="0"/>
    <xf numFmtId="44" fontId="21" fillId="0" borderId="0" applyFont="0" applyFill="0" applyBorder="0" applyAlignment="0" applyProtection="0"/>
  </cellStyleXfs>
  <cellXfs count="347">
    <xf numFmtId="0" fontId="0" fillId="0" borderId="0" xfId="0"/>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4" fillId="2" borderId="1" xfId="0" applyFont="1" applyFill="1" applyBorder="1" applyAlignment="1">
      <alignment wrapText="1"/>
    </xf>
    <xf numFmtId="0" fontId="4" fillId="0" borderId="0" xfId="0" applyFont="1"/>
    <xf numFmtId="44" fontId="5" fillId="3" borderId="1" xfId="1" applyFont="1" applyFill="1" applyBorder="1" applyAlignment="1" applyProtection="1">
      <alignment horizontal="right" vertical="center" wrapText="1"/>
    </xf>
    <xf numFmtId="8" fontId="5" fillId="3" borderId="1" xfId="0" applyNumberFormat="1" applyFont="1" applyFill="1" applyBorder="1" applyAlignment="1">
      <alignment horizontal="right" wrapText="1"/>
    </xf>
    <xf numFmtId="44" fontId="5" fillId="4" borderId="1" xfId="1" applyFont="1" applyFill="1" applyBorder="1" applyAlignment="1" applyProtection="1">
      <alignment horizontal="right" wrapText="1"/>
    </xf>
    <xf numFmtId="164" fontId="5" fillId="4" borderId="1" xfId="1" applyNumberFormat="1" applyFont="1" applyFill="1" applyBorder="1" applyAlignment="1" applyProtection="1">
      <alignment horizontal="right" wrapText="1"/>
    </xf>
    <xf numFmtId="44" fontId="5" fillId="7" borderId="1" xfId="1" applyFont="1" applyFill="1" applyBorder="1" applyAlignment="1" applyProtection="1">
      <alignment horizontal="right" wrapText="1"/>
    </xf>
    <xf numFmtId="0" fontId="7" fillId="0" borderId="5" xfId="0" applyFont="1" applyBorder="1" applyAlignment="1">
      <alignment wrapText="1"/>
    </xf>
    <xf numFmtId="14" fontId="8" fillId="0" borderId="5" xfId="0" applyNumberFormat="1" applyFont="1" applyBorder="1" applyAlignment="1">
      <alignment wrapText="1"/>
    </xf>
    <xf numFmtId="0" fontId="8" fillId="0" borderId="5" xfId="0" applyFont="1" applyBorder="1" applyAlignment="1">
      <alignment wrapText="1"/>
    </xf>
    <xf numFmtId="0" fontId="7" fillId="0" borderId="7" xfId="0" applyFont="1" applyBorder="1" applyAlignment="1">
      <alignment wrapText="1"/>
    </xf>
    <xf numFmtId="0" fontId="8" fillId="0" borderId="1" xfId="0" applyFont="1" applyBorder="1" applyAlignment="1">
      <alignment wrapText="1"/>
    </xf>
    <xf numFmtId="0" fontId="8" fillId="0" borderId="0" xfId="0" applyFont="1" applyAlignment="1">
      <alignment wrapText="1"/>
    </xf>
    <xf numFmtId="0" fontId="4" fillId="0" borderId="1" xfId="0" applyFont="1" applyBorder="1" applyAlignment="1">
      <alignment vertical="center"/>
    </xf>
    <xf numFmtId="44" fontId="4" fillId="0" borderId="0" xfId="1" applyFont="1" applyAlignment="1" applyProtection="1">
      <alignment horizontal="right"/>
    </xf>
    <xf numFmtId="44" fontId="9" fillId="0" borderId="0" xfId="1" applyFont="1" applyFill="1" applyAlignment="1" applyProtection="1">
      <alignment horizontal="right"/>
    </xf>
    <xf numFmtId="44" fontId="4" fillId="0" borderId="1" xfId="1" applyFont="1" applyBorder="1" applyAlignment="1" applyProtection="1">
      <alignment horizontal="right" vertical="center" wrapText="1"/>
    </xf>
    <xf numFmtId="0" fontId="4" fillId="0" borderId="1" xfId="0" applyFont="1" applyBorder="1" applyAlignment="1" applyProtection="1">
      <alignment vertical="center" wrapText="1"/>
      <protection locked="0"/>
    </xf>
    <xf numFmtId="0" fontId="4" fillId="0" borderId="0" xfId="0" applyFont="1" applyProtection="1">
      <protection locked="0"/>
    </xf>
    <xf numFmtId="0" fontId="9" fillId="0" borderId="1" xfId="0" applyFont="1" applyBorder="1" applyAlignment="1" applyProtection="1">
      <alignment vertical="center" wrapText="1"/>
      <protection locked="0"/>
    </xf>
    <xf numFmtId="0" fontId="9" fillId="0" borderId="0" xfId="0" applyFont="1" applyProtection="1">
      <protection locked="0"/>
    </xf>
    <xf numFmtId="14" fontId="9" fillId="0" borderId="0" xfId="0" applyNumberFormat="1" applyFont="1" applyProtection="1">
      <protection locked="0"/>
    </xf>
    <xf numFmtId="0" fontId="9" fillId="0" borderId="0" xfId="0" applyFont="1" applyAlignment="1" applyProtection="1">
      <alignment wrapText="1"/>
      <protection locked="0"/>
    </xf>
    <xf numFmtId="44" fontId="9" fillId="0" borderId="0" xfId="1" applyFont="1" applyFill="1" applyAlignment="1" applyProtection="1">
      <protection locked="0"/>
    </xf>
    <xf numFmtId="14" fontId="4" fillId="0" borderId="0" xfId="0" applyNumberFormat="1" applyFont="1" applyProtection="1">
      <protection locked="0"/>
    </xf>
    <xf numFmtId="44" fontId="4" fillId="0" borderId="0" xfId="1" applyFont="1" applyProtection="1">
      <protection locked="0"/>
    </xf>
    <xf numFmtId="44" fontId="4" fillId="0" borderId="1" xfId="1" applyFont="1" applyBorder="1" applyAlignment="1" applyProtection="1">
      <alignment vertical="center" wrapText="1"/>
    </xf>
    <xf numFmtId="44" fontId="4" fillId="0" borderId="1" xfId="1" applyFont="1" applyBorder="1" applyAlignment="1" applyProtection="1">
      <alignment wrapText="1"/>
    </xf>
    <xf numFmtId="44" fontId="8" fillId="0" borderId="5" xfId="1" applyFont="1" applyFill="1" applyBorder="1" applyAlignment="1" applyProtection="1">
      <alignment wrapText="1"/>
    </xf>
    <xf numFmtId="44" fontId="13" fillId="0" borderId="5" xfId="1" applyFont="1" applyFill="1" applyBorder="1" applyAlignment="1" applyProtection="1">
      <alignment horizontal="center" wrapText="1"/>
    </xf>
    <xf numFmtId="164" fontId="13" fillId="0" borderId="5" xfId="1" applyNumberFormat="1" applyFont="1" applyFill="1" applyBorder="1" applyAlignment="1" applyProtection="1">
      <alignment horizontal="center" wrapText="1"/>
    </xf>
    <xf numFmtId="44" fontId="8" fillId="0" borderId="5" xfId="1" applyFont="1" applyFill="1" applyBorder="1" applyAlignment="1" applyProtection="1">
      <alignment horizontal="center" wrapText="1"/>
    </xf>
    <xf numFmtId="44" fontId="8" fillId="0" borderId="5" xfId="1" applyFont="1" applyBorder="1" applyAlignment="1" applyProtection="1">
      <alignment horizontal="center" wrapText="1"/>
    </xf>
    <xf numFmtId="44" fontId="8" fillId="0" borderId="4" xfId="1" applyFont="1" applyBorder="1" applyAlignment="1" applyProtection="1">
      <alignment horizontal="center" wrapText="1"/>
    </xf>
    <xf numFmtId="8" fontId="9" fillId="0" borderId="5" xfId="0" applyNumberFormat="1" applyFont="1" applyBorder="1" applyAlignment="1">
      <alignment horizontal="right" wrapText="1"/>
    </xf>
    <xf numFmtId="44" fontId="4" fillId="0" borderId="0" xfId="1" applyFont="1" applyProtection="1"/>
    <xf numFmtId="164" fontId="4" fillId="0" borderId="0" xfId="1" applyNumberFormat="1" applyFont="1" applyProtection="1"/>
    <xf numFmtId="0" fontId="15" fillId="0" borderId="0" xfId="0" quotePrefix="1" applyFont="1" applyAlignment="1">
      <alignment horizontal="right" vertical="center"/>
    </xf>
    <xf numFmtId="0" fontId="0" fillId="0" borderId="0" xfId="0" applyProtection="1">
      <protection locked="0"/>
    </xf>
    <xf numFmtId="164" fontId="0" fillId="0" borderId="0" xfId="0" applyNumberFormat="1" applyProtection="1">
      <protection locked="0"/>
    </xf>
    <xf numFmtId="0" fontId="0" fillId="0" borderId="0" xfId="0" applyAlignment="1">
      <alignment horizontal="left" indent="4"/>
    </xf>
    <xf numFmtId="8" fontId="9" fillId="8" borderId="6" xfId="0" applyNumberFormat="1" applyFont="1" applyFill="1" applyBorder="1" applyAlignment="1">
      <alignment horizontal="right" vertical="center" wrapText="1"/>
    </xf>
    <xf numFmtId="44" fontId="8" fillId="9" borderId="1" xfId="1" applyFont="1" applyFill="1" applyBorder="1" applyAlignment="1" applyProtection="1">
      <alignment horizontal="left" wrapText="1"/>
    </xf>
    <xf numFmtId="164" fontId="8" fillId="9" borderId="1" xfId="1" applyNumberFormat="1" applyFont="1" applyFill="1" applyBorder="1" applyAlignment="1" applyProtection="1">
      <alignment horizontal="left" wrapText="1"/>
    </xf>
    <xf numFmtId="0" fontId="17" fillId="0" borderId="0" xfId="0" applyFont="1"/>
    <xf numFmtId="0" fontId="0" fillId="11" borderId="11" xfId="0" applyFill="1" applyBorder="1"/>
    <xf numFmtId="0" fontId="0" fillId="11" borderId="12" xfId="0" applyFill="1" applyBorder="1"/>
    <xf numFmtId="8" fontId="0" fillId="11" borderId="12" xfId="0" applyNumberFormat="1" applyFill="1" applyBorder="1"/>
    <xf numFmtId="0" fontId="0" fillId="11" borderId="13" xfId="0" applyFill="1" applyBorder="1"/>
    <xf numFmtId="0" fontId="0" fillId="11" borderId="14" xfId="0" applyFill="1" applyBorder="1"/>
    <xf numFmtId="0" fontId="0" fillId="11" borderId="10" xfId="0" applyFill="1" applyBorder="1"/>
    <xf numFmtId="0" fontId="0" fillId="11" borderId="15" xfId="0" applyFill="1" applyBorder="1"/>
    <xf numFmtId="0" fontId="14" fillId="11" borderId="10" xfId="0" applyFont="1" applyFill="1" applyBorder="1"/>
    <xf numFmtId="0" fontId="12" fillId="11" borderId="10" xfId="0" applyFont="1" applyFill="1" applyBorder="1"/>
    <xf numFmtId="44" fontId="0" fillId="11" borderId="10" xfId="1" applyFont="1" applyFill="1" applyBorder="1" applyProtection="1"/>
    <xf numFmtId="0" fontId="0" fillId="11" borderId="10" xfId="0" applyFill="1" applyBorder="1" applyAlignment="1">
      <alignment horizontal="left" wrapText="1"/>
    </xf>
    <xf numFmtId="44" fontId="0" fillId="11" borderId="10" xfId="0" applyNumberFormat="1" applyFill="1" applyBorder="1"/>
    <xf numFmtId="164" fontId="0" fillId="11" borderId="10" xfId="0" applyNumberFormat="1" applyFill="1" applyBorder="1"/>
    <xf numFmtId="0" fontId="0" fillId="11" borderId="10" xfId="0" applyFill="1" applyBorder="1" applyAlignment="1">
      <alignment horizontal="center" vertical="top" wrapText="1"/>
    </xf>
    <xf numFmtId="0" fontId="0" fillId="11" borderId="15" xfId="0" applyFill="1" applyBorder="1" applyAlignment="1">
      <alignment vertical="top" wrapText="1"/>
    </xf>
    <xf numFmtId="0" fontId="0" fillId="11" borderId="10" xfId="0" applyFill="1" applyBorder="1" applyAlignment="1">
      <alignment horizontal="center"/>
    </xf>
    <xf numFmtId="0" fontId="0" fillId="11" borderId="15" xfId="0" applyFill="1" applyBorder="1" applyAlignment="1">
      <alignment horizontal="center" vertical="top" wrapText="1"/>
    </xf>
    <xf numFmtId="0" fontId="7" fillId="0" borderId="5" xfId="0" applyFont="1" applyBorder="1" applyAlignment="1" applyProtection="1">
      <alignment wrapText="1"/>
      <protection locked="0"/>
    </xf>
    <xf numFmtId="14" fontId="8" fillId="0" borderId="5" xfId="0" applyNumberFormat="1" applyFont="1" applyBorder="1" applyAlignment="1" applyProtection="1">
      <alignment wrapText="1"/>
      <protection locked="0"/>
    </xf>
    <xf numFmtId="0" fontId="8" fillId="0" borderId="5" xfId="0" applyFont="1" applyBorder="1" applyAlignment="1" applyProtection="1">
      <alignment wrapText="1"/>
      <protection locked="0"/>
    </xf>
    <xf numFmtId="44" fontId="8" fillId="0" borderId="5" xfId="1" applyFont="1" applyFill="1" applyBorder="1" applyAlignment="1" applyProtection="1">
      <alignment wrapText="1"/>
      <protection locked="0"/>
    </xf>
    <xf numFmtId="0" fontId="7" fillId="0" borderId="5" xfId="0" applyFont="1" applyBorder="1" applyAlignment="1" applyProtection="1">
      <alignment horizontal="center" wrapText="1"/>
      <protection locked="0"/>
    </xf>
    <xf numFmtId="0" fontId="8" fillId="0" borderId="1" xfId="0" applyFont="1" applyBorder="1" applyAlignment="1" applyProtection="1">
      <alignment wrapText="1"/>
      <protection locked="0"/>
    </xf>
    <xf numFmtId="0" fontId="8" fillId="0" borderId="0" xfId="0" applyFont="1" applyAlignment="1" applyProtection="1">
      <alignment wrapText="1"/>
      <protection locked="0"/>
    </xf>
    <xf numFmtId="14" fontId="9" fillId="0" borderId="1" xfId="0" applyNumberFormat="1"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44" fontId="9" fillId="0" borderId="1" xfId="1" applyFont="1" applyFill="1" applyBorder="1" applyAlignment="1" applyProtection="1">
      <alignment horizontal="center" vertical="center" wrapText="1"/>
      <protection locked="0"/>
    </xf>
    <xf numFmtId="44" fontId="9" fillId="0" borderId="2" xfId="1" applyFont="1" applyFill="1" applyBorder="1" applyAlignment="1" applyProtection="1">
      <alignment horizontal="center" vertical="center" wrapText="1"/>
      <protection locked="0"/>
    </xf>
    <xf numFmtId="0" fontId="9" fillId="0" borderId="4" xfId="0" applyFont="1" applyBorder="1" applyAlignment="1" applyProtection="1">
      <alignment vertical="center" wrapText="1"/>
      <protection locked="0"/>
    </xf>
    <xf numFmtId="0" fontId="9" fillId="0" borderId="1" xfId="0" applyFont="1" applyBorder="1" applyAlignment="1" applyProtection="1">
      <alignment vertical="center"/>
      <protection locked="0"/>
    </xf>
    <xf numFmtId="44" fontId="9" fillId="0" borderId="1" xfId="1" applyFont="1" applyFill="1" applyBorder="1" applyAlignment="1" applyProtection="1">
      <alignment vertical="center" wrapText="1"/>
      <protection locked="0"/>
    </xf>
    <xf numFmtId="44" fontId="9" fillId="0" borderId="0" xfId="1" applyFont="1" applyFill="1" applyProtection="1">
      <protection locked="0"/>
    </xf>
    <xf numFmtId="0" fontId="18" fillId="11" borderId="14" xfId="0" applyFont="1" applyFill="1" applyBorder="1" applyAlignment="1">
      <alignment horizontal="left" wrapText="1"/>
    </xf>
    <xf numFmtId="0" fontId="4" fillId="3" borderId="1" xfId="0" applyFont="1" applyFill="1" applyBorder="1" applyAlignment="1">
      <alignment wrapText="1"/>
    </xf>
    <xf numFmtId="8" fontId="9" fillId="0" borderId="5" xfId="0" applyNumberFormat="1" applyFont="1" applyBorder="1" applyAlignment="1">
      <alignment horizontal="right" vertical="center" wrapText="1"/>
    </xf>
    <xf numFmtId="164" fontId="8" fillId="0" borderId="5" xfId="1" applyNumberFormat="1" applyFont="1" applyFill="1" applyBorder="1" applyAlignment="1" applyProtection="1">
      <alignment horizontal="center" wrapText="1"/>
    </xf>
    <xf numFmtId="164" fontId="11" fillId="0" borderId="0" xfId="0" quotePrefix="1" applyNumberFormat="1" applyFont="1"/>
    <xf numFmtId="44" fontId="9" fillId="0" borderId="1" xfId="1" applyFont="1" applyFill="1" applyBorder="1" applyAlignment="1" applyProtection="1">
      <alignment horizontal="right" vertical="center" wrapText="1"/>
    </xf>
    <xf numFmtId="164" fontId="9" fillId="0" borderId="1" xfId="1" applyNumberFormat="1" applyFont="1" applyFill="1" applyBorder="1" applyAlignment="1" applyProtection="1">
      <alignment vertical="center" wrapText="1"/>
    </xf>
    <xf numFmtId="44" fontId="9" fillId="0" borderId="1" xfId="1" applyFont="1" applyFill="1" applyBorder="1" applyAlignment="1" applyProtection="1">
      <alignment vertical="center" wrapText="1"/>
    </xf>
    <xf numFmtId="164" fontId="9" fillId="0" borderId="0" xfId="1" applyNumberFormat="1" applyFont="1" applyFill="1" applyProtection="1"/>
    <xf numFmtId="44" fontId="9" fillId="0" borderId="0" xfId="1" applyFont="1" applyFill="1" applyProtection="1"/>
    <xf numFmtId="164" fontId="0" fillId="11" borderId="16" xfId="0" applyNumberFormat="1" applyFill="1" applyBorder="1"/>
    <xf numFmtId="0" fontId="0" fillId="11" borderId="18" xfId="0" applyFill="1" applyBorder="1"/>
    <xf numFmtId="0" fontId="0" fillId="11" borderId="19" xfId="0" applyFill="1" applyBorder="1"/>
    <xf numFmtId="0" fontId="0" fillId="11" borderId="20" xfId="0" applyFill="1" applyBorder="1"/>
    <xf numFmtId="0" fontId="0" fillId="11" borderId="21" xfId="0" applyFill="1" applyBorder="1"/>
    <xf numFmtId="0" fontId="0" fillId="11" borderId="16" xfId="0" applyFill="1" applyBorder="1"/>
    <xf numFmtId="0" fontId="0" fillId="11" borderId="17" xfId="0" applyFill="1" applyBorder="1"/>
    <xf numFmtId="8" fontId="0" fillId="11" borderId="18" xfId="0" applyNumberFormat="1" applyFill="1" applyBorder="1"/>
    <xf numFmtId="44" fontId="0" fillId="10" borderId="6" xfId="1" applyFont="1" applyFill="1" applyBorder="1" applyProtection="1">
      <protection locked="0"/>
    </xf>
    <xf numFmtId="44" fontId="0" fillId="11" borderId="20" xfId="1" applyFont="1" applyFill="1" applyBorder="1" applyProtection="1"/>
    <xf numFmtId="0" fontId="9" fillId="0" borderId="0" xfId="0" quotePrefix="1" applyFont="1" applyProtection="1">
      <protection locked="0"/>
    </xf>
    <xf numFmtId="0" fontId="9" fillId="0" borderId="1" xfId="0" applyFont="1" applyBorder="1" applyAlignment="1">
      <alignment vertical="center" wrapText="1"/>
    </xf>
    <xf numFmtId="14" fontId="9" fillId="0" borderId="1" xfId="0" applyNumberFormat="1" applyFont="1" applyBorder="1" applyAlignment="1">
      <alignment vertical="center" wrapText="1"/>
    </xf>
    <xf numFmtId="0" fontId="10" fillId="0" borderId="1" xfId="0" applyFont="1" applyBorder="1" applyAlignment="1">
      <alignment vertical="center" wrapText="1"/>
    </xf>
    <xf numFmtId="44" fontId="9" fillId="0" borderId="1" xfId="1" applyFont="1" applyFill="1" applyBorder="1" applyAlignment="1">
      <alignment horizontal="center" vertical="center" wrapText="1"/>
    </xf>
    <xf numFmtId="44" fontId="9" fillId="0" borderId="2" xfId="1" applyFont="1" applyFill="1" applyBorder="1" applyAlignment="1">
      <alignment horizontal="center" vertical="center" wrapText="1"/>
    </xf>
    <xf numFmtId="0" fontId="9" fillId="0" borderId="4" xfId="0" applyFont="1" applyBorder="1" applyAlignment="1">
      <alignment vertical="center" wrapText="1"/>
    </xf>
    <xf numFmtId="14" fontId="0" fillId="0" borderId="0" xfId="0" applyNumberFormat="1"/>
    <xf numFmtId="0" fontId="1" fillId="0" borderId="0" xfId="0" applyFont="1"/>
    <xf numFmtId="0" fontId="22" fillId="0" borderId="0" xfId="0" applyFont="1"/>
    <xf numFmtId="0" fontId="1" fillId="10" borderId="0" xfId="0" applyFont="1" applyFill="1"/>
    <xf numFmtId="0" fontId="20" fillId="0" borderId="0" xfId="2"/>
    <xf numFmtId="0" fontId="23" fillId="0" borderId="26" xfId="0" applyFont="1" applyBorder="1"/>
    <xf numFmtId="0" fontId="9" fillId="0" borderId="1" xfId="0" applyFont="1" applyBorder="1" applyAlignment="1">
      <alignment vertical="center"/>
    </xf>
    <xf numFmtId="14" fontId="18" fillId="0" borderId="0" xfId="0" applyNumberFormat="1" applyFont="1"/>
    <xf numFmtId="0" fontId="18" fillId="0" borderId="0" xfId="0" applyFont="1"/>
    <xf numFmtId="0" fontId="26" fillId="0" borderId="0" xfId="0" applyFont="1"/>
    <xf numFmtId="0" fontId="23" fillId="0" borderId="0" xfId="0" applyFont="1"/>
    <xf numFmtId="0" fontId="9" fillId="0" borderId="0" xfId="0" applyFont="1"/>
    <xf numFmtId="14" fontId="26" fillId="0" borderId="0" xfId="0" applyNumberFormat="1" applyFont="1"/>
    <xf numFmtId="0" fontId="9" fillId="0" borderId="0" xfId="0" applyFont="1" applyAlignment="1">
      <alignment wrapText="1"/>
    </xf>
    <xf numFmtId="0" fontId="9" fillId="0" borderId="0" xfId="0" quotePrefix="1" applyFont="1"/>
    <xf numFmtId="44" fontId="9" fillId="0" borderId="1" xfId="1" applyFont="1" applyFill="1" applyBorder="1" applyAlignment="1">
      <alignment vertical="center" wrapText="1"/>
    </xf>
    <xf numFmtId="14" fontId="9" fillId="0" borderId="0" xfId="0" applyNumberFormat="1" applyFont="1"/>
    <xf numFmtId="44" fontId="9" fillId="0" borderId="0" xfId="1" applyFont="1" applyFill="1"/>
    <xf numFmtId="44" fontId="9" fillId="0" borderId="27" xfId="1" applyFont="1" applyFill="1" applyBorder="1" applyAlignment="1" applyProtection="1">
      <alignment horizontal="right"/>
    </xf>
    <xf numFmtId="0" fontId="21" fillId="0" borderId="0" xfId="3"/>
    <xf numFmtId="44" fontId="4" fillId="0" borderId="0" xfId="4" applyFont="1"/>
    <xf numFmtId="44" fontId="9" fillId="0" borderId="0" xfId="4" applyFont="1" applyFill="1"/>
    <xf numFmtId="164" fontId="9" fillId="0" borderId="0" xfId="4" applyNumberFormat="1" applyFont="1" applyFill="1"/>
    <xf numFmtId="0" fontId="9" fillId="0" borderId="0" xfId="3" applyFont="1"/>
    <xf numFmtId="8" fontId="9" fillId="0" borderId="1" xfId="3" applyNumberFormat="1" applyFont="1" applyBorder="1" applyAlignment="1">
      <alignment horizontal="right" vertical="center" wrapText="1"/>
    </xf>
    <xf numFmtId="0" fontId="9" fillId="0" borderId="0" xfId="3" applyFont="1" applyAlignment="1">
      <alignment wrapText="1"/>
    </xf>
    <xf numFmtId="14" fontId="9" fillId="0" borderId="0" xfId="3" applyNumberFormat="1" applyFont="1"/>
    <xf numFmtId="8" fontId="9" fillId="0" borderId="5" xfId="3" applyNumberFormat="1" applyFont="1" applyBorder="1" applyAlignment="1">
      <alignment horizontal="right" vertical="center" wrapText="1"/>
    </xf>
    <xf numFmtId="44" fontId="4" fillId="0" borderId="1" xfId="4" applyFont="1" applyBorder="1" applyAlignment="1">
      <alignment vertical="center" wrapText="1"/>
    </xf>
    <xf numFmtId="44" fontId="9" fillId="0" borderId="1" xfId="4" applyFont="1" applyFill="1" applyBorder="1" applyAlignment="1">
      <alignment vertical="center" wrapText="1"/>
    </xf>
    <xf numFmtId="164" fontId="9" fillId="0" borderId="1" xfId="4" applyNumberFormat="1" applyFont="1" applyFill="1" applyBorder="1" applyAlignment="1">
      <alignment vertical="center" wrapText="1"/>
    </xf>
    <xf numFmtId="0" fontId="9" fillId="0" borderId="1" xfId="3" applyFont="1" applyBorder="1" applyAlignment="1">
      <alignment vertical="center" wrapText="1"/>
    </xf>
    <xf numFmtId="14" fontId="9" fillId="0" borderId="1" xfId="3" applyNumberFormat="1" applyFont="1" applyBorder="1" applyAlignment="1">
      <alignment vertical="center" wrapText="1"/>
    </xf>
    <xf numFmtId="0" fontId="9" fillId="0" borderId="1" xfId="3" applyFont="1" applyBorder="1" applyAlignment="1">
      <alignment vertical="center"/>
    </xf>
    <xf numFmtId="44" fontId="9" fillId="0" borderId="1" xfId="4" applyFont="1" applyFill="1" applyBorder="1" applyAlignment="1">
      <alignment horizontal="right" vertical="center" wrapText="1"/>
    </xf>
    <xf numFmtId="164" fontId="11" fillId="0" borderId="0" xfId="3" quotePrefix="1" applyNumberFormat="1" applyFont="1"/>
    <xf numFmtId="8" fontId="9" fillId="8" borderId="6" xfId="3" applyNumberFormat="1" applyFont="1" applyFill="1" applyBorder="1" applyAlignment="1">
      <alignment horizontal="right" vertical="center" wrapText="1"/>
    </xf>
    <xf numFmtId="44" fontId="9" fillId="0" borderId="2" xfId="4" applyFont="1" applyFill="1" applyBorder="1" applyAlignment="1">
      <alignment horizontal="center" vertical="center" wrapText="1"/>
    </xf>
    <xf numFmtId="44" fontId="9" fillId="0" borderId="1" xfId="4" applyFont="1" applyFill="1" applyBorder="1" applyAlignment="1">
      <alignment horizontal="center" vertical="center" wrapText="1"/>
    </xf>
    <xf numFmtId="0" fontId="10" fillId="0" borderId="1" xfId="3" applyFont="1" applyBorder="1" applyAlignment="1">
      <alignment vertical="center" wrapText="1"/>
    </xf>
    <xf numFmtId="44" fontId="5" fillId="7" borderId="1" xfId="4" applyFont="1" applyFill="1" applyBorder="1" applyAlignment="1" applyProtection="1">
      <alignment horizontal="right" wrapText="1"/>
    </xf>
    <xf numFmtId="44" fontId="5" fillId="4" borderId="1" xfId="4" applyFont="1" applyFill="1" applyBorder="1" applyAlignment="1" applyProtection="1">
      <alignment horizontal="right" wrapText="1"/>
    </xf>
    <xf numFmtId="164" fontId="5" fillId="4" borderId="1" xfId="4" applyNumberFormat="1" applyFont="1" applyFill="1" applyBorder="1" applyAlignment="1" applyProtection="1">
      <alignment horizontal="right" wrapText="1"/>
    </xf>
    <xf numFmtId="0" fontId="26" fillId="0" borderId="0" xfId="3" applyFont="1"/>
    <xf numFmtId="14" fontId="26" fillId="0" borderId="0" xfId="3" applyNumberFormat="1" applyFont="1"/>
    <xf numFmtId="0" fontId="26" fillId="10" borderId="0" xfId="3" applyFont="1" applyFill="1"/>
    <xf numFmtId="0" fontId="9" fillId="0" borderId="4" xfId="0" applyFont="1" applyBorder="1" applyAlignment="1" applyProtection="1">
      <alignment wrapText="1"/>
      <protection locked="0"/>
    </xf>
    <xf numFmtId="0" fontId="7" fillId="0" borderId="5" xfId="0" applyFont="1" applyBorder="1" applyAlignment="1">
      <alignment horizontal="center" wrapText="1"/>
    </xf>
    <xf numFmtId="0" fontId="9" fillId="0" borderId="4" xfId="3" applyFont="1" applyBorder="1" applyAlignment="1">
      <alignment vertical="center" wrapText="1"/>
    </xf>
    <xf numFmtId="0" fontId="9" fillId="0" borderId="0" xfId="3" quotePrefix="1" applyFont="1"/>
    <xf numFmtId="44" fontId="8" fillId="14" borderId="5" xfId="4" applyFont="1" applyFill="1" applyBorder="1" applyAlignment="1">
      <alignment horizontal="center" wrapText="1"/>
    </xf>
    <xf numFmtId="164" fontId="8" fillId="14" borderId="5" xfId="4" applyNumberFormat="1" applyFont="1" applyFill="1" applyBorder="1" applyAlignment="1">
      <alignment horizontal="center" wrapText="1"/>
    </xf>
    <xf numFmtId="0" fontId="0" fillId="10" borderId="0" xfId="0" applyFill="1"/>
    <xf numFmtId="44" fontId="0" fillId="0" borderId="0" xfId="0" applyNumberFormat="1"/>
    <xf numFmtId="164" fontId="0" fillId="0" borderId="0" xfId="0" applyNumberFormat="1"/>
    <xf numFmtId="44" fontId="8" fillId="0" borderId="0" xfId="4" applyFont="1" applyFill="1" applyBorder="1" applyAlignment="1">
      <alignment horizontal="center" wrapText="1"/>
    </xf>
    <xf numFmtId="164" fontId="8" fillId="0" borderId="0" xfId="4" applyNumberFormat="1" applyFont="1" applyFill="1" applyBorder="1" applyAlignment="1">
      <alignment horizontal="center" wrapText="1"/>
    </xf>
    <xf numFmtId="44" fontId="5" fillId="0" borderId="0" xfId="4" applyFont="1" applyFill="1" applyBorder="1" applyAlignment="1" applyProtection="1">
      <alignment horizontal="right" wrapText="1"/>
    </xf>
    <xf numFmtId="164" fontId="5" fillId="0" borderId="0" xfId="4" applyNumberFormat="1" applyFont="1" applyFill="1" applyBorder="1" applyAlignment="1" applyProtection="1">
      <alignment horizontal="right" wrapText="1"/>
    </xf>
    <xf numFmtId="44" fontId="4" fillId="0" borderId="0" xfId="1" applyFont="1"/>
    <xf numFmtId="44" fontId="8" fillId="0" borderId="28" xfId="1" applyFont="1" applyBorder="1" applyAlignment="1" applyProtection="1">
      <alignment horizontal="center" wrapText="1"/>
    </xf>
    <xf numFmtId="44" fontId="4" fillId="0" borderId="0" xfId="1" applyFont="1" applyFill="1" applyBorder="1" applyAlignment="1">
      <alignment horizontal="right" vertical="center" wrapText="1"/>
    </xf>
    <xf numFmtId="44" fontId="4" fillId="0" borderId="0" xfId="1" applyFont="1" applyBorder="1" applyAlignment="1">
      <alignment vertical="center" wrapText="1"/>
    </xf>
    <xf numFmtId="44" fontId="9" fillId="0" borderId="1" xfId="1" applyFont="1" applyBorder="1" applyAlignment="1">
      <alignment vertical="center" wrapText="1"/>
    </xf>
    <xf numFmtId="44" fontId="28" fillId="0" borderId="22" xfId="1" applyFont="1" applyBorder="1"/>
    <xf numFmtId="44" fontId="27" fillId="0" borderId="29" xfId="1" applyFont="1" applyBorder="1"/>
    <xf numFmtId="0" fontId="28" fillId="0" borderId="29" xfId="0" applyFont="1" applyBorder="1"/>
    <xf numFmtId="0" fontId="28" fillId="0" borderId="0" xfId="0" applyFont="1"/>
    <xf numFmtId="44" fontId="28" fillId="0" borderId="30" xfId="1" applyFont="1" applyBorder="1"/>
    <xf numFmtId="44" fontId="28" fillId="0" borderId="31" xfId="1" applyFont="1" applyBorder="1" applyAlignment="1">
      <alignment horizontal="right"/>
    </xf>
    <xf numFmtId="0" fontId="28" fillId="0" borderId="23" xfId="0" applyFont="1" applyBorder="1" applyAlignment="1">
      <alignment horizontal="right"/>
    </xf>
    <xf numFmtId="0" fontId="29" fillId="0" borderId="30" xfId="0" quotePrefix="1" applyFont="1" applyBorder="1" applyAlignment="1">
      <alignment horizontal="right" wrapText="1"/>
    </xf>
    <xf numFmtId="44" fontId="28" fillId="0" borderId="0" xfId="1" applyFont="1" applyBorder="1" applyAlignment="1">
      <alignment horizontal="right"/>
    </xf>
    <xf numFmtId="0" fontId="28" fillId="0" borderId="32" xfId="0" applyFont="1" applyBorder="1" applyAlignment="1">
      <alignment wrapText="1"/>
    </xf>
    <xf numFmtId="44" fontId="28" fillId="0" borderId="31" xfId="1" applyFont="1" applyBorder="1" applyAlignment="1">
      <alignment wrapText="1"/>
    </xf>
    <xf numFmtId="0" fontId="29" fillId="0" borderId="30" xfId="0" applyFont="1" applyBorder="1" applyAlignment="1">
      <alignment horizontal="right" wrapText="1"/>
    </xf>
    <xf numFmtId="44" fontId="31" fillId="0" borderId="34" xfId="1" applyFont="1" applyBorder="1" applyAlignment="1"/>
    <xf numFmtId="0" fontId="29" fillId="0" borderId="30" xfId="0" applyFont="1" applyBorder="1" applyAlignment="1">
      <alignment horizontal="right"/>
    </xf>
    <xf numFmtId="0" fontId="28" fillId="0" borderId="32" xfId="0" applyFont="1" applyBorder="1" applyAlignment="1">
      <alignment vertical="center" textRotation="180"/>
    </xf>
    <xf numFmtId="0" fontId="29" fillId="0" borderId="24" xfId="0" applyFont="1" applyBorder="1" applyAlignment="1">
      <alignment horizontal="right"/>
    </xf>
    <xf numFmtId="44" fontId="28" fillId="0" borderId="0" xfId="1" applyFont="1" applyFill="1" applyBorder="1" applyAlignment="1">
      <alignment horizontal="left"/>
    </xf>
    <xf numFmtId="44" fontId="0" fillId="11" borderId="12" xfId="0" applyNumberFormat="1" applyFill="1" applyBorder="1"/>
    <xf numFmtId="49" fontId="19" fillId="0" borderId="0" xfId="0" applyNumberFormat="1" applyFont="1"/>
    <xf numFmtId="44" fontId="0" fillId="11" borderId="12" xfId="1" applyFont="1" applyFill="1" applyBorder="1"/>
    <xf numFmtId="44" fontId="0" fillId="11" borderId="18" xfId="1" applyFont="1" applyFill="1" applyBorder="1"/>
    <xf numFmtId="44" fontId="0" fillId="11" borderId="16" xfId="0" applyNumberFormat="1" applyFill="1" applyBorder="1"/>
    <xf numFmtId="164" fontId="0" fillId="11" borderId="17" xfId="0" applyNumberFormat="1" applyFill="1" applyBorder="1"/>
    <xf numFmtId="164" fontId="0" fillId="11" borderId="39" xfId="0" applyNumberFormat="1" applyFill="1" applyBorder="1"/>
    <xf numFmtId="0" fontId="12" fillId="11" borderId="18" xfId="0" applyFont="1" applyFill="1" applyBorder="1"/>
    <xf numFmtId="0" fontId="34" fillId="16" borderId="10" xfId="0" applyFont="1" applyFill="1" applyBorder="1" applyAlignment="1">
      <alignment horizontal="left" wrapText="1"/>
    </xf>
    <xf numFmtId="0" fontId="16" fillId="11" borderId="14" xfId="0" applyFont="1" applyFill="1" applyBorder="1" applyAlignment="1">
      <alignment horizontal="left" wrapText="1"/>
    </xf>
    <xf numFmtId="44" fontId="0" fillId="11" borderId="40" xfId="1" applyFont="1" applyFill="1" applyBorder="1" applyProtection="1"/>
    <xf numFmtId="0" fontId="0" fillId="11" borderId="10" xfId="0" quotePrefix="1" applyFill="1" applyBorder="1"/>
    <xf numFmtId="44" fontId="28" fillId="15" borderId="0" xfId="1" applyFont="1" applyFill="1" applyBorder="1" applyAlignment="1">
      <alignment horizontal="left" wrapText="1"/>
    </xf>
    <xf numFmtId="0" fontId="0" fillId="11" borderId="15" xfId="0" quotePrefix="1" applyFill="1" applyBorder="1" applyAlignment="1">
      <alignment vertical="top" wrapText="1"/>
    </xf>
    <xf numFmtId="0" fontId="0" fillId="11" borderId="15" xfId="0" quotePrefix="1" applyFill="1" applyBorder="1" applyAlignment="1">
      <alignment horizontal="center" vertical="top" wrapText="1"/>
    </xf>
    <xf numFmtId="0" fontId="29" fillId="0" borderId="24" xfId="0" quotePrefix="1" applyFont="1" applyBorder="1" applyAlignment="1">
      <alignment horizontal="right" wrapText="1"/>
    </xf>
    <xf numFmtId="44" fontId="28" fillId="0" borderId="41" xfId="1" applyFont="1" applyBorder="1" applyAlignment="1">
      <alignment horizontal="left"/>
    </xf>
    <xf numFmtId="0" fontId="28" fillId="0" borderId="32" xfId="0" applyFont="1" applyBorder="1" applyAlignment="1">
      <alignment horizontal="right"/>
    </xf>
    <xf numFmtId="0" fontId="28" fillId="0" borderId="23" xfId="0" applyFont="1" applyBorder="1"/>
    <xf numFmtId="44" fontId="28" fillId="0" borderId="25" xfId="1" applyFont="1" applyFill="1" applyBorder="1" applyAlignment="1">
      <alignment horizontal="left"/>
    </xf>
    <xf numFmtId="44" fontId="31" fillId="0" borderId="0" xfId="1" applyFont="1" applyBorder="1" applyAlignment="1"/>
    <xf numFmtId="44" fontId="28" fillId="0" borderId="9" xfId="1" applyFont="1" applyBorder="1" applyAlignment="1">
      <alignment horizontal="right"/>
    </xf>
    <xf numFmtId="0" fontId="29" fillId="0" borderId="30" xfId="0" applyFont="1" applyBorder="1" applyAlignment="1">
      <alignment horizontal="center" vertical="center"/>
    </xf>
    <xf numFmtId="44" fontId="28" fillId="0" borderId="47" xfId="1" applyFont="1" applyBorder="1" applyAlignment="1">
      <alignment horizontal="right"/>
    </xf>
    <xf numFmtId="0" fontId="0" fillId="0" borderId="0" xfId="0" applyAlignment="1">
      <alignment horizontal="left" wrapText="1"/>
    </xf>
    <xf numFmtId="0" fontId="0" fillId="0" borderId="9" xfId="0" applyBorder="1"/>
    <xf numFmtId="44" fontId="28" fillId="10" borderId="44" xfId="1" applyFont="1" applyFill="1" applyBorder="1" applyAlignment="1" applyProtection="1">
      <alignment horizontal="right"/>
      <protection locked="0"/>
    </xf>
    <xf numFmtId="44" fontId="28" fillId="10" borderId="0" xfId="1" applyFont="1" applyFill="1" applyBorder="1" applyAlignment="1" applyProtection="1">
      <alignment horizontal="right"/>
      <protection locked="0"/>
    </xf>
    <xf numFmtId="44" fontId="28" fillId="10" borderId="46" xfId="1" applyFont="1" applyFill="1" applyBorder="1" applyAlignment="1" applyProtection="1">
      <alignment horizontal="right"/>
      <protection locked="0"/>
    </xf>
    <xf numFmtId="44" fontId="28" fillId="10" borderId="45" xfId="1" applyFont="1" applyFill="1" applyBorder="1" applyAlignment="1" applyProtection="1">
      <alignment horizontal="right"/>
      <protection locked="0"/>
    </xf>
    <xf numFmtId="0" fontId="28" fillId="10" borderId="0" xfId="1" applyNumberFormat="1" applyFont="1" applyFill="1" applyBorder="1" applyAlignment="1" applyProtection="1">
      <alignment horizontal="center" wrapText="1"/>
      <protection locked="0"/>
    </xf>
    <xf numFmtId="0" fontId="0" fillId="0" borderId="0" xfId="0" quotePrefix="1" applyAlignment="1">
      <alignment horizontal="right"/>
    </xf>
    <xf numFmtId="0" fontId="0" fillId="0" borderId="0" xfId="0" applyAlignment="1">
      <alignment horizontal="left" vertical="center"/>
    </xf>
    <xf numFmtId="1" fontId="4" fillId="2" borderId="0" xfId="0" applyNumberFormat="1" applyFont="1" applyFill="1" applyAlignment="1">
      <alignment wrapText="1"/>
    </xf>
    <xf numFmtId="1" fontId="4" fillId="0" borderId="0" xfId="0" applyNumberFormat="1" applyFont="1" applyAlignment="1">
      <alignment wrapText="1"/>
    </xf>
    <xf numFmtId="0" fontId="33" fillId="0" borderId="0" xfId="0" applyFont="1" applyAlignment="1">
      <alignment horizontal="center" wrapText="1"/>
    </xf>
    <xf numFmtId="0" fontId="36" fillId="0" borderId="0" xfId="0" applyFont="1"/>
    <xf numFmtId="0" fontId="36" fillId="0" borderId="0" xfId="0" applyFont="1" applyProtection="1">
      <protection locked="0"/>
    </xf>
    <xf numFmtId="0" fontId="4" fillId="0" borderId="0" xfId="0" applyFont="1" applyAlignment="1">
      <alignment vertical="center"/>
    </xf>
    <xf numFmtId="14" fontId="4" fillId="0" borderId="0" xfId="0" applyNumberFormat="1" applyFont="1" applyAlignment="1">
      <alignment vertical="center" wrapText="1"/>
    </xf>
    <xf numFmtId="0" fontId="4" fillId="0" borderId="0" xfId="0" applyFont="1" applyAlignment="1">
      <alignment vertical="center" wrapText="1"/>
    </xf>
    <xf numFmtId="44" fontId="4" fillId="0" borderId="0" xfId="1" applyFont="1" applyBorder="1" applyAlignment="1" applyProtection="1">
      <alignment vertical="center" wrapText="1"/>
    </xf>
    <xf numFmtId="44" fontId="4" fillId="0" borderId="0" xfId="1" applyFont="1" applyBorder="1" applyAlignment="1" applyProtection="1">
      <alignment wrapText="1"/>
    </xf>
    <xf numFmtId="0" fontId="4" fillId="2" borderId="0" xfId="0" applyFont="1" applyFill="1" applyAlignment="1">
      <alignment wrapText="1"/>
    </xf>
    <xf numFmtId="44" fontId="5" fillId="0" borderId="0" xfId="1" applyFont="1" applyFill="1" applyBorder="1" applyAlignment="1" applyProtection="1">
      <alignment horizontal="right" vertical="center" wrapText="1"/>
    </xf>
    <xf numFmtId="44" fontId="5" fillId="0" borderId="0" xfId="0" applyNumberFormat="1" applyFont="1" applyAlignment="1">
      <alignment horizontal="right" wrapText="1"/>
    </xf>
    <xf numFmtId="44" fontId="5" fillId="14" borderId="0" xfId="1" applyFont="1" applyFill="1" applyBorder="1" applyAlignment="1" applyProtection="1">
      <alignment horizontal="right" wrapText="1"/>
    </xf>
    <xf numFmtId="44" fontId="5" fillId="7" borderId="0" xfId="1" applyFont="1" applyFill="1" applyBorder="1" applyAlignment="1" applyProtection="1">
      <alignment horizontal="right" wrapText="1"/>
    </xf>
    <xf numFmtId="44" fontId="0" fillId="0" borderId="0" xfId="1" applyFont="1" applyBorder="1"/>
    <xf numFmtId="0" fontId="35" fillId="0" borderId="0" xfId="0" applyFont="1" applyAlignment="1">
      <alignment wrapText="1"/>
    </xf>
    <xf numFmtId="14" fontId="35" fillId="0" borderId="0" xfId="0" applyNumberFormat="1" applyFont="1" applyAlignment="1">
      <alignment wrapText="1"/>
    </xf>
    <xf numFmtId="44" fontId="33" fillId="0" borderId="0" xfId="1" applyFont="1" applyBorder="1" applyAlignment="1" applyProtection="1">
      <alignment horizontal="center" wrapText="1"/>
    </xf>
    <xf numFmtId="0" fontId="33" fillId="0" borderId="0" xfId="0" applyFont="1" applyAlignment="1">
      <alignment wrapText="1"/>
    </xf>
    <xf numFmtId="14" fontId="36" fillId="0" borderId="0" xfId="0" applyNumberFormat="1" applyFont="1" applyProtection="1">
      <protection locked="0"/>
    </xf>
    <xf numFmtId="44" fontId="36" fillId="0" borderId="0" xfId="1" applyFont="1" applyBorder="1" applyProtection="1">
      <protection locked="0"/>
    </xf>
    <xf numFmtId="44" fontId="36" fillId="0" borderId="0" xfId="1" applyFont="1" applyBorder="1" applyProtection="1"/>
    <xf numFmtId="0" fontId="36" fillId="0" borderId="0" xfId="0" applyFont="1" applyAlignment="1" applyProtection="1">
      <alignment wrapText="1"/>
      <protection locked="0"/>
    </xf>
    <xf numFmtId="14" fontId="40" fillId="18" borderId="26" xfId="0" applyNumberFormat="1" applyFont="1" applyFill="1" applyBorder="1" applyProtection="1">
      <protection locked="0"/>
    </xf>
    <xf numFmtId="8" fontId="45" fillId="0" borderId="0" xfId="0" applyNumberFormat="1" applyFont="1" applyProtection="1">
      <protection locked="0"/>
    </xf>
    <xf numFmtId="0" fontId="42" fillId="20" borderId="0" xfId="0" applyFont="1" applyFill="1" applyAlignment="1" applyProtection="1">
      <alignment wrapText="1" readingOrder="1"/>
      <protection locked="0"/>
    </xf>
    <xf numFmtId="0" fontId="42" fillId="21" borderId="0" xfId="0" applyFont="1" applyFill="1" applyAlignment="1" applyProtection="1">
      <alignment wrapText="1" readingOrder="1"/>
      <protection locked="0"/>
    </xf>
    <xf numFmtId="14" fontId="42" fillId="20" borderId="0" xfId="0" applyNumberFormat="1" applyFont="1" applyFill="1" applyAlignment="1" applyProtection="1">
      <alignment wrapText="1" readingOrder="1"/>
      <protection locked="0"/>
    </xf>
    <xf numFmtId="165" fontId="43" fillId="20" borderId="0" xfId="0" applyNumberFormat="1" applyFont="1" applyFill="1" applyAlignment="1" applyProtection="1">
      <alignment readingOrder="1"/>
      <protection locked="0"/>
    </xf>
    <xf numFmtId="165" fontId="42" fillId="20" borderId="0" xfId="0" applyNumberFormat="1" applyFont="1" applyFill="1" applyAlignment="1" applyProtection="1">
      <alignment wrapText="1" readingOrder="1"/>
      <protection locked="0"/>
    </xf>
    <xf numFmtId="14" fontId="42" fillId="21" borderId="0" xfId="0" applyNumberFormat="1" applyFont="1" applyFill="1" applyAlignment="1" applyProtection="1">
      <alignment wrapText="1" readingOrder="1"/>
      <protection locked="0"/>
    </xf>
    <xf numFmtId="0" fontId="42" fillId="21" borderId="0" xfId="0" applyFont="1" applyFill="1" applyAlignment="1" applyProtection="1">
      <alignment readingOrder="1"/>
      <protection locked="0"/>
    </xf>
    <xf numFmtId="165" fontId="43" fillId="21" borderId="0" xfId="0" applyNumberFormat="1" applyFont="1" applyFill="1" applyAlignment="1" applyProtection="1">
      <alignment readingOrder="1"/>
      <protection locked="0"/>
    </xf>
    <xf numFmtId="165" fontId="42" fillId="21" borderId="0" xfId="0" applyNumberFormat="1" applyFont="1" applyFill="1" applyAlignment="1" applyProtection="1">
      <alignment readingOrder="1"/>
      <protection locked="0"/>
    </xf>
    <xf numFmtId="0" fontId="42" fillId="20" borderId="0" xfId="0" applyFont="1" applyFill="1" applyAlignment="1" applyProtection="1">
      <alignment readingOrder="1"/>
      <protection locked="0"/>
    </xf>
    <xf numFmtId="165" fontId="42" fillId="20" borderId="0" xfId="0" applyNumberFormat="1" applyFont="1" applyFill="1" applyAlignment="1" applyProtection="1">
      <alignment readingOrder="1"/>
      <protection locked="0"/>
    </xf>
    <xf numFmtId="165" fontId="42" fillId="21" borderId="0" xfId="0" applyNumberFormat="1" applyFont="1" applyFill="1" applyAlignment="1" applyProtection="1">
      <alignment wrapText="1" readingOrder="1"/>
      <protection locked="0"/>
    </xf>
    <xf numFmtId="0" fontId="44" fillId="21" borderId="0" xfId="0" applyFont="1" applyFill="1" applyAlignment="1" applyProtection="1">
      <alignment wrapText="1" readingOrder="1"/>
      <protection locked="0"/>
    </xf>
    <xf numFmtId="0" fontId="43" fillId="21" borderId="0" xfId="0" applyFont="1" applyFill="1" applyAlignment="1" applyProtection="1">
      <alignment readingOrder="1"/>
      <protection locked="0"/>
    </xf>
    <xf numFmtId="14" fontId="41" fillId="19" borderId="53" xfId="0" applyNumberFormat="1" applyFont="1" applyFill="1" applyBorder="1" applyProtection="1">
      <protection locked="0"/>
    </xf>
    <xf numFmtId="14" fontId="41" fillId="18" borderId="53" xfId="0" applyNumberFormat="1" applyFont="1" applyFill="1" applyBorder="1" applyProtection="1">
      <protection locked="0"/>
    </xf>
    <xf numFmtId="14" fontId="40" fillId="18" borderId="54" xfId="0" applyNumberFormat="1" applyFont="1" applyFill="1" applyBorder="1" applyProtection="1">
      <protection locked="0"/>
    </xf>
    <xf numFmtId="0" fontId="40" fillId="18" borderId="54" xfId="0" applyFont="1" applyFill="1" applyBorder="1" applyProtection="1">
      <protection locked="0"/>
    </xf>
    <xf numFmtId="0" fontId="40" fillId="18" borderId="54" xfId="0" applyFont="1" applyFill="1" applyBorder="1" applyAlignment="1" applyProtection="1">
      <alignment wrapText="1"/>
      <protection locked="0"/>
    </xf>
    <xf numFmtId="0" fontId="48" fillId="22" borderId="56" xfId="0" applyFont="1" applyFill="1" applyBorder="1" applyAlignment="1">
      <alignment wrapText="1"/>
    </xf>
    <xf numFmtId="0" fontId="48" fillId="22" borderId="57" xfId="0" applyFont="1" applyFill="1" applyBorder="1" applyAlignment="1">
      <alignment wrapText="1"/>
    </xf>
    <xf numFmtId="0" fontId="49" fillId="23" borderId="58" xfId="0" applyFont="1" applyFill="1" applyBorder="1" applyAlignment="1">
      <alignment wrapText="1"/>
    </xf>
    <xf numFmtId="0" fontId="47" fillId="0" borderId="58" xfId="0" applyFont="1" applyBorder="1" applyAlignment="1">
      <alignment wrapText="1"/>
    </xf>
    <xf numFmtId="0" fontId="20" fillId="23" borderId="58" xfId="2" applyFill="1" applyBorder="1" applyAlignment="1">
      <alignment wrapText="1"/>
    </xf>
    <xf numFmtId="0" fontId="20" fillId="0" borderId="58" xfId="2" applyBorder="1" applyAlignment="1">
      <alignment wrapText="1"/>
    </xf>
    <xf numFmtId="0" fontId="47" fillId="0" borderId="59" xfId="0" applyFont="1" applyBorder="1" applyAlignment="1">
      <alignment wrapText="1"/>
    </xf>
    <xf numFmtId="0" fontId="0" fillId="0" borderId="60" xfId="0" applyBorder="1" applyAlignment="1">
      <alignment wrapText="1"/>
    </xf>
    <xf numFmtId="0" fontId="47" fillId="0" borderId="60" xfId="0" quotePrefix="1" applyFont="1" applyBorder="1" applyAlignment="1">
      <alignment wrapText="1"/>
    </xf>
    <xf numFmtId="0" fontId="0" fillId="0" borderId="61" xfId="0" applyBorder="1" applyAlignment="1">
      <alignment wrapText="1"/>
    </xf>
    <xf numFmtId="0" fontId="47" fillId="0" borderId="61" xfId="0" quotePrefix="1" applyFont="1" applyBorder="1" applyAlignment="1">
      <alignment wrapText="1"/>
    </xf>
    <xf numFmtId="0" fontId="47" fillId="0" borderId="0" xfId="0" applyFont="1" applyAlignment="1">
      <alignment wrapText="1"/>
    </xf>
    <xf numFmtId="0" fontId="0" fillId="0" borderId="0" xfId="0" applyAlignment="1">
      <alignment wrapText="1"/>
    </xf>
    <xf numFmtId="0" fontId="52" fillId="0" borderId="0" xfId="0" applyFont="1"/>
    <xf numFmtId="0" fontId="53" fillId="0" borderId="0" xfId="0" applyFont="1"/>
    <xf numFmtId="0" fontId="47" fillId="0" borderId="0" xfId="0" applyFont="1"/>
    <xf numFmtId="0" fontId="54" fillId="0" borderId="0" xfId="0" applyFont="1"/>
    <xf numFmtId="0" fontId="55" fillId="0" borderId="0" xfId="0" applyFont="1"/>
    <xf numFmtId="8" fontId="5" fillId="0" borderId="0" xfId="0" applyNumberFormat="1" applyFont="1" applyAlignment="1">
      <alignment horizontal="right" wrapText="1"/>
    </xf>
    <xf numFmtId="0" fontId="0" fillId="0" borderId="0" xfId="0" applyAlignment="1">
      <alignment horizontal="left" wrapText="1"/>
    </xf>
    <xf numFmtId="0" fontId="0" fillId="0" borderId="0" xfId="0" quotePrefix="1" applyAlignment="1">
      <alignment horizontal="left" vertical="center" wrapText="1"/>
    </xf>
    <xf numFmtId="44" fontId="5" fillId="17" borderId="0" xfId="1" applyFont="1" applyFill="1" applyBorder="1" applyAlignment="1" applyProtection="1">
      <alignment horizontal="right" wrapText="1"/>
    </xf>
    <xf numFmtId="44" fontId="5" fillId="17" borderId="0" xfId="1" applyFont="1" applyFill="1" applyBorder="1" applyAlignment="1" applyProtection="1">
      <alignment horizontal="center" wrapText="1"/>
    </xf>
    <xf numFmtId="44" fontId="6" fillId="5" borderId="0" xfId="1" applyFont="1" applyFill="1" applyBorder="1" applyAlignment="1" applyProtection="1">
      <alignment horizontal="right" wrapText="1"/>
    </xf>
    <xf numFmtId="44" fontId="6" fillId="5" borderId="0" xfId="1" applyFont="1" applyFill="1" applyBorder="1" applyAlignment="1" applyProtection="1">
      <alignment horizontal="center" vertical="center" wrapText="1"/>
    </xf>
    <xf numFmtId="0" fontId="46" fillId="0" borderId="0" xfId="0" applyFont="1" applyAlignment="1">
      <alignment horizontal="left" wrapText="1"/>
    </xf>
    <xf numFmtId="0" fontId="47" fillId="0" borderId="55" xfId="0" applyFont="1" applyBorder="1" applyAlignment="1">
      <alignment horizontal="left" wrapText="1"/>
    </xf>
    <xf numFmtId="0" fontId="19" fillId="0" borderId="0" xfId="0" applyFont="1" applyAlignment="1">
      <alignment horizontal="center"/>
    </xf>
    <xf numFmtId="0" fontId="0" fillId="11" borderId="16" xfId="0" applyFill="1" applyBorder="1" applyAlignment="1">
      <alignment horizontal="center"/>
    </xf>
    <xf numFmtId="0" fontId="0" fillId="11" borderId="17" xfId="0" applyFill="1" applyBorder="1" applyAlignment="1">
      <alignment horizontal="center"/>
    </xf>
    <xf numFmtId="0" fontId="0" fillId="12" borderId="22" xfId="0" applyFill="1" applyBorder="1" applyAlignment="1">
      <alignment horizontal="left"/>
    </xf>
    <xf numFmtId="0" fontId="0" fillId="12" borderId="23" xfId="0" applyFill="1" applyBorder="1" applyAlignment="1">
      <alignment horizontal="left"/>
    </xf>
    <xf numFmtId="0" fontId="0" fillId="11" borderId="10" xfId="0" applyFill="1" applyBorder="1" applyAlignment="1">
      <alignment horizontal="center"/>
    </xf>
    <xf numFmtId="0" fontId="0" fillId="11" borderId="10" xfId="0" applyFill="1" applyBorder="1" applyAlignment="1">
      <alignment horizontal="center" vertical="center"/>
    </xf>
    <xf numFmtId="0" fontId="16" fillId="13" borderId="22" xfId="0" applyFont="1" applyFill="1" applyBorder="1" applyAlignment="1">
      <alignment horizontal="left" wrapText="1" indent="1"/>
    </xf>
    <xf numFmtId="0" fontId="16" fillId="13" borderId="23" xfId="0" applyFont="1" applyFill="1" applyBorder="1" applyAlignment="1">
      <alignment horizontal="left" wrapText="1" indent="1"/>
    </xf>
    <xf numFmtId="0" fontId="16" fillId="13" borderId="24" xfId="0" applyFont="1" applyFill="1" applyBorder="1" applyAlignment="1">
      <alignment horizontal="left" wrapText="1" indent="1"/>
    </xf>
    <xf numFmtId="0" fontId="16" fillId="13" borderId="25" xfId="0" applyFont="1" applyFill="1" applyBorder="1" applyAlignment="1">
      <alignment horizontal="left" wrapText="1" indent="1"/>
    </xf>
    <xf numFmtId="0" fontId="0" fillId="11" borderId="20" xfId="0" applyFill="1" applyBorder="1" applyAlignment="1">
      <alignment horizontal="center"/>
    </xf>
    <xf numFmtId="0" fontId="0" fillId="0" borderId="9" xfId="0" applyBorder="1" applyAlignment="1">
      <alignment vertical="top" wrapText="1"/>
    </xf>
    <xf numFmtId="0" fontId="16" fillId="11" borderId="14" xfId="0" applyFont="1" applyFill="1" applyBorder="1" applyAlignment="1">
      <alignment horizontal="right" wrapText="1"/>
    </xf>
    <xf numFmtId="0" fontId="16" fillId="11" borderId="10" xfId="0" applyFont="1" applyFill="1" applyBorder="1" applyAlignment="1">
      <alignment horizontal="right" wrapText="1"/>
    </xf>
    <xf numFmtId="164" fontId="0" fillId="11" borderId="10" xfId="0" applyNumberFormat="1" applyFill="1" applyBorder="1" applyAlignment="1">
      <alignment horizontal="center" wrapText="1"/>
    </xf>
    <xf numFmtId="0" fontId="0" fillId="11" borderId="16" xfId="0" applyFill="1" applyBorder="1" applyAlignment="1">
      <alignment horizontal="left"/>
    </xf>
    <xf numFmtId="0" fontId="0" fillId="11" borderId="17" xfId="0" applyFill="1" applyBorder="1" applyAlignment="1">
      <alignment horizontal="left"/>
    </xf>
    <xf numFmtId="0" fontId="0" fillId="11" borderId="40" xfId="0" applyFill="1" applyBorder="1" applyAlignment="1">
      <alignment horizontal="center"/>
    </xf>
    <xf numFmtId="0" fontId="28" fillId="0" borderId="32" xfId="0" applyFont="1" applyBorder="1" applyAlignment="1">
      <alignment horizontal="center" vertical="center" textRotation="180" wrapText="1"/>
    </xf>
    <xf numFmtId="0" fontId="28" fillId="0" borderId="25" xfId="0" applyFont="1" applyBorder="1" applyAlignment="1">
      <alignment horizontal="center" vertical="center" textRotation="180" wrapText="1"/>
    </xf>
    <xf numFmtId="44" fontId="39" fillId="0" borderId="48" xfId="1" applyFont="1" applyBorder="1" applyAlignment="1">
      <alignment horizontal="center" vertical="center" wrapText="1"/>
    </xf>
    <xf numFmtId="44" fontId="39" fillId="0" borderId="51" xfId="1" applyFont="1" applyBorder="1" applyAlignment="1">
      <alignment horizontal="center" vertical="center"/>
    </xf>
    <xf numFmtId="0" fontId="29" fillId="0" borderId="30" xfId="0" applyFont="1" applyBorder="1" applyAlignment="1">
      <alignment horizontal="center" vertical="center"/>
    </xf>
    <xf numFmtId="0" fontId="0" fillId="0" borderId="9" xfId="0" applyBorder="1" applyAlignment="1">
      <alignment horizontal="center"/>
    </xf>
    <xf numFmtId="44" fontId="32" fillId="15" borderId="0" xfId="1" applyFont="1" applyFill="1" applyBorder="1" applyAlignment="1">
      <alignment wrapText="1"/>
    </xf>
    <xf numFmtId="44" fontId="28" fillId="15" borderId="31" xfId="1" applyFont="1" applyFill="1" applyBorder="1" applyAlignment="1">
      <alignment wrapText="1"/>
    </xf>
    <xf numFmtId="44" fontId="28" fillId="15" borderId="0" xfId="1" applyFont="1" applyFill="1" applyBorder="1" applyAlignment="1">
      <alignment wrapText="1"/>
    </xf>
    <xf numFmtId="44" fontId="30" fillId="15" borderId="31" xfId="1" applyFont="1" applyFill="1" applyBorder="1" applyAlignment="1">
      <alignment wrapText="1"/>
    </xf>
    <xf numFmtId="44" fontId="28" fillId="15" borderId="9" xfId="1" applyFont="1" applyFill="1" applyBorder="1" applyAlignment="1">
      <alignment wrapText="1"/>
    </xf>
    <xf numFmtId="44" fontId="30" fillId="15" borderId="0" xfId="1" applyFont="1" applyFill="1" applyBorder="1" applyAlignment="1">
      <alignment wrapText="1"/>
    </xf>
    <xf numFmtId="44" fontId="32" fillId="15" borderId="35" xfId="1" applyFont="1" applyFill="1" applyBorder="1" applyAlignment="1">
      <alignment wrapText="1"/>
    </xf>
    <xf numFmtId="44" fontId="28" fillId="15" borderId="33" xfId="1" applyFont="1" applyFill="1" applyBorder="1" applyAlignment="1">
      <alignment wrapText="1"/>
    </xf>
    <xf numFmtId="44" fontId="29" fillId="0" borderId="49" xfId="1" applyFont="1" applyBorder="1" applyAlignment="1">
      <alignment horizontal="left"/>
    </xf>
    <xf numFmtId="44" fontId="28" fillId="15" borderId="36" xfId="1" applyFont="1" applyFill="1" applyBorder="1" applyAlignment="1">
      <alignment wrapText="1"/>
    </xf>
    <xf numFmtId="44" fontId="28" fillId="15" borderId="37" xfId="1" applyFont="1" applyFill="1" applyBorder="1" applyAlignment="1">
      <alignment wrapText="1"/>
    </xf>
    <xf numFmtId="44" fontId="28" fillId="15" borderId="42" xfId="1" applyFont="1" applyFill="1" applyBorder="1" applyAlignment="1">
      <alignment wrapText="1"/>
    </xf>
    <xf numFmtId="44" fontId="28" fillId="15" borderId="38" xfId="1" applyFont="1" applyFill="1" applyBorder="1" applyAlignment="1">
      <alignment wrapText="1"/>
    </xf>
    <xf numFmtId="44" fontId="28" fillId="15" borderId="0" xfId="1" applyFont="1" applyFill="1" applyBorder="1" applyAlignment="1">
      <alignment horizontal="left" wrapText="1"/>
    </xf>
    <xf numFmtId="44" fontId="28" fillId="0" borderId="0" xfId="1" applyFont="1" applyFill="1" applyBorder="1" applyAlignment="1">
      <alignment wrapText="1"/>
    </xf>
    <xf numFmtId="44" fontId="30" fillId="15" borderId="49" xfId="1" applyFont="1" applyFill="1" applyBorder="1" applyAlignment="1">
      <alignment wrapText="1"/>
    </xf>
    <xf numFmtId="44" fontId="30" fillId="15" borderId="50" xfId="1" applyFont="1" applyFill="1" applyBorder="1" applyAlignment="1">
      <alignment wrapText="1"/>
    </xf>
    <xf numFmtId="44" fontId="38" fillId="15" borderId="43" xfId="1" applyFont="1" applyFill="1" applyBorder="1" applyAlignment="1">
      <alignment horizontal="left" vertical="top" wrapText="1" indent="1"/>
    </xf>
    <xf numFmtId="44" fontId="38" fillId="15" borderId="52" xfId="1" applyFont="1" applyFill="1" applyBorder="1" applyAlignment="1">
      <alignment horizontal="left" vertical="top" wrapText="1" indent="1"/>
    </xf>
    <xf numFmtId="0" fontId="0" fillId="0" borderId="30" xfId="0" applyBorder="1" applyAlignment="1" applyProtection="1">
      <alignment horizontal="center" vertical="center" textRotation="180"/>
      <protection locked="0"/>
    </xf>
    <xf numFmtId="44" fontId="5" fillId="6" borderId="2" xfId="1" applyFont="1" applyFill="1" applyBorder="1" applyAlignment="1" applyProtection="1">
      <alignment horizontal="right" wrapText="1"/>
    </xf>
    <xf numFmtId="44" fontId="5" fillId="6" borderId="3" xfId="1" applyFont="1" applyFill="1" applyBorder="1" applyAlignment="1" applyProtection="1">
      <alignment horizontal="right" wrapText="1"/>
    </xf>
    <xf numFmtId="44" fontId="5" fillId="6" borderId="3" xfId="1" applyFont="1" applyFill="1" applyBorder="1" applyAlignment="1" applyProtection="1">
      <alignment horizontal="center" wrapText="1"/>
    </xf>
    <xf numFmtId="44" fontId="6" fillId="5" borderId="3" xfId="1" applyFont="1" applyFill="1" applyBorder="1" applyAlignment="1" applyProtection="1">
      <alignment horizontal="right" wrapText="1"/>
    </xf>
    <xf numFmtId="44" fontId="6" fillId="5" borderId="3" xfId="1" applyFont="1" applyFill="1" applyBorder="1" applyAlignment="1" applyProtection="1">
      <alignment horizontal="center" vertical="center" wrapText="1"/>
    </xf>
    <xf numFmtId="44" fontId="6" fillId="5" borderId="4" xfId="1" applyFont="1" applyFill="1" applyBorder="1" applyAlignment="1" applyProtection="1">
      <alignment horizontal="center" vertical="center" wrapText="1"/>
    </xf>
    <xf numFmtId="44" fontId="6" fillId="5" borderId="8" xfId="1" applyFont="1" applyFill="1" applyBorder="1" applyAlignment="1" applyProtection="1">
      <alignment horizontal="right" wrapText="1"/>
    </xf>
    <xf numFmtId="0" fontId="18" fillId="11" borderId="14" xfId="0" applyFont="1" applyFill="1" applyBorder="1" applyAlignment="1">
      <alignment horizontal="right" wrapText="1"/>
    </xf>
    <xf numFmtId="0" fontId="18" fillId="11" borderId="10" xfId="0" applyFont="1" applyFill="1" applyBorder="1" applyAlignment="1">
      <alignment horizontal="right" wrapText="1"/>
    </xf>
  </cellXfs>
  <cellStyles count="5">
    <cellStyle name="Currency" xfId="1" builtinId="4"/>
    <cellStyle name="Currency 2" xfId="4" xr:uid="{B409F1DC-CE8C-4AE9-964A-10CD0A63400F}"/>
    <cellStyle name="Hyperlink" xfId="2" builtinId="8"/>
    <cellStyle name="Normal" xfId="0" builtinId="0"/>
    <cellStyle name="Normal 2" xfId="3" xr:uid="{F97A3ED0-E695-4151-BC41-D83C5D544621}"/>
  </cellStyles>
  <dxfs count="45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numFmt numFmtId="19" formatCode="m/d/yyyy"/>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9"/>
        <color theme="1"/>
        <name val="Girl Scout Text Book"/>
        <family val="1"/>
        <scheme val="none"/>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alignment horizontal="right" textRotation="0" indent="0" justifyLastLine="0" shrinkToFit="0" readingOrder="0"/>
      <protection locked="1" hidden="0"/>
    </dxf>
    <dxf>
      <font>
        <b val="0"/>
        <i val="0"/>
        <strike val="0"/>
        <condense val="0"/>
        <extend val="0"/>
        <outline val="0"/>
        <shadow val="0"/>
        <u val="none"/>
        <vertAlign val="baseline"/>
        <sz val="9"/>
        <color theme="1"/>
        <name val="Calibri"/>
        <family val="2"/>
        <scheme val="none"/>
      </font>
      <alignment horizontal="right" textRotation="0" indent="0" justifyLastLine="0" shrinkToFit="0" readingOrder="0"/>
      <protection locked="1" hidden="0"/>
    </dxf>
    <dxf>
      <border outline="0">
        <top style="medium">
          <color rgb="FFCCCCCC"/>
        </top>
      </border>
    </dxf>
    <dxf>
      <font>
        <b val="0"/>
        <i val="0"/>
        <strike val="0"/>
        <condense val="0"/>
        <extend val="0"/>
        <outline val="0"/>
        <shadow val="0"/>
        <u val="none"/>
        <vertAlign val="baseline"/>
        <sz val="9"/>
        <color rgb="FF000000"/>
        <name val="Calibri"/>
        <family val="2"/>
        <scheme val="none"/>
      </font>
      <alignment horizontal="right" textRotation="0" indent="0" justifyLastLine="0" shrinkToFit="0" readingOrder="0"/>
      <protection locked="1" hidden="0"/>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border>
        <left style="medium">
          <color rgb="FFCCCCCC"/>
        </left>
      </border>
      <protection locked="1" hidden="0"/>
    </dxf>
    <dxf>
      <font>
        <strike val="0"/>
        <outline val="0"/>
        <shadow val="0"/>
        <u val="none"/>
        <vertAlign val="baseline"/>
        <sz val="9"/>
        <color auto="1"/>
        <name val="Calibri"/>
        <family val="2"/>
        <scheme val="none"/>
      </font>
      <numFmt numFmtId="0" formatCode="General"/>
      <fill>
        <patternFill patternType="none">
          <fgColor indexed="64"/>
          <bgColor auto="1"/>
        </patternFill>
      </fill>
      <alignment vertical="bottom" textRotation="0" indent="0" justifyLastLine="0" shrinkToFit="0" readingOrder="0"/>
      <protection locked="0" hidden="0"/>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bottom" textRotation="0" wrapText="1" indent="0" justifyLastLine="0" shrinkToFit="0" readingOrder="0"/>
      <border diagonalUp="0" diagonalDown="0">
        <left style="medium">
          <color rgb="FFCCCCCC"/>
        </left>
        <right/>
        <top style="medium">
          <color rgb="FFCCCCCC"/>
        </top>
        <bottom style="medium">
          <color rgb="FFCCCCCC"/>
        </bottom>
      </border>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horizontal="general" vertical="bottom" textRotation="0" wrapText="1"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numFmt numFmtId="19" formatCode="m/d/yyyy"/>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border outline="0">
        <top style="medium">
          <color rgb="FFCCCCCC"/>
        </top>
      </border>
    </dxf>
    <dxf>
      <font>
        <strike val="0"/>
        <outline val="0"/>
        <shadow val="0"/>
        <u val="none"/>
        <vertAlign val="baseline"/>
        <sz val="9"/>
        <color auto="1"/>
        <name val="Calibri"/>
        <family val="2"/>
        <scheme val="none"/>
      </font>
      <fill>
        <patternFill patternType="none">
          <fgColor rgb="FF000000"/>
          <bgColor auto="1"/>
        </patternFill>
      </fill>
      <alignment vertical="bottom" textRotation="0" indent="0" justifyLastLine="0" shrinkToFit="0" readingOrder="0"/>
      <protection locked="0" hidden="0"/>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dxf>
    <dxf>
      <font>
        <b val="0"/>
        <i val="0"/>
        <strike val="0"/>
        <condense val="0"/>
        <extend val="0"/>
        <outline val="0"/>
        <shadow val="0"/>
        <u val="none"/>
        <vertAlign val="baseline"/>
        <sz val="9"/>
        <color theme="1"/>
        <name val="Calibri"/>
        <family val="2"/>
        <scheme val="none"/>
      </font>
      <numFmt numFmtId="34" formatCode="_(&quot;$&quot;* #,##0.00_);_(&quot;$&quot;* \(#,##0.00\);_(&quot;$&quot;* &quot;-&quot;??_);_(@_)"/>
    </dxf>
    <dxf>
      <border outline="0">
        <top style="medium">
          <color rgb="FFCCCCCC"/>
        </top>
      </border>
    </dxf>
    <dxf>
      <font>
        <b val="0"/>
        <i val="0"/>
        <strike val="0"/>
        <condense val="0"/>
        <extend val="0"/>
        <outline val="0"/>
        <shadow val="0"/>
        <u val="none"/>
        <vertAlign val="baseline"/>
        <sz val="9"/>
        <color theme="1"/>
        <name val="Calibri"/>
        <family val="2"/>
        <scheme val="none"/>
      </font>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9"/>
        <color auto="1"/>
        <name val="Calibri"/>
        <family val="2"/>
        <scheme val="none"/>
      </font>
      <numFmt numFmtId="0" formatCode="General"/>
      <fill>
        <patternFill patternType="none">
          <fgColor indexed="64"/>
          <bgColor auto="1"/>
        </patternFill>
      </fill>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dxf>
    <dxf>
      <font>
        <strike val="0"/>
        <outline val="0"/>
        <shadow val="0"/>
        <u val="none"/>
        <vertAlign val="baseline"/>
        <sz val="9"/>
        <color auto="1"/>
        <name val="Calibri"/>
        <family val="2"/>
        <scheme val="none"/>
      </font>
      <fill>
        <patternFill patternType="none">
          <fgColor indexed="64"/>
          <bgColor auto="1"/>
        </patternFill>
      </fill>
    </dxf>
    <dxf>
      <font>
        <strike val="0"/>
        <outline val="0"/>
        <shadow val="0"/>
        <u val="none"/>
        <vertAlign val="baseline"/>
        <sz val="9"/>
        <color auto="1"/>
        <name val="Calibri"/>
        <family val="2"/>
        <scheme val="none"/>
      </font>
      <numFmt numFmtId="19" formatCode="m/d/yyyy"/>
      <fill>
        <patternFill patternType="none">
          <fgColor indexed="64"/>
          <bgColor auto="1"/>
        </patternFill>
      </fill>
    </dxf>
    <dxf>
      <font>
        <strike val="0"/>
        <outline val="0"/>
        <shadow val="0"/>
        <u val="none"/>
        <vertAlign val="baseline"/>
        <sz val="9"/>
        <color auto="1"/>
        <name val="Calibri"/>
        <family val="2"/>
        <scheme val="none"/>
      </font>
      <fill>
        <patternFill patternType="none">
          <fgColor indexed="64"/>
          <bgColor auto="1"/>
        </patternFill>
      </fill>
    </dxf>
    <dxf>
      <border outline="0">
        <top style="medium">
          <color rgb="FFCCCCCC"/>
        </top>
      </border>
    </dxf>
    <dxf>
      <font>
        <strike val="0"/>
        <outline val="0"/>
        <shadow val="0"/>
        <u val="none"/>
        <vertAlign val="baseline"/>
        <sz val="9"/>
        <color auto="1"/>
        <name val="Calibri"/>
        <family val="2"/>
        <scheme val="none"/>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alignment horizontal="right" textRotation="0" indent="0" justifyLastLine="0" shrinkToFit="0" readingOrder="0"/>
      <protection locked="1" hidden="0"/>
    </dxf>
    <dxf>
      <font>
        <b val="0"/>
        <i val="0"/>
        <strike val="0"/>
        <condense val="0"/>
        <extend val="0"/>
        <outline val="0"/>
        <shadow val="0"/>
        <u val="none"/>
        <vertAlign val="baseline"/>
        <sz val="9"/>
        <color theme="1"/>
        <name val="Calibri"/>
        <family val="2"/>
        <scheme val="none"/>
      </font>
      <alignment horizontal="right" textRotation="0" indent="0" justifyLastLine="0" shrinkToFit="0" readingOrder="0"/>
      <protection locked="1" hidden="0"/>
    </dxf>
    <dxf>
      <border outline="0">
        <top style="medium">
          <color rgb="FFCCCCCC"/>
        </top>
      </border>
    </dxf>
    <dxf>
      <font>
        <b val="0"/>
        <i val="0"/>
        <strike val="0"/>
        <condense val="0"/>
        <extend val="0"/>
        <outline val="0"/>
        <shadow val="0"/>
        <u val="none"/>
        <vertAlign val="baseline"/>
        <sz val="9"/>
        <color rgb="FF000000"/>
        <name val="Calibri"/>
        <family val="2"/>
        <scheme val="none"/>
      </font>
      <alignment horizontal="right" textRotation="0" indent="0" justifyLastLine="0" shrinkToFit="0" readingOrder="0"/>
      <protection locked="1" hidden="0"/>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border>
        <left style="medium">
          <color rgb="FFCCCCCC"/>
        </left>
      </border>
      <protection locked="1" hidden="0"/>
    </dxf>
    <dxf>
      <font>
        <strike val="0"/>
        <outline val="0"/>
        <shadow val="0"/>
        <u val="none"/>
        <vertAlign val="baseline"/>
        <sz val="9"/>
        <color auto="1"/>
        <name val="Calibri"/>
        <family val="2"/>
        <scheme val="none"/>
      </font>
      <numFmt numFmtId="0" formatCode="General"/>
      <fill>
        <patternFill patternType="none">
          <fgColor indexed="64"/>
          <bgColor auto="1"/>
        </patternFill>
      </fill>
      <alignment vertical="bottom" textRotation="0" indent="0" justifyLastLine="0" shrinkToFit="0" readingOrder="0"/>
      <protection locked="0" hidden="0"/>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bottom" textRotation="0" wrapText="1" indent="0" justifyLastLine="0" shrinkToFit="0" readingOrder="0"/>
      <border diagonalUp="0" diagonalDown="0">
        <left style="medium">
          <color rgb="FFCCCCCC"/>
        </left>
        <right/>
        <top style="medium">
          <color rgb="FFCCCCCC"/>
        </top>
        <bottom style="medium">
          <color rgb="FFCCCCCC"/>
        </bottom>
      </border>
      <protection locked="0" hidden="0"/>
    </dxf>
    <dxf>
      <font>
        <strike val="0"/>
        <outline val="0"/>
        <shadow val="0"/>
        <u val="none"/>
        <vertAlign val="baseline"/>
        <sz val="10"/>
        <color rgb="FF000000"/>
        <name val="Helvetica Neue"/>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10"/>
        <color rgb="FF000000"/>
        <name val="Helvetica Neue"/>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horizontal="general" vertical="bottom" textRotation="0" wrapText="1"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10"/>
        <color rgb="FF000000"/>
        <name val="Helvetica Neue"/>
        <family val="2"/>
        <scheme val="none"/>
      </font>
      <numFmt numFmtId="19" formatCode="m/d/yyyy"/>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10"/>
        <color rgb="FF000000"/>
        <name val="Helvetica Neue"/>
        <family val="2"/>
        <scheme val="none"/>
      </font>
      <fill>
        <patternFill patternType="none">
          <fgColor indexed="64"/>
          <bgColor auto="1"/>
        </patternFill>
      </fill>
      <alignment vertical="bottom" textRotation="0" indent="0" justifyLastLine="0" shrinkToFit="0" readingOrder="0"/>
      <protection locked="0" hidden="0"/>
    </dxf>
    <dxf>
      <border outline="0">
        <top style="medium">
          <color rgb="FFCCCCCC"/>
        </top>
      </border>
    </dxf>
    <dxf>
      <font>
        <strike val="0"/>
        <outline val="0"/>
        <shadow val="0"/>
        <u val="none"/>
        <vertAlign val="baseline"/>
        <sz val="9"/>
        <color auto="1"/>
        <name val="Calibri"/>
        <family val="2"/>
        <scheme val="none"/>
      </font>
      <fill>
        <patternFill patternType="none">
          <fgColor rgb="FF000000"/>
          <bgColor auto="1"/>
        </patternFill>
      </fill>
      <alignment vertical="bottom" textRotation="0" indent="0" justifyLastLine="0" shrinkToFit="0" readingOrder="0"/>
      <protection locked="0" hidden="0"/>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alignment horizontal="right" textRotation="0" indent="0" justifyLastLine="0" shrinkToFit="0" readingOrder="0"/>
      <protection locked="1" hidden="0"/>
    </dxf>
    <dxf>
      <font>
        <b val="0"/>
        <i val="0"/>
        <strike val="0"/>
        <condense val="0"/>
        <extend val="0"/>
        <outline val="0"/>
        <shadow val="0"/>
        <u val="none"/>
        <vertAlign val="baseline"/>
        <sz val="9"/>
        <color theme="1"/>
        <name val="Calibri"/>
        <family val="2"/>
        <scheme val="none"/>
      </font>
      <alignment horizontal="right" textRotation="0" indent="0" justifyLastLine="0" shrinkToFit="0" readingOrder="0"/>
      <protection locked="1" hidden="0"/>
    </dxf>
    <dxf>
      <border outline="0">
        <top style="medium">
          <color rgb="FFCCCCCC"/>
        </top>
      </border>
    </dxf>
    <dxf>
      <font>
        <b val="0"/>
        <i val="0"/>
        <strike val="0"/>
        <condense val="0"/>
        <extend val="0"/>
        <outline val="0"/>
        <shadow val="0"/>
        <u val="none"/>
        <vertAlign val="baseline"/>
        <sz val="9"/>
        <color rgb="FF000000"/>
        <name val="Calibri"/>
        <family val="2"/>
        <scheme val="none"/>
      </font>
      <alignment horizontal="right" textRotation="0" indent="0" justifyLastLine="0" shrinkToFit="0" readingOrder="0"/>
      <protection locked="1" hidden="0"/>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border>
        <left style="medium">
          <color rgb="FFCCCCCC"/>
        </left>
      </border>
      <protection locked="1" hidden="0"/>
    </dxf>
    <dxf>
      <font>
        <strike val="0"/>
        <outline val="0"/>
        <shadow val="0"/>
        <u val="none"/>
        <vertAlign val="baseline"/>
        <sz val="9"/>
        <color auto="1"/>
        <name val="Calibri"/>
        <family val="2"/>
        <scheme val="none"/>
      </font>
      <numFmt numFmtId="0" formatCode="General"/>
      <fill>
        <patternFill patternType="none">
          <fgColor indexed="64"/>
          <bgColor auto="1"/>
        </patternFill>
      </fill>
      <alignment vertical="bottom" textRotation="0" indent="0" justifyLastLine="0" shrinkToFit="0" readingOrder="0"/>
      <protection locked="0" hidden="0"/>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bottom" textRotation="0" wrapText="1" indent="0" justifyLastLine="0" shrinkToFit="0" readingOrder="0"/>
      <border diagonalUp="0" diagonalDown="0">
        <left style="medium">
          <color rgb="FFCCCCCC"/>
        </left>
        <right/>
        <top style="medium">
          <color rgb="FFCCCCCC"/>
        </top>
        <bottom style="medium">
          <color rgb="FFCCCCCC"/>
        </bottom>
      </border>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horizontal="general" vertical="bottom" textRotation="0" wrapText="1"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numFmt numFmtId="19" formatCode="m/d/yyyy"/>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border outline="0">
        <top style="medium">
          <color rgb="FFCCCCCC"/>
        </top>
      </border>
    </dxf>
    <dxf>
      <font>
        <strike val="0"/>
        <outline val="0"/>
        <shadow val="0"/>
        <u val="none"/>
        <vertAlign val="baseline"/>
        <sz val="9"/>
        <color auto="1"/>
        <name val="Calibri"/>
        <family val="2"/>
        <scheme val="none"/>
      </font>
      <fill>
        <patternFill patternType="none">
          <fgColor rgb="FF000000"/>
          <bgColor auto="1"/>
        </patternFill>
      </fill>
      <alignment vertical="bottom" textRotation="0" indent="0" justifyLastLine="0" shrinkToFit="0" readingOrder="0"/>
      <protection locked="0" hidden="0"/>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alignment horizontal="right" textRotation="0" indent="0" justifyLastLine="0" shrinkToFit="0" readingOrder="0"/>
      <protection locked="1" hidden="0"/>
    </dxf>
    <dxf>
      <font>
        <b val="0"/>
        <i val="0"/>
        <strike val="0"/>
        <condense val="0"/>
        <extend val="0"/>
        <outline val="0"/>
        <shadow val="0"/>
        <u val="none"/>
        <vertAlign val="baseline"/>
        <sz val="9"/>
        <color theme="1"/>
        <name val="Calibri"/>
        <family val="2"/>
        <scheme val="none"/>
      </font>
      <alignment horizontal="right" textRotation="0" indent="0" justifyLastLine="0" shrinkToFit="0" readingOrder="0"/>
      <protection locked="1" hidden="0"/>
    </dxf>
    <dxf>
      <border outline="0">
        <top style="medium">
          <color rgb="FFCCCCCC"/>
        </top>
      </border>
    </dxf>
    <dxf>
      <font>
        <b val="0"/>
        <i val="0"/>
        <strike val="0"/>
        <condense val="0"/>
        <extend val="0"/>
        <outline val="0"/>
        <shadow val="0"/>
        <u val="none"/>
        <vertAlign val="baseline"/>
        <sz val="9"/>
        <color rgb="FF000000"/>
        <name val="Calibri"/>
        <family val="2"/>
        <scheme val="none"/>
      </font>
      <alignment horizontal="right" textRotation="0" indent="0" justifyLastLine="0" shrinkToFit="0" readingOrder="0"/>
      <protection locked="1" hidden="0"/>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protection locked="1" hidden="0"/>
    </dxf>
    <dxf>
      <font>
        <strike val="0"/>
        <outline val="0"/>
        <shadow val="0"/>
        <u val="none"/>
        <vertAlign val="baseline"/>
        <sz val="9"/>
        <color auto="1"/>
        <name val="Calibri"/>
        <family val="2"/>
        <scheme val="none"/>
      </font>
      <fill>
        <patternFill patternType="none">
          <fgColor indexed="64"/>
          <bgColor auto="1"/>
        </patternFill>
      </fill>
      <alignment horizontal="right" vertical="bottom" textRotation="0" indent="0" justifyLastLine="0" shrinkToFit="0" readingOrder="0"/>
      <border>
        <left style="medium">
          <color rgb="FFCCCCCC"/>
        </left>
      </border>
      <protection locked="1" hidden="0"/>
    </dxf>
    <dxf>
      <font>
        <strike val="0"/>
        <outline val="0"/>
        <shadow val="0"/>
        <u val="none"/>
        <vertAlign val="baseline"/>
        <sz val="9"/>
        <color auto="1"/>
        <name val="Calibri"/>
        <family val="2"/>
        <scheme val="none"/>
      </font>
      <numFmt numFmtId="0" formatCode="General"/>
      <fill>
        <patternFill patternType="none">
          <fgColor indexed="64"/>
          <bgColor auto="1"/>
        </patternFill>
      </fill>
      <alignment vertical="bottom" textRotation="0" indent="0" justifyLastLine="0" shrinkToFit="0" readingOrder="0"/>
      <protection locked="0" hidden="0"/>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bottom" textRotation="0" wrapText="1" indent="0" justifyLastLine="0" shrinkToFit="0" readingOrder="0"/>
      <border diagonalUp="0" diagonalDown="0">
        <left style="medium">
          <color rgb="FFCCCCCC"/>
        </left>
        <right/>
        <top style="medium">
          <color rgb="FFCCCCCC"/>
        </top>
        <bottom style="medium">
          <color rgb="FFCCCCCC"/>
        </bottom>
      </border>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horizontal="general" vertical="bottom" textRotation="0" wrapText="1"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numFmt numFmtId="19" formatCode="m/d/yyyy"/>
      <fill>
        <patternFill patternType="none">
          <fgColor indexed="64"/>
          <bgColor auto="1"/>
        </patternFill>
      </fill>
      <alignment vertical="bottom" textRotation="0"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alignment vertical="bottom" textRotation="0" indent="0" justifyLastLine="0" shrinkToFit="0" readingOrder="0"/>
      <protection locked="0" hidden="0"/>
    </dxf>
    <dxf>
      <border outline="0">
        <top style="medium">
          <color rgb="FFCCCCCC"/>
        </top>
      </border>
    </dxf>
    <dxf>
      <font>
        <strike val="0"/>
        <outline val="0"/>
        <shadow val="0"/>
        <u val="none"/>
        <vertAlign val="baseline"/>
        <sz val="9"/>
        <color auto="1"/>
        <name val="Calibri"/>
        <family val="2"/>
        <scheme val="none"/>
      </font>
      <fill>
        <patternFill patternType="none">
          <fgColor rgb="FF000000"/>
          <bgColor auto="1"/>
        </patternFill>
      </fill>
      <alignment vertical="bottom" textRotation="0" indent="0" justifyLastLine="0" shrinkToFit="0" readingOrder="0"/>
      <protection locked="0" hidden="0"/>
    </dxf>
    <dxf>
      <border outline="0">
        <bottom style="medium">
          <color rgb="FFCCCCCC"/>
        </bottom>
      </border>
    </dxf>
    <dxf>
      <font>
        <b val="0"/>
        <i val="0"/>
        <strike val="0"/>
        <condense val="0"/>
        <extend val="0"/>
        <outline val="0"/>
        <shadow val="0"/>
        <u val="none"/>
        <vertAlign val="baseline"/>
        <sz val="8"/>
        <color theme="0"/>
        <name val="Calibri"/>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rgb="FFCCCCCC"/>
        </left>
        <right style="medium">
          <color rgb="FFCCCCCC"/>
        </right>
        <top/>
        <bottom/>
      </border>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protection locked="1" hidden="0"/>
    </dxf>
    <dxf>
      <border outline="0">
        <top style="medium">
          <color rgb="FFCCCCCC"/>
        </top>
      </border>
    </dxf>
    <dxf>
      <font>
        <b val="0"/>
        <i val="0"/>
        <strike val="0"/>
        <condense val="0"/>
        <extend val="0"/>
        <outline val="0"/>
        <shadow val="0"/>
        <u val="none"/>
        <vertAlign val="baseline"/>
        <sz val="9"/>
        <color rgb="FF000000"/>
        <name val="Calibri"/>
        <family val="2"/>
        <scheme val="none"/>
      </font>
      <protection locked="1" hidden="0"/>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b val="0"/>
        <i val="0"/>
        <strike val="0"/>
        <condense val="0"/>
        <extend val="0"/>
        <outline val="0"/>
        <shadow val="0"/>
        <u val="none"/>
        <vertAlign val="baseline"/>
        <sz val="9"/>
        <color theme="1"/>
        <name val="Calibri"/>
        <family val="2"/>
        <scheme val="none"/>
      </font>
      <numFmt numFmtId="34" formatCode="_(&quot;$&quot;* #,##0.00_);_(&quot;$&quot;* \(#,##0.00\);_(&quot;$&quot;* &quot;-&quot;??_);_(@_)"/>
      <protection locked="1" hidden="0"/>
    </dxf>
    <dxf>
      <border outline="0">
        <top style="medium">
          <color rgb="FFCCCCCC"/>
        </top>
      </border>
    </dxf>
    <dxf>
      <font>
        <b val="0"/>
        <i val="0"/>
        <strike val="0"/>
        <condense val="0"/>
        <extend val="0"/>
        <outline val="0"/>
        <shadow val="0"/>
        <u val="none"/>
        <vertAlign val="baseline"/>
        <sz val="9"/>
        <color rgb="FF000000"/>
        <name val="Calibri"/>
        <family val="2"/>
        <scheme val="none"/>
      </font>
      <protection locked="1" hidden="0"/>
    </dxf>
    <dxf>
      <border outline="0">
        <bottom style="medium">
          <color rgb="FFCCCCCC"/>
        </bottom>
      </border>
    </dxf>
    <dxf>
      <font>
        <b val="0"/>
        <i val="0"/>
        <strike val="0"/>
        <condense val="0"/>
        <extend val="0"/>
        <outline val="0"/>
        <shadow val="0"/>
        <u val="none"/>
        <vertAlign val="baseline"/>
        <sz val="9"/>
        <color theme="0"/>
        <name val="Calibri"/>
        <family val="2"/>
        <scheme val="none"/>
      </font>
      <alignment horizontal="center" vertical="bottom" textRotation="0" wrapText="1" indent="0" justifyLastLine="0" shrinkToFit="0" readingOrder="0"/>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164" formatCode="_([$$-409]* #,##0.00_);_([$$-409]* \(#,##0.00\);_([$$-409]* &quot;-&quot;??_);_(@_)"/>
      <fill>
        <patternFill patternType="none">
          <fgColor indexed="64"/>
          <bgColor auto="1"/>
        </patternFill>
      </fill>
      <protection locked="1" hidden="0"/>
    </dxf>
    <dxf>
      <font>
        <strike val="0"/>
        <outline val="0"/>
        <shadow val="0"/>
        <u val="none"/>
        <vertAlign val="baseline"/>
        <sz val="9"/>
        <color auto="1"/>
        <name val="Calibri"/>
        <family val="2"/>
        <scheme val="none"/>
      </font>
      <numFmt numFmtId="34" formatCode="_(&quot;$&quot;* #,##0.00_);_(&quot;$&quot;* \(#,##0.00\);_(&quot;$&quot;* &quot;-&quot;??_);_(@_)"/>
      <fill>
        <patternFill patternType="none">
          <fgColor indexed="64"/>
          <bgColor auto="1"/>
        </patternFill>
      </fill>
      <protection locked="1" hidden="0"/>
    </dxf>
    <dxf>
      <font>
        <strike val="0"/>
        <outline val="0"/>
        <shadow val="0"/>
        <u val="none"/>
        <vertAlign val="baseline"/>
        <sz val="9"/>
        <color auto="1"/>
        <name val="Calibri"/>
        <family val="2"/>
        <scheme val="none"/>
      </font>
      <fill>
        <patternFill patternType="none">
          <fgColor indexed="64"/>
          <bgColor auto="1"/>
        </patternFill>
      </fill>
      <protection locked="0" hidden="0"/>
    </dxf>
    <dxf>
      <font>
        <b val="0"/>
        <i val="0"/>
        <strike val="0"/>
        <condense val="0"/>
        <extend val="0"/>
        <outline val="0"/>
        <shadow val="0"/>
        <u val="none"/>
        <vertAlign val="baseline"/>
        <sz val="9"/>
        <color auto="1"/>
        <name val="Calibri"/>
        <family val="2"/>
        <scheme val="none"/>
      </font>
      <numFmt numFmtId="12" formatCode="&quot;$&quot;#,##0.00_);[Red]\(&quot;$&quot;#,##0.00\)"/>
      <fill>
        <patternFill patternType="none">
          <fgColor indexed="64"/>
          <bgColor auto="1"/>
        </patternFill>
      </fill>
      <alignment horizontal="right" vertical="center" textRotation="0" wrapText="1" indent="0" justifyLastLine="0" shrinkToFit="0" readingOrder="0"/>
      <border diagonalUp="0" diagonalDown="0">
        <left style="medium">
          <color rgb="FFCCCCCC"/>
        </left>
        <right style="medium">
          <color rgb="FFCCCCCC"/>
        </right>
        <top style="medium">
          <color rgb="FFCCCCCC"/>
        </top>
        <bottom style="medium">
          <color rgb="FFCCCCCC"/>
        </bottom>
      </border>
      <protection locked="1" hidden="0"/>
    </dxf>
    <dxf>
      <font>
        <strike val="0"/>
        <outline val="0"/>
        <shadow val="0"/>
        <u val="none"/>
        <vertAlign val="baseline"/>
        <sz val="9"/>
        <color auto="1"/>
        <name val="Calibri"/>
        <family val="2"/>
        <scheme val="none"/>
      </font>
      <fill>
        <patternFill patternType="none">
          <fgColor indexed="64"/>
          <bgColor auto="1"/>
        </patternFill>
      </fill>
      <protection locked="0" hidden="0"/>
    </dxf>
    <dxf>
      <font>
        <strike val="0"/>
        <outline val="0"/>
        <shadow val="0"/>
        <u val="none"/>
        <vertAlign val="baseline"/>
        <sz val="9"/>
        <color auto="1"/>
        <name val="Calibri"/>
        <family val="2"/>
        <scheme val="none"/>
      </font>
      <fill>
        <patternFill patternType="none">
          <fgColor indexed="64"/>
          <bgColor auto="1"/>
        </patternFill>
      </fill>
      <protection locked="0" hidden="0"/>
    </dxf>
    <dxf>
      <font>
        <strike val="0"/>
        <outline val="0"/>
        <shadow val="0"/>
        <u val="none"/>
        <vertAlign val="baseline"/>
        <sz val="9"/>
        <color auto="1"/>
        <name val="Calibri"/>
        <family val="2"/>
        <scheme val="none"/>
      </font>
      <fill>
        <patternFill patternType="none">
          <fgColor indexed="64"/>
          <bgColor auto="1"/>
        </patternFill>
      </fill>
      <alignment horizontal="general" textRotation="0" wrapText="1" indent="0" justifyLastLine="0" shrinkToFit="0" readingOrder="0"/>
      <protection locked="0" hidden="0"/>
    </dxf>
    <dxf>
      <font>
        <strike val="0"/>
        <outline val="0"/>
        <shadow val="0"/>
        <u val="none"/>
        <vertAlign val="baseline"/>
        <sz val="9"/>
        <color auto="1"/>
        <name val="Calibri"/>
        <family val="2"/>
        <scheme val="none"/>
      </font>
      <fill>
        <patternFill patternType="none">
          <fgColor indexed="64"/>
          <bgColor auto="1"/>
        </patternFill>
      </fill>
      <protection locked="0" hidden="0"/>
    </dxf>
    <dxf>
      <font>
        <strike val="0"/>
        <outline val="0"/>
        <shadow val="0"/>
        <u val="none"/>
        <vertAlign val="baseline"/>
        <sz val="9"/>
        <color auto="1"/>
        <name val="Calibri"/>
        <family val="2"/>
        <scheme val="none"/>
      </font>
      <numFmt numFmtId="19" formatCode="m/d/yyyy"/>
      <fill>
        <patternFill patternType="none">
          <fgColor indexed="64"/>
          <bgColor auto="1"/>
        </patternFill>
      </fill>
      <protection locked="0" hidden="0"/>
    </dxf>
    <dxf>
      <font>
        <strike val="0"/>
        <outline val="0"/>
        <shadow val="0"/>
        <u val="none"/>
        <vertAlign val="baseline"/>
        <sz val="9"/>
        <color auto="1"/>
        <name val="Calibri"/>
        <family val="2"/>
        <scheme val="none"/>
      </font>
      <fill>
        <patternFill patternType="none">
          <fgColor indexed="64"/>
          <bgColor auto="1"/>
        </patternFill>
      </fill>
      <protection locked="0" hidden="0"/>
    </dxf>
    <dxf>
      <border outline="0">
        <top style="medium">
          <color rgb="FFCCCCCC"/>
        </top>
      </border>
    </dxf>
    <dxf>
      <font>
        <strike val="0"/>
        <outline val="0"/>
        <shadow val="0"/>
        <u val="none"/>
        <vertAlign val="baseline"/>
        <sz val="9"/>
        <color auto="1"/>
        <name val="Calibri"/>
        <family val="2"/>
        <scheme val="none"/>
      </font>
      <fill>
        <patternFill patternType="none">
          <fgColor rgb="FF000000"/>
          <bgColor auto="1"/>
        </patternFill>
      </fill>
      <protection locked="0" hidden="0"/>
    </dxf>
    <dxf>
      <border outline="0">
        <bottom style="medium">
          <color rgb="FFCCCCCC"/>
        </bottom>
      </border>
    </dxf>
    <dxf>
      <font>
        <b val="0"/>
        <i val="0"/>
        <strike val="0"/>
        <condense val="0"/>
        <extend val="0"/>
        <outline val="0"/>
        <shadow val="0"/>
        <u val="none"/>
        <vertAlign val="baseline"/>
        <sz val="9"/>
        <color theme="0"/>
        <name val="Calibri"/>
        <family val="2"/>
        <scheme val="none"/>
      </font>
      <fill>
        <patternFill patternType="none">
          <fgColor indexed="64"/>
          <bgColor auto="1"/>
        </patternFill>
      </fill>
      <alignment horizontal="center" vertical="bottom" textRotation="0" wrapText="1" indent="0" justifyLastLine="0" shrinkToFit="0" readingOrder="0"/>
      <border diagonalUp="0" diagonalDown="0">
        <left style="medium">
          <color rgb="FFCCCCCC"/>
        </left>
        <right style="medium">
          <color rgb="FFCCCCCC"/>
        </right>
        <top/>
        <bottom/>
      </border>
      <protection locked="0"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numFmt numFmtId="34" formatCode="_(&quot;$&quot;* #,##0.00_);_(&quot;$&quot;* \(#,##0.00\);_(&quot;$&quot;* &quot;-&quot;??_);_(@_)"/>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numFmt numFmtId="19" formatCode="m/d/yyyy"/>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10"/>
        <color theme="1"/>
        <name val="Calibri"/>
        <family val="2"/>
        <scheme val="minor"/>
      </font>
      <protection locked="1" hidden="0"/>
    </dxf>
    <dxf>
      <font>
        <strike val="0"/>
        <outline val="0"/>
        <shadow val="0"/>
        <u val="none"/>
        <vertAlign val="baseline"/>
        <sz val="9"/>
        <color theme="1"/>
        <name val="Girl Scout Text Book"/>
        <family val="1"/>
        <scheme val="none"/>
      </font>
      <alignment horizontal="general" vertical="bottom" textRotation="0" wrapText="1" indent="0" justifyLastLine="0" shrinkToFit="0" readingOrder="0"/>
      <protection locked="1" hidden="0"/>
    </dxf>
  </dxfs>
  <tableStyles count="0" defaultTableStyle="TableStyleMedium2"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30</xdr:row>
      <xdr:rowOff>47625</xdr:rowOff>
    </xdr:from>
    <xdr:to>
      <xdr:col>1</xdr:col>
      <xdr:colOff>2085975</xdr:colOff>
      <xdr:row>36</xdr:row>
      <xdr:rowOff>19050</xdr:rowOff>
    </xdr:to>
    <xdr:pic>
      <xdr:nvPicPr>
        <xdr:cNvPr id="2" name="Picture 1">
          <a:extLst>
            <a:ext uri="{FF2B5EF4-FFF2-40B4-BE49-F238E27FC236}">
              <a16:creationId xmlns:a16="http://schemas.microsoft.com/office/drawing/2014/main" id="{A883EF83-AE05-4A2E-9302-66C308F642EB}"/>
            </a:ext>
          </a:extLst>
        </xdr:cNvPr>
        <xdr:cNvPicPr>
          <a:picLocks noChangeAspect="1"/>
        </xdr:cNvPicPr>
      </xdr:nvPicPr>
      <xdr:blipFill>
        <a:blip xmlns:r="http://schemas.openxmlformats.org/officeDocument/2006/relationships" r:embed="rId1"/>
        <a:stretch>
          <a:fillRect/>
        </a:stretch>
      </xdr:blipFill>
      <xdr:spPr>
        <a:xfrm>
          <a:off x="619125" y="10906125"/>
          <a:ext cx="4572000" cy="1162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DD2670A-06CE-49E1-A7D6-60B77A0AF3C8}" name="Table33" displayName="Table33" ref="A3:V500" totalsRowShown="0" headerRowDxfId="453" dataDxfId="452">
  <autoFilter ref="A3:V500" xr:uid="{EDD2670A-06CE-49E1-A7D6-60B77A0AF3C8}"/>
  <tableColumns count="22">
    <tableColumn id="1" xr3:uid="{4F368A9D-E90F-4AB2-9B91-519D8E14AE59}" name="User/ check #" dataDxfId="451"/>
    <tableColumn id="2" xr3:uid="{D34895D3-CB1B-49BC-B299-EB165CE35EE4}" name="Date" dataDxfId="450"/>
    <tableColumn id="3" xr3:uid="{D417A060-7069-4998-9A56-4B04A4F8E55F}" name="Payable/Deposit" dataDxfId="449"/>
    <tableColumn id="4" xr3:uid="{8B3DD4FF-31E9-4106-84A9-E15C8E9AD030}" name="Purchased/ Details" dataDxfId="448"/>
    <tableColumn id="5" xr3:uid="{2FAC36A1-A134-4B13-8E3B-EB9247F9A332}" name="Account Deposit Amount" dataDxfId="447" dataCellStyle="Currency"/>
    <tableColumn id="6" xr3:uid="{EF3930F9-B597-4613-BC5B-2B079C9674C4}" name="Account Withdrawl Amount" dataDxfId="446" dataCellStyle="Currency"/>
    <tableColumn id="7" xr3:uid="{1D6497D9-5B4C-4281-947C-793E58DB817E}" name=" Account Balance" dataDxfId="445" dataCellStyle="Currency">
      <calculatedColumnFormula>4116.35+261</calculatedColumnFormula>
    </tableColumn>
    <tableColumn id="8" xr3:uid="{24A54018-BB4B-4D7F-99F7-0E05B6B84165}" name="Category" dataDxfId="444"/>
    <tableColumn id="9" xr3:uid="{2B72E3D1-5572-4505-97E0-598ABD05A854}" name="Fall Product Money" dataDxfId="443" dataCellStyle="Currency">
      <calculatedColumnFormula>IF(Table33[[#This Row],[Category]]="Fall Product",Table33[[#This Row],[Account Deposit Amount]]-Table33[[#This Row],[Account Withdrawl Amount]], )</calculatedColumnFormula>
    </tableColumn>
    <tableColumn id="10" xr3:uid="{C30E3251-12A0-4D2D-B284-27026A3AC8E0}" name="Cookie _x000a_Money" dataDxfId="442" dataCellStyle="Currency">
      <calculatedColumnFormula>IF(Table33[[#This Row],[Category]]="Cookies",Table33[[#This Row],[Account Deposit Amount]]-Table33[[#This Row],[Account Withdrawl Amount]], )</calculatedColumnFormula>
    </tableColumn>
    <tableColumn id="11" xr3:uid="{281C9B1F-E5BB-4355-B8CF-5A717EC1D8F3}" name="Additional Money Earning Activities " dataDxfId="441" dataCellStyle="Currency">
      <calculatedColumnFormula>IF(Table33[[#This Row],[Category]]="Additional Money Earning Activities",Table33[[#This Row],[Account Deposit Amount]]-Table33[[#This Row],[Account Withdrawl Amount]], )</calculatedColumnFormula>
    </tableColumn>
    <tableColumn id="12" xr3:uid="{5721444D-D118-435E-A9F4-311CD97DC139}" name="Sponsorships" dataDxfId="440" dataCellStyle="Currency">
      <calculatedColumnFormula>IF(Table33[[#This Row],[Category]]="Sponsorships",Table33[[#This Row],[Account Deposit Amount]]-Table33[[#This Row],[Account Withdrawl Amount]], )</calculatedColumnFormula>
    </tableColumn>
    <tableColumn id="13" xr3:uid="{32F0A293-613A-4D09-A1C2-679C3B0D93E0}" name="Troop Dues" dataDxfId="439" dataCellStyle="Currency">
      <calculatedColumnFormula>IF(Table33[[#This Row],[Category]]="Troop Dues",Table33[[#This Row],[Account Deposit Amount]]-Table33[[#This Row],[Account Withdrawl Amount]], )</calculatedColumnFormula>
    </tableColumn>
    <tableColumn id="14" xr3:uid="{E077D327-E5BC-47B0-AF8E-39C3519BDF7A}" name="Other Income" dataDxfId="438" dataCellStyle="Currency">
      <calculatedColumnFormula>IF(Table33[[#This Row],[Category]]="Other Income",Table33[[#This Row],[Account Deposit Amount]]-Table33[[#This Row],[Account Withdrawl Amount]], )</calculatedColumnFormula>
    </tableColumn>
    <tableColumn id="15" xr3:uid="{E5C7E2AB-E8D8-4460-84EE-D7B48B74BF7A}" name="Registration" dataDxfId="437" dataCellStyle="Currency">
      <calculatedColumnFormula>IF(Table33[[#This Row],[Category]]="Registration",Table33[[#This Row],[Account Deposit Amount]]-Table33[[#This Row],[Account Withdrawl Amount]], )</calculatedColumnFormula>
    </tableColumn>
    <tableColumn id="16" xr3:uid="{ECE45D4F-77B1-476D-9EC2-E2291B33BCFD}" name="Insignia" dataDxfId="436" dataCellStyle="Currency">
      <calculatedColumnFormula>IF(Table33[[#This Row],[Category]]="Insignia",Table33[[#This Row],[Account Deposit Amount]]-Table33[[#This Row],[Account Withdrawl Amount]], )</calculatedColumnFormula>
    </tableColumn>
    <tableColumn id="17" xr3:uid="{147E5B7D-E9B3-4BD8-B9F0-754C7753D969}" name="Activities/_x000a_Program" dataDxfId="435" dataCellStyle="Currency">
      <calculatedColumnFormula>IF(Table33[[#This Row],[Category]]="Activities/Program",Table33[[#This Row],[Account Deposit Amount]]-Table33[[#This Row],[Account Withdrawl Amount]], )</calculatedColumnFormula>
    </tableColumn>
    <tableColumn id="18" xr3:uid="{60C1C99B-591D-45A2-887E-06A62E6259FE}" name="Travel" dataDxfId="434" dataCellStyle="Currency">
      <calculatedColumnFormula>IF(Table33[[#This Row],[Category]]="Travel",Table33[[#This Row],[Account Deposit Amount]]-Table33[[#This Row],[Account Withdrawl Amount]], )</calculatedColumnFormula>
    </tableColumn>
    <tableColumn id="19" xr3:uid="{335230D9-7A70-4869-A8CE-3DDFDA0B57CA}" name="Parties _x000a_Food &amp; Beverages" dataDxfId="433" dataCellStyle="Currency">
      <calculatedColumnFormula>IF(Table33[[#This Row],[Category]]="Parties Food &amp; Beverages",Table33[[#This Row],[Account Deposit Amount]]-Table33[[#This Row],[Account Withdrawl Amount]], )</calculatedColumnFormula>
    </tableColumn>
    <tableColumn id="20" xr3:uid="{2CE29E66-4594-453B-BFBF-46D157D24E38}" name="Service Projects Donation" dataDxfId="432" dataCellStyle="Currency">
      <calculatedColumnFormula>IF(Table33[[#This Row],[Category]]="Service Projects Donation",Table33[[#This Row],[Account Deposit Amount]]-Table33[[#This Row],[Account Withdrawl Amount]], )</calculatedColumnFormula>
    </tableColumn>
    <tableColumn id="21" xr3:uid="{3202077C-96F1-4B4D-A951-9A990FA40792}" name="Cookie _x000a_Debt" dataDxfId="431" dataCellStyle="Currency">
      <calculatedColumnFormula>IF(Table33[[#This Row],[Category]]="Cookie Debt",Table33[[#This Row],[Account Deposit Amount]]-Table33[[#This Row],[Account Withdrawl Amount]], )</calculatedColumnFormula>
    </tableColumn>
    <tableColumn id="22" xr3:uid="{2E551C5D-8A5D-4DBE-8581-0B6E6857EF15}" name="Other Expense" dataDxfId="430" dataCellStyle="Currency">
      <calculatedColumnFormula>IF(Table33[[#This Row],[Category]]="Other Expense",Table33[[#This Row],[Account Deposit Amount]]-Table33[[#This Row],[Account Withdrawl Amount]], )</calculatedColumnFormula>
    </tableColumn>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9FEBA8D-DAD7-423B-8E8F-A50964E95EF6}" name="Table41012" displayName="Table41012" ref="U3:V273" totalsRowShown="0" headerRowDxfId="311" dataDxfId="309" headerRowBorderDxfId="310" tableBorderDxfId="308" headerRowCellStyle="Currency" dataCellStyle="Currency">
  <autoFilter ref="U3:V273" xr:uid="{96751B33-130F-432E-A548-04551BD211CC}"/>
  <tableColumns count="2">
    <tableColumn id="1" xr3:uid="{07709493-E59D-4684-83DA-1CFEFB73FE9F}" name="(17)_x000a_Cookie Debt" dataDxfId="307" dataCellStyle="Currency">
      <calculatedColumnFormula>IF(Table39[[#This Row],[CODE]]=17, Table39[ [#This Row],[Account Deposit Amount] ]-Table39[ [#This Row],[Account Withdrawl Amount] ], )</calculatedColumnFormula>
    </tableColumn>
    <tableColumn id="2" xr3:uid="{21E84D72-3C39-42ED-B35C-E26FB8FAAE76}" name="(18)_x000a_Other" dataDxfId="306" dataCellStyle="Currency">
      <calculatedColumnFormula>IF(Table39[[#This Row],[CODE]]=18, Table39[ [#This Row],[Account Deposit Amount] ]-Table39[ [#This Row],[Account Withdrawl Amount] ], )</calculatedColumnFormula>
    </tableColumn>
  </tableColumns>
  <tableStyleInfo name="TableStyleMedium1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F696574-4CFA-4462-A8A9-909131247D18}" name="Table40" displayName="Table40" ref="A3:T100" totalsRowShown="0" headerRowDxfId="305" dataDxfId="303" headerRowBorderDxfId="304" tableBorderDxfId="302" headerRowCellStyle="Currency">
  <autoFilter ref="A3:T100" xr:uid="{A7F46F64-1529-E14C-BD53-36F2C8CA36BD}"/>
  <tableColumns count="20">
    <tableColumn id="1" xr3:uid="{208A0571-4A2F-B542-AE8C-AB2D385937C3}" name="User" dataDxfId="301"/>
    <tableColumn id="2" xr3:uid="{93CD8BE2-6A53-D24E-B32F-A075D6F9B193}" name="Date" dataDxfId="300"/>
    <tableColumn id="3" xr3:uid="{0BFFF168-1493-4948-954F-5C0FD2A99F59}" name="Payable/Deposit" dataDxfId="299"/>
    <tableColumn id="4" xr3:uid="{8950D940-4F5C-B145-B4A0-0DBE5C99D47F}" name="Purchased" dataDxfId="298"/>
    <tableColumn id="5" xr3:uid="{5E8DB660-A961-4B40-A1FE-3CBCB6500C71}" name="Account Deposit Amount" dataDxfId="297" dataCellStyle="Currency"/>
    <tableColumn id="6" xr3:uid="{05C71B35-AC87-8048-AC8F-18D53ECD41D4}" name="Account Withdrawl Amount" dataDxfId="296" dataCellStyle="Currency"/>
    <tableColumn id="7" xr3:uid="{76FBBAA1-C69E-C24E-924B-CAAF010F239D}" name="Total Troop Account" dataDxfId="295">
      <calculatedColumnFormula>G3+E4-F4</calculatedColumnFormula>
    </tableColumn>
    <tableColumn id="8" xr3:uid="{396012C8-D451-BF4C-A4C3-570E43772D22}" name="CODE" dataDxfId="294"/>
    <tableColumn id="9" xr3:uid="{A6AC58DF-1967-5745-87A0-4C8ECED58B9F}" name="(1)_x000a_Fall Product Money" dataDxfId="293" dataCellStyle="Currency">
      <calculatedColumnFormula>IF(Table40[[#This Row],[CODE]]=1, Table40[ [#This Row],[Account Deposit Amount] ]-Table40[ [#This Row],[Account Withdrawl Amount] ], )</calculatedColumnFormula>
    </tableColumn>
    <tableColumn id="10" xr3:uid="{F979548A-3365-2745-806D-1276E0BBF95C}" name="(2)_x000a_Cookie Money" dataDxfId="292" dataCellStyle="Currency">
      <calculatedColumnFormula>IF(Table40[[#This Row],[CODE]]=2, Table40[ [#This Row],[Account Deposit Amount] ]-Table40[ [#This Row],[Account Withdrawl Amount] ], )</calculatedColumnFormula>
    </tableColumn>
    <tableColumn id="11" xr3:uid="{0FF9AC34-9B7E-5C42-8426-D16AADED2C3D}" name="(3)_x000a_Additional Money Earning Activities " dataDxfId="291" dataCellStyle="Currency">
      <calculatedColumnFormula>IF(Table40[[#This Row],[CODE]]=3, Table40[ [#This Row],[Account Deposit Amount] ]-Table40[ [#This Row],[Account Withdrawl Amount] ], )</calculatedColumnFormula>
    </tableColumn>
    <tableColumn id="12" xr3:uid="{8A74A5A5-307A-A142-99F9-4A4B1F845EE3}" name="(4)_x000a_Sponsorships" dataDxfId="290" dataCellStyle="Currency">
      <calculatedColumnFormula>IF(Table40[[#This Row],[CODE]]=4, Table40[ [#This Row],[Account Deposit Amount] ]-Table40[ [#This Row],[Account Withdrawl Amount] ], )</calculatedColumnFormula>
    </tableColumn>
    <tableColumn id="13" xr3:uid="{E4C8F24A-DFB4-3B4B-A1A4-76295754AA40}" name="(5)_x000a_Troop Dues" dataDxfId="289" dataCellStyle="Currency">
      <calculatedColumnFormula>IF(Table40[[#This Row],[CODE]]=5, Table40[ [#This Row],[Account Deposit Amount] ]-Table40[ [#This Row],[Account Withdrawl Amount] ], )</calculatedColumnFormula>
    </tableColumn>
    <tableColumn id="14" xr3:uid="{F77A05AA-A480-F843-A68D-F3C4D1E23B32}" name="(6) _x000a_Other" dataDxfId="288" dataCellStyle="Currency">
      <calculatedColumnFormula>IF(Table40[[#This Row],[CODE]]=6, Table40[ [#This Row],[Account Deposit Amount] ]-Table40[ [#This Row],[Account Withdrawl Amount] ], )</calculatedColumnFormula>
    </tableColumn>
    <tableColumn id="15" xr3:uid="{3D35731E-8064-8D4D-9570-5DD261FFF0CC}" name="(11)_x000a_Registration" dataDxfId="287" dataCellStyle="Currency">
      <calculatedColumnFormula>IF(Table40[[#This Row],[CODE]]=11, Table40[ [#This Row],[Account Deposit Amount] ]-Table40[ [#This Row],[Account Withdrawl Amount] ], )</calculatedColumnFormula>
    </tableColumn>
    <tableColumn id="16" xr3:uid="{610CFDF0-963D-8A47-886A-1B7B553B3470}" name="(12)_x000a_Insignia" dataDxfId="286" dataCellStyle="Currency">
      <calculatedColumnFormula>IF(Table40[[#This Row],[CODE]]=12, Table40[ [#This Row],[Account Deposit Amount] ]-Table40[ [#This Row],[Account Withdrawl Amount] ], )</calculatedColumnFormula>
    </tableColumn>
    <tableColumn id="17" xr3:uid="{05A54AB6-67BD-3C48-9904-332547656CF5}" name="(13)_x000a_Activities/_x000a_Program" dataDxfId="285" dataCellStyle="Currency">
      <calculatedColumnFormula>IF(Table40[[#This Row],[CODE]]=13, Table40[ [#This Row],[Account Deposit Amount] ]-Table40[ [#This Row],[Account Withdrawl Amount] ], )</calculatedColumnFormula>
    </tableColumn>
    <tableColumn id="18" xr3:uid="{1AD1E274-1AA6-A44B-9F62-B2553BB3D8C7}" name="(14)_x000a_Travel" dataDxfId="284" dataCellStyle="Currency">
      <calculatedColumnFormula>IF(Table40[[#This Row],[CODE]]=14, Table40[ [#This Row],[Account Deposit Amount] ]-Table40[ [#This Row],[Account Withdrawl Amount] ], )</calculatedColumnFormula>
    </tableColumn>
    <tableColumn id="19" xr3:uid="{350FA83E-FDCD-1B41-9848-43FD6613769E}" name="(15)_x000a_Parties food &amp; beverages" dataDxfId="283" dataCellStyle="Currency">
      <calculatedColumnFormula>IF(Table40[[#This Row],[CODE]]=15, Table40[ [#This Row],[Account Deposit Amount] ]-Table40[ [#This Row],[Account Withdrawl Amount] ], )</calculatedColumnFormula>
    </tableColumn>
    <tableColumn id="20" xr3:uid="{03A23FE7-DE52-4043-961F-10311DCE9A11}" name="(16)_x000a_Service Projects Donation" dataDxfId="282" dataCellStyle="Currency">
      <calculatedColumnFormula>IF(Table40[[#This Row],[CODE]]=16, Table40[ [#This Row],[Account Deposit Amount] ]-Table40[ [#This Row],[Account Withdrawl Amount] ], )</calculatedColumnFormula>
    </tableColumn>
  </tableColumns>
  <tableStyleInfo name="TableStyleMedium1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060F80F-BDCA-4BF3-8EE9-443888CE4D13}" name="Table49" displayName="Table49" ref="U3:V100" totalsRowShown="0" headerRowDxfId="281" dataDxfId="279" headerRowBorderDxfId="280" tableBorderDxfId="278" headerRowCellStyle="Currency" dataCellStyle="Currency">
  <autoFilter ref="U3:V100" xr:uid="{4F3B784F-CF2F-8E48-9208-AF25898CDC10}"/>
  <tableColumns count="2">
    <tableColumn id="2" xr3:uid="{304D2ED7-F557-40B9-9076-527A72660A29}" name="(17)_x000a_Cookie Debt" dataDxfId="277" dataCellStyle="Currency 2">
      <calculatedColumnFormula>IF(Table40[[#This Row],[CODE]]=17, Table40[ [#This Row],[Account Deposit Amount] ]-Table40[ [#This Row],[Account Withdrawl Amount] ], )</calculatedColumnFormula>
    </tableColumn>
    <tableColumn id="1" xr3:uid="{4E310BB0-7B40-EB46-973D-1AEE3ED075A5}" name="(18)_x000a_Other" dataDxfId="276" dataCellStyle="Currency">
      <calculatedColumnFormula>IF(Table40[[#This Row],[CODE]]=17, Table40[ [#This Row],[Account Deposit Amount] ]-Table40[ [#This Row],[Account Withdrawl Amount] ], )</calculatedColumnFormula>
    </tableColumn>
  </tableColumns>
  <tableStyleInfo name="TableStyleMedium1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E7EBCB1-41F9-4947-9C5B-C1A6B39449E4}" name="Table41" displayName="Table41" ref="A3:T57" totalsRowShown="0" headerRowDxfId="275" dataDxfId="273" headerRowBorderDxfId="274" tableBorderDxfId="272" headerRowCellStyle="Currency">
  <autoFilter ref="A3:T57" xr:uid="{2B24855B-F5DA-4EDA-BB63-9354A3D9AAAD}"/>
  <tableColumns count="20">
    <tableColumn id="1" xr3:uid="{635264C1-1E19-4E64-8413-0B30648B37FB}" name="User" dataDxfId="271"/>
    <tableColumn id="2" xr3:uid="{5BA1264F-963C-4B3F-AFB5-25519FB7EC90}" name="Date" dataDxfId="270"/>
    <tableColumn id="3" xr3:uid="{2D2C3D3E-0EB8-4C84-B373-E517D9C2F7B7}" name="Payable/Deposit" dataDxfId="269"/>
    <tableColumn id="4" xr3:uid="{DAC201DD-CBD0-4D2E-8A3B-578311444C98}" name="Purchased" dataDxfId="268"/>
    <tableColumn id="5" xr3:uid="{B6CE7EF3-BBBC-494C-8CD9-B2527E6BDE54}" name="Account Deposit Amount" dataDxfId="267" dataCellStyle="Currency"/>
    <tableColumn id="6" xr3:uid="{363811EB-D2AC-40D1-80AE-F4C21CCC1F8F}" name="Account Withdrawl Amount" dataDxfId="266" dataCellStyle="Currency"/>
    <tableColumn id="7" xr3:uid="{90F5A99B-B6BB-4A6A-96EC-D7B12E2CD26A}" name="Total Troop Account" dataDxfId="265">
      <calculatedColumnFormula>G3+E4-F4</calculatedColumnFormula>
    </tableColumn>
    <tableColumn id="8" xr3:uid="{0D2879F1-7E32-4FCC-8A68-146988AAE3E8}" name="CODE" dataDxfId="264"/>
    <tableColumn id="9" xr3:uid="{0CE969B0-A417-40F7-B731-66A75AC27B0D}" name="(1)_x000a_Fall Product Money" dataDxfId="263" dataCellStyle="Currency">
      <calculatedColumnFormula>IF(Table41[[#This Row],[CODE]]=1, Table41[ [#This Row],[Account Deposit Amount] ]-Table41[ [#This Row],[Account Withdrawl Amount] ], )</calculatedColumnFormula>
    </tableColumn>
    <tableColumn id="10" xr3:uid="{F7CD3B8D-B35C-4ABA-AD83-AA903328CB05}" name="(2)_x000a_Cookie Money" dataDxfId="262" dataCellStyle="Currency">
      <calculatedColumnFormula>IF(Table41[[#This Row],[CODE]]=2, Table41[ [#This Row],[Account Deposit Amount] ]-Table41[ [#This Row],[Account Withdrawl Amount] ], )</calculatedColumnFormula>
    </tableColumn>
    <tableColumn id="11" xr3:uid="{6C25F0C8-222F-4E57-99B5-4BAC87458AA4}" name="(3)_x000a_Additional Money Earning Activities " dataDxfId="261" dataCellStyle="Currency">
      <calculatedColumnFormula>IF(Table41[[#This Row],[CODE]]=3, Table41[ [#This Row],[Account Deposit Amount] ]-Table41[ [#This Row],[Account Withdrawl Amount] ], )</calculatedColumnFormula>
    </tableColumn>
    <tableColumn id="12" xr3:uid="{3A56A004-1A8E-4EC8-8E21-6064AA1126D7}" name="(4)_x000a_Sponsorships" dataDxfId="260" dataCellStyle="Currency">
      <calculatedColumnFormula>IF(Table41[[#This Row],[CODE]]=4, Table41[ [#This Row],[Account Deposit Amount] ]-Table41[ [#This Row],[Account Withdrawl Amount] ], )</calculatedColumnFormula>
    </tableColumn>
    <tableColumn id="13" xr3:uid="{382C26E7-FCCF-418F-8D58-990B8637AF80}" name="(5)_x000a_Troop Dues" dataDxfId="259" dataCellStyle="Currency">
      <calculatedColumnFormula>IF(Table41[[#This Row],[CODE]]=5, Table41[ [#This Row],[Account Deposit Amount] ]-Table41[ [#This Row],[Account Withdrawl Amount] ], )</calculatedColumnFormula>
    </tableColumn>
    <tableColumn id="14" xr3:uid="{62E881CC-658C-40B4-B63E-40705CE1652D}" name="(6) _x000a_Other" dataDxfId="258" dataCellStyle="Currency">
      <calculatedColumnFormula>IF(Table41[[#This Row],[CODE]]=6, Table41[ [#This Row],[Account Deposit Amount] ]-Table41[ [#This Row],[Account Withdrawl Amount] ], )</calculatedColumnFormula>
    </tableColumn>
    <tableColumn id="15" xr3:uid="{81AA0FE7-F8C3-43CD-BC4B-6B28BAAD2FF7}" name="(11)_x000a_Registration" dataDxfId="257" dataCellStyle="Currency">
      <calculatedColumnFormula>IF(Table41[[#This Row],[CODE]]=11, Table41[ [#This Row],[Account Deposit Amount] ]-Table41[ [#This Row],[Account Withdrawl Amount] ], )</calculatedColumnFormula>
    </tableColumn>
    <tableColumn id="16" xr3:uid="{75601630-983B-40A0-BD0A-11EC5BC1FB9F}" name="(12)_x000a_Insignia" dataDxfId="256" dataCellStyle="Currency">
      <calculatedColumnFormula>IF(Table41[[#This Row],[CODE]]=12, Table41[ [#This Row],[Account Deposit Amount] ]-Table41[ [#This Row],[Account Withdrawl Amount] ], )</calculatedColumnFormula>
    </tableColumn>
    <tableColumn id="17" xr3:uid="{B2A48826-86AB-45C8-9D53-79EFC36DE3C9}" name="(13)_x000a_Activities/_x000a_Program" dataDxfId="255" dataCellStyle="Currency">
      <calculatedColumnFormula>IF(Table41[[#This Row],[CODE]]=13, Table41[ [#This Row],[Account Deposit Amount] ]-Table41[ [#This Row],[Account Withdrawl Amount] ], )</calculatedColumnFormula>
    </tableColumn>
    <tableColumn id="18" xr3:uid="{57CB2C30-C90E-4B2D-85BF-9969A0BAE624}" name="(14)_x000a_Travel" dataDxfId="254" dataCellStyle="Currency">
      <calculatedColumnFormula>IF(Table41[[#This Row],[CODE]]=14, Table41[ [#This Row],[Account Deposit Amount] ]-Table41[ [#This Row],[Account Withdrawl Amount] ], )</calculatedColumnFormula>
    </tableColumn>
    <tableColumn id="19" xr3:uid="{B5B48202-E377-46FE-A829-685D68C9E407}" name="(15)_x000a_Parties food &amp; beverages" dataDxfId="253" dataCellStyle="Currency">
      <calculatedColumnFormula>IF(Table41[[#This Row],[CODE]]=15, Table41[ [#This Row],[Account Deposit Amount] ]-Table41[ [#This Row],[Account Withdrawl Amount] ], )</calculatedColumnFormula>
    </tableColumn>
    <tableColumn id="20" xr3:uid="{C41DDBF3-7C36-458C-83CF-66603DE495BE}" name="(16)_x000a_Service Projects Donation" dataDxfId="252" dataCellStyle="Currency">
      <calculatedColumnFormula>IF(Table41[[#This Row],[CODE]]=16, Table41[ [#This Row],[Account Deposit Amount] ]-Table41[ [#This Row],[Account Withdrawl Amount] ], )</calculatedColumnFormula>
    </tableColumn>
  </tableColumns>
  <tableStyleInfo name="TableStyleMedium1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E71A336-5CEF-4BE7-B3A6-8D67FFA0FF83}" name="Table4101214" displayName="Table4101214" ref="U3:V273" totalsRowShown="0" headerRowDxfId="251" dataDxfId="249" headerRowBorderDxfId="250" tableBorderDxfId="248" headerRowCellStyle="Currency" dataCellStyle="Currency">
  <autoFilter ref="U3:V273" xr:uid="{96751B33-130F-432E-A548-04551BD211CC}"/>
  <tableColumns count="2">
    <tableColumn id="1" xr3:uid="{2C73AAF3-AB9C-40E9-9E92-3F782B5FD9C8}" name="(17)_x000a_Cookie Debt" dataDxfId="247" dataCellStyle="Currency">
      <calculatedColumnFormula>IF(Table41[[#This Row],[CODE]]=17, Table41[ [#This Row],[Account Deposit Amount] ]-Table41[ [#This Row],[Account Withdrawl Amount] ], )</calculatedColumnFormula>
    </tableColumn>
    <tableColumn id="2" xr3:uid="{21FF3CD7-F143-4E3F-B7B5-9ADDBA5941E4}" name="(18)_x000a_Other" dataDxfId="246" dataCellStyle="Currency">
      <calculatedColumnFormula>IF(Table41[[#This Row],[CODE]]=18, Table41[ [#This Row],[Account Deposit Amount] ]-Table41[ [#This Row],[Account Withdrawl Amount] ], )</calculatedColumnFormula>
    </tableColumn>
  </tableColumns>
  <tableStyleInfo name="TableStyleMedium1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B63BB24-B753-42FC-A15D-21A30B9B5883}" name="Table312" displayName="Table312" ref="A3:T100" totalsRowShown="0" headerRowDxfId="245" dataDxfId="243" headerRowBorderDxfId="244" tableBorderDxfId="242" headerRowCellStyle="Currency">
  <autoFilter ref="A3:T100" xr:uid="{846D632B-B48E-3C42-8ABB-EB4BBD68AFF5}"/>
  <tableColumns count="20">
    <tableColumn id="1" xr3:uid="{EEBC4EA2-FC63-DC4F-98C1-E2B7665D2884}" name="User" dataDxfId="241"/>
    <tableColumn id="2" xr3:uid="{1E40747F-53CA-0D44-A267-33D1920FE742}" name="Date" dataDxfId="240"/>
    <tableColumn id="3" xr3:uid="{DF5D1E20-9D8D-0B43-A413-281751EDAD51}" name="Payable/Deposit" dataDxfId="239"/>
    <tableColumn id="4" xr3:uid="{61A7BA7E-79A2-F74D-A97C-6A273DF8840E}" name="Purchased" dataDxfId="238"/>
    <tableColumn id="5" xr3:uid="{365FF17A-C8EA-7241-B190-6BFD991D61BF}" name="Account Deposit Amount" dataDxfId="237" dataCellStyle="Currency"/>
    <tableColumn id="6" xr3:uid="{E1AA2129-C8BD-364B-8B7D-95270ED8DEB2}" name="Account Withdrawl Amount" dataDxfId="236" dataCellStyle="Currency"/>
    <tableColumn id="7" xr3:uid="{AECFDBD3-B177-CD4C-BF5A-3D872680EAA6}" name="Total Troop Account" dataDxfId="235">
      <calculatedColumnFormula>G3+E4-F4</calculatedColumnFormula>
    </tableColumn>
    <tableColumn id="8" xr3:uid="{340995BB-4D97-1440-90B6-77E8BA8FEE8A}" name="CODE" dataDxfId="234"/>
    <tableColumn id="9" xr3:uid="{D80E82F5-7B34-D141-A84D-F2130D875011}" name="(1)_x000a_Fall Product Money" dataDxfId="233" dataCellStyle="Currency">
      <calculatedColumnFormula>IF(Table312[[#This Row],[CODE]]=1, Table312[ [#This Row],[Account Deposit Amount] ]-Table312[ [#This Row],[Account Withdrawl Amount] ], )</calculatedColumnFormula>
    </tableColumn>
    <tableColumn id="10" xr3:uid="{E67CE95B-945E-DC43-B7A6-5BE3D20D060F}" name="(2)_x000a_Cookie Money" dataDxfId="232" dataCellStyle="Currency">
      <calculatedColumnFormula>IF(Table312[[#This Row],[CODE]]=2, Table312[ [#This Row],[Account Deposit Amount] ]-Table312[ [#This Row],[Account Withdrawl Amount] ], )</calculatedColumnFormula>
    </tableColumn>
    <tableColumn id="11" xr3:uid="{EF3B32B2-2438-E845-9BB0-040C11B6B76A}" name="(3)_x000a_Additional Money Earning Activities " dataDxfId="231" dataCellStyle="Currency">
      <calculatedColumnFormula>IF(Table312[[#This Row],[CODE]]=3, Table312[ [#This Row],[Account Deposit Amount] ]-Table312[ [#This Row],[Account Withdrawl Amount] ], )</calculatedColumnFormula>
    </tableColumn>
    <tableColumn id="12" xr3:uid="{EAA8289E-CC66-8847-B964-6908B8B4F85B}" name="(4)_x000a_Sponsorships" dataDxfId="230" dataCellStyle="Currency">
      <calculatedColumnFormula>IF(Table312[[#This Row],[CODE]]=4, Table312[ [#This Row],[Account Deposit Amount] ]-Table312[ [#This Row],[Account Withdrawl Amount] ], )</calculatedColumnFormula>
    </tableColumn>
    <tableColumn id="13" xr3:uid="{CC3FDC1B-E950-E64D-BFA6-A8BDB5E9BA7D}" name="(5)_x000a_Troop Dues" dataDxfId="229" dataCellStyle="Currency">
      <calculatedColumnFormula>IF(Table312[[#This Row],[CODE]]=5, Table312[ [#This Row],[Account Deposit Amount] ]-Table312[ [#This Row],[Account Withdrawl Amount] ], )</calculatedColumnFormula>
    </tableColumn>
    <tableColumn id="14" xr3:uid="{7B08A13D-25D9-A94D-84A7-B81974229EA6}" name="(6) _x000a_Other" dataDxfId="228" dataCellStyle="Currency">
      <calculatedColumnFormula>IF(Table312[[#This Row],[CODE]]=6, Table312[ [#This Row],[Account Deposit Amount] ]-Table312[ [#This Row],[Account Withdrawl Amount] ], )</calculatedColumnFormula>
    </tableColumn>
    <tableColumn id="15" xr3:uid="{B2E11A73-F202-BA4F-A4B8-6BA687FDA364}" name="(11)_x000a_Registration" dataDxfId="227" dataCellStyle="Currency">
      <calculatedColumnFormula>IF(Table312[[#This Row],[CODE]]=11, Table312[ [#This Row],[Account Deposit Amount] ]-Table312[ [#This Row],[Account Withdrawl Amount] ], )</calculatedColumnFormula>
    </tableColumn>
    <tableColumn id="16" xr3:uid="{5D47EE0B-6925-CC45-BD1F-ED1133D8DD3D}" name="(12)_x000a_Insignia" dataDxfId="226" dataCellStyle="Currency">
      <calculatedColumnFormula>IF(Table312[[#This Row],[CODE]]=12, Table312[ [#This Row],[Account Deposit Amount] ]-Table312[ [#This Row],[Account Withdrawl Amount] ], )</calculatedColumnFormula>
    </tableColumn>
    <tableColumn id="17" xr3:uid="{621830B5-5959-464B-8AC2-08A0D282708C}" name="(13)_x000a_Activities/_x000a_Program" dataDxfId="225" dataCellStyle="Currency">
      <calculatedColumnFormula>IF(Table312[[#This Row],[CODE]]=13, Table312[ [#This Row],[Account Deposit Amount] ]-Table312[ [#This Row],[Account Withdrawl Amount] ], )</calculatedColumnFormula>
    </tableColumn>
    <tableColumn id="18" xr3:uid="{BA7BBD1B-2CB7-E643-B3BE-7ACA98035FE8}" name="(14)_x000a_Travel" dataDxfId="224" dataCellStyle="Currency">
      <calculatedColumnFormula>IF(Table312[[#This Row],[CODE]]=14, Table312[ [#This Row],[Account Deposit Amount] ]-Table312[ [#This Row],[Account Withdrawl Amount] ], )</calculatedColumnFormula>
    </tableColumn>
    <tableColumn id="19" xr3:uid="{DAD82A45-5D1D-E54F-8387-72ADE207CE99}" name="(15)_x000a_Parties food &amp; beverages" dataDxfId="223" dataCellStyle="Currency">
      <calculatedColumnFormula>IF(Table312[[#This Row],[CODE]]=15, Table312[ [#This Row],[Account Deposit Amount] ]-Table312[ [#This Row],[Account Withdrawl Amount] ], )</calculatedColumnFormula>
    </tableColumn>
    <tableColumn id="20" xr3:uid="{D86318EA-55E2-6140-A23D-8F3A454D4629}" name="(16)_x000a_Service Projects Donation" dataDxfId="222" dataCellStyle="Currency">
      <calculatedColumnFormula>IF(Table312[[#This Row],[CODE]]=16, Table312[ [#This Row],[Account Deposit Amount] ]-Table312[ [#This Row],[Account Withdrawl Amount] ], )</calculatedColumnFormula>
    </tableColumn>
  </tableColumns>
  <tableStyleInfo name="TableStyleMedium1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1951CD7-01A5-41E4-A5DB-D370E2B26F0E}" name="Table42" displayName="Table42" ref="U3:V100" totalsRowShown="0" headerRowDxfId="221" dataDxfId="219" headerRowBorderDxfId="220" tableBorderDxfId="218" headerRowCellStyle="Currency" dataCellStyle="Currency">
  <autoFilter ref="U3:V100" xr:uid="{F092BE3F-55A8-A845-92F5-B9D56E433FA1}"/>
  <tableColumns count="2">
    <tableColumn id="1" xr3:uid="{E7A03269-94FB-1144-9A43-2C5D2DA61D84}" name="(17)_x000a_Cookie Debt" dataDxfId="217" dataCellStyle="Currency">
      <calculatedColumnFormula>IF(Table312[[#This Row],[CODE]]=17, Table312[ [#This Row],[Account Deposit Amount] ]-Table312[ [#This Row],[Account Withdrawl Amount] ], )</calculatedColumnFormula>
    </tableColumn>
    <tableColumn id="2" xr3:uid="{8046A6DC-39B9-481F-B3BA-A06D8AB383BF}" name="(18)_x000a_Other" dataDxfId="216" dataCellStyle="Currency">
      <calculatedColumnFormula>IF(Table312[[#This Row],[CODE]]=18, Table312[ [#This Row],[Account Deposit Amount] ]-Table312[ [#This Row],[Account Withdrawl Amount] ], )</calculatedColumnFormula>
    </tableColumn>
  </tableColumns>
  <tableStyleInfo name="TableStyleMedium1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7C81C5C-D4CE-4CAD-9496-905C7A2E9E0B}" name="Table314" displayName="Table314" ref="A3:T100" totalsRowShown="0" headerRowDxfId="215" dataDxfId="213" headerRowBorderDxfId="214" tableBorderDxfId="212" headerRowCellStyle="Currency">
  <autoFilter ref="A3:T100" xr:uid="{1C6FC5C6-38EF-374E-B07C-CE3E8442B073}"/>
  <tableColumns count="20">
    <tableColumn id="1" xr3:uid="{90CC6F08-9306-4848-AAEA-3070FFE37357}" name="User" dataDxfId="211"/>
    <tableColumn id="2" xr3:uid="{64B83592-0932-214E-8AAD-F259173E393A}" name="Date" dataDxfId="210"/>
    <tableColumn id="3" xr3:uid="{A89924A3-71F6-124D-A199-7738DC5D7195}" name="Payable/Deposit" dataDxfId="209"/>
    <tableColumn id="4" xr3:uid="{7E76A449-7839-354C-B757-F1AB379AECCD}" name="Purchased" dataDxfId="208"/>
    <tableColumn id="5" xr3:uid="{DD4C7104-745E-E346-9ADB-0E94EEE1EF28}" name="Account Deposit Amount" dataDxfId="207" dataCellStyle="Currency"/>
    <tableColumn id="6" xr3:uid="{B26B6174-D044-AA4E-BFF5-A607DBA93EC7}" name="Account Withdrawl Amount" dataDxfId="206" dataCellStyle="Currency"/>
    <tableColumn id="7" xr3:uid="{30F0A903-247E-AD4E-A749-2D0278F83EDF}" name="Total Troop Account" dataDxfId="205">
      <calculatedColumnFormula>G3+E4-F4</calculatedColumnFormula>
    </tableColumn>
    <tableColumn id="8" xr3:uid="{6A1EBE09-C24B-CE4F-9795-8A334930F2C2}" name="CODE" dataDxfId="204"/>
    <tableColumn id="9" xr3:uid="{C5DA6D99-33DB-654F-9567-0F5457616A18}" name="(1)_x000a_Fall Product Money" dataDxfId="203" dataCellStyle="Currency">
      <calculatedColumnFormula>IF(Table314[[#This Row],[CODE]]=1, Table314[ [#This Row],[Account Deposit Amount] ]-Table314[ [#This Row],[Account Withdrawl Amount] ], )</calculatedColumnFormula>
    </tableColumn>
    <tableColumn id="10" xr3:uid="{8D4AC35D-0460-9645-A255-CC889499803C}" name="(2)_x000a_Cookie Money" dataDxfId="202" dataCellStyle="Currency">
      <calculatedColumnFormula>IF(Table314[[#This Row],[CODE]]=2, Table314[ [#This Row],[Account Deposit Amount] ]-Table314[ [#This Row],[Account Withdrawl Amount] ], )</calculatedColumnFormula>
    </tableColumn>
    <tableColumn id="11" xr3:uid="{09AA0515-DECF-254F-8444-7AF5E0690E9E}" name="(3)_x000a_Additional Money Earning Activities " dataDxfId="201" dataCellStyle="Currency">
      <calculatedColumnFormula>IF(Table314[[#This Row],[CODE]]=3, Table314[ [#This Row],[Account Deposit Amount] ]-Table314[ [#This Row],[Account Withdrawl Amount] ], )</calculatedColumnFormula>
    </tableColumn>
    <tableColumn id="12" xr3:uid="{D706000C-6E10-9642-A5CA-5EF66E4DAA18}" name="(4)_x000a_Sponsorships" dataDxfId="200" dataCellStyle="Currency">
      <calculatedColumnFormula>IF(Table314[[#This Row],[CODE]]=4, Table314[ [#This Row],[Account Deposit Amount] ]-Table314[ [#This Row],[Account Withdrawl Amount] ], )</calculatedColumnFormula>
    </tableColumn>
    <tableColumn id="13" xr3:uid="{7268FCE7-FF58-9343-A496-FCC910A95F85}" name="(5)_x000a_Troop Dues" dataDxfId="199" dataCellStyle="Currency">
      <calculatedColumnFormula>IF(Table314[[#This Row],[CODE]]=5, Table314[ [#This Row],[Account Deposit Amount] ]-Table314[ [#This Row],[Account Withdrawl Amount] ], )</calculatedColumnFormula>
    </tableColumn>
    <tableColumn id="14" xr3:uid="{81B4B1AC-C5AD-B04D-A059-8BD7310B6013}" name="(6) _x000a_Other" dataDxfId="198" dataCellStyle="Currency">
      <calculatedColumnFormula>IF(Table314[[#This Row],[CODE]]=6, Table314[ [#This Row],[Account Deposit Amount] ]-Table314[ [#This Row],[Account Withdrawl Amount] ], )</calculatedColumnFormula>
    </tableColumn>
    <tableColumn id="15" xr3:uid="{5F6BCBAA-78F6-474A-8C02-4A3706433C77}" name="(11)_x000a_Registration" dataDxfId="197" dataCellStyle="Currency">
      <calculatedColumnFormula>IF(Table314[[#This Row],[CODE]]=11, Table314[ [#This Row],[Account Deposit Amount] ]-Table314[ [#This Row],[Account Withdrawl Amount] ], )</calculatedColumnFormula>
    </tableColumn>
    <tableColumn id="16" xr3:uid="{6B2E6212-4022-FA44-9386-C6B2F6C16BDE}" name="(12)_x000a_Insignia" dataDxfId="196" dataCellStyle="Currency">
      <calculatedColumnFormula>IF(Table314[[#This Row],[CODE]]=12, Table314[ [#This Row],[Account Deposit Amount] ]-Table314[ [#This Row],[Account Withdrawl Amount] ], )</calculatedColumnFormula>
    </tableColumn>
    <tableColumn id="17" xr3:uid="{BFF2BD0A-B3E1-E549-85BE-1B0070C015DD}" name="(13)_x000a_Activities/_x000a_Program" dataDxfId="195" dataCellStyle="Currency">
      <calculatedColumnFormula>IF(Table314[[#This Row],[CODE]]=13, Table314[ [#This Row],[Account Deposit Amount] ]-Table314[ [#This Row],[Account Withdrawl Amount] ], )</calculatedColumnFormula>
    </tableColumn>
    <tableColumn id="18" xr3:uid="{A479E5DE-D833-CC44-A4C3-A645812BBA6A}" name="(14)_x000a_Travel" dataDxfId="194" dataCellStyle="Currency">
      <calculatedColumnFormula>IF(Table314[[#This Row],[CODE]]=14, Table314[ [#This Row],[Account Deposit Amount] ]-Table314[ [#This Row],[Account Withdrawl Amount] ], )</calculatedColumnFormula>
    </tableColumn>
    <tableColumn id="19" xr3:uid="{E15CFBCD-5415-D743-91D4-D96D706C07FF}" name="(15)_x000a_Parties food &amp; beverages" dataDxfId="193" dataCellStyle="Currency">
      <calculatedColumnFormula>IF(Table314[[#This Row],[CODE]]=15, Table314[ [#This Row],[Account Deposit Amount] ]-Table314[ [#This Row],[Account Withdrawl Amount] ], )</calculatedColumnFormula>
    </tableColumn>
    <tableColumn id="20" xr3:uid="{E6F28FE3-A91C-6344-96A6-AB065A9105CC}" name="(16)_x000a_Service Projects Donation" dataDxfId="192" dataCellStyle="Currency">
      <calculatedColumnFormula>IF(Table314[[#This Row],[CODE]]=16, Table314[ [#This Row],[Account Deposit Amount] ]-Table314[ [#This Row],[Account Withdrawl Amount] ], )</calculatedColumnFormula>
    </tableColumn>
  </tableColumns>
  <tableStyleInfo name="TableStyleMedium1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4C960F2-0655-4D55-BD7D-54251BA64F18}" name="Table415" displayName="Table415" ref="U3:V100" totalsRowShown="0" headerRowDxfId="191" dataDxfId="189" headerRowBorderDxfId="190" tableBorderDxfId="188" headerRowCellStyle="Currency" dataCellStyle="Currency">
  <autoFilter ref="U3:V100" xr:uid="{0ADB281A-C092-4D42-992C-4C4D6DC56C80}"/>
  <tableColumns count="2">
    <tableColumn id="1" xr3:uid="{2A2EEAC8-7C33-284A-A6C7-39C1FA9B84A9}" name="(17)_x000a_Cookie Debt" dataDxfId="187" dataCellStyle="Currency">
      <calculatedColumnFormula>IF(Table314[[#This Row],[CODE]]=17, Table314[ [#This Row],[Account Deposit Amount] ]-Table314[ [#This Row],[Account Withdrawl Amount] ], )</calculatedColumnFormula>
    </tableColumn>
    <tableColumn id="2" xr3:uid="{C3670884-DF87-4A25-88F5-1B448BA2E727}" name="(18)_x000a_Other" dataDxfId="186" dataCellStyle="Currency">
      <calculatedColumnFormula>IF(Table314[[#This Row],[CODE]]=18, Table314[ [#This Row],[Account Deposit Amount] ]-Table312[ [#This Row],[Account Withdrawl Amount] ], )</calculatedColumnFormula>
    </tableColumn>
  </tableColumns>
  <tableStyleInfo name="TableStyleMedium1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639B704-915A-4F14-A53A-DAF55AF2117A}" name="Table44" displayName="Table44" ref="A3:T100" totalsRowShown="0" headerRowDxfId="185" dataDxfId="183" headerRowBorderDxfId="184" tableBorderDxfId="182" headerRowCellStyle="Currency">
  <autoFilter ref="A3:T100" xr:uid="{5A9B54DD-31A6-4642-9164-C8F68B96D7DB}"/>
  <tableColumns count="20">
    <tableColumn id="1" xr3:uid="{A486FFD1-B14C-BB45-9932-2D5C13F48DB5}" name="User" dataDxfId="181"/>
    <tableColumn id="2" xr3:uid="{2B3A99CA-841A-D346-979B-D73E79AA2175}" name="Date" dataDxfId="180"/>
    <tableColumn id="3" xr3:uid="{F5FDD06A-69C5-1C43-A899-967A35639C48}" name="Payable/Deposit" dataDxfId="179"/>
    <tableColumn id="4" xr3:uid="{34E9CDBB-E73E-CE4D-8770-97DD267159CB}" name="Purchased" dataDxfId="178"/>
    <tableColumn id="5" xr3:uid="{16426ED9-E89B-2A45-A848-635CF18C91CA}" name="Account Deposit Amount" dataDxfId="177" dataCellStyle="Currency"/>
    <tableColumn id="6" xr3:uid="{B3D5A98D-2556-BF47-8359-B4566C80EEA8}" name="Account Withdrawl Amount" dataDxfId="176" dataCellStyle="Currency"/>
    <tableColumn id="7" xr3:uid="{04D19D46-A4B6-4440-82B9-90D45ED766F2}" name="Total Troop Account" dataDxfId="175">
      <calculatedColumnFormula>G3+E4-F4</calculatedColumnFormula>
    </tableColumn>
    <tableColumn id="8" xr3:uid="{73B87E44-5D01-204B-8E6D-5ABE3740398A}" name="CODE" dataDxfId="174"/>
    <tableColumn id="9" xr3:uid="{C4E5AE12-EBAA-E84A-B294-EA569EDA184C}" name="(1)_x000a_Fall Product Money" dataDxfId="173" dataCellStyle="Currency">
      <calculatedColumnFormula>IF(Table44[[#This Row],[CODE]]=1, Table44[ [#This Row],[Account Deposit Amount] ]-Table44[ [#This Row],[Account Withdrawl Amount] ], )</calculatedColumnFormula>
    </tableColumn>
    <tableColumn id="10" xr3:uid="{7AE185B1-AF2A-8F42-B492-088AD3E1B80B}" name="(2)_x000a_Cookie Money" dataDxfId="172" dataCellStyle="Currency">
      <calculatedColumnFormula>IF(Table44[[#This Row],[CODE]]=2, Table44[ [#This Row],[Account Deposit Amount] ]-Table44[ [#This Row],[Account Withdrawl Amount] ], )</calculatedColumnFormula>
    </tableColumn>
    <tableColumn id="11" xr3:uid="{114BDF1B-2F41-4945-9A0B-35230B4E5E06}" name="(3)_x000a_Additional Money Earning Activities " dataDxfId="171" dataCellStyle="Currency">
      <calculatedColumnFormula>IF(Table44[[#This Row],[CODE]]=3, Table44[ [#This Row],[Account Deposit Amount] ]-Table44[ [#This Row],[Account Withdrawl Amount] ], )</calculatedColumnFormula>
    </tableColumn>
    <tableColumn id="12" xr3:uid="{BFB0EAFC-6CAF-6445-AA70-D9186E17E7DD}" name="(4)_x000a_Sponsorships" dataDxfId="170" dataCellStyle="Currency">
      <calculatedColumnFormula>IF(Table44[[#This Row],[CODE]]=4, Table44[ [#This Row],[Account Deposit Amount] ]-Table44[ [#This Row],[Account Withdrawl Amount] ], )</calculatedColumnFormula>
    </tableColumn>
    <tableColumn id="13" xr3:uid="{76A17FD0-BAFD-634E-9FE0-4EC5D97C9C60}" name="(5)_x000a_Troop Dues" dataDxfId="169" dataCellStyle="Currency">
      <calculatedColumnFormula>IF(Table44[[#This Row],[CODE]]=5, Table44[ [#This Row],[Account Deposit Amount] ]-Table44[ [#This Row],[Account Withdrawl Amount] ], )</calculatedColumnFormula>
    </tableColumn>
    <tableColumn id="14" xr3:uid="{A4E1F2DA-76E1-F04B-9DA6-E8B6A2920843}" name="(6) _x000a_Other" dataDxfId="168" dataCellStyle="Currency">
      <calculatedColumnFormula>IF(Table44[[#This Row],[CODE]]=6, Table44[ [#This Row],[Account Deposit Amount] ]-Table44[ [#This Row],[Account Withdrawl Amount] ], )</calculatedColumnFormula>
    </tableColumn>
    <tableColumn id="15" xr3:uid="{65A28C72-1708-574B-9C72-5A5B1347B46F}" name="(11)_x000a_Registration" dataDxfId="167" dataCellStyle="Currency">
      <calculatedColumnFormula>IF(Table44[[#This Row],[CODE]]=11, Table44[ [#This Row],[Account Deposit Amount] ]-Table44[ [#This Row],[Account Withdrawl Amount] ], )</calculatedColumnFormula>
    </tableColumn>
    <tableColumn id="16" xr3:uid="{9C74BEB1-FF29-1848-8CC9-C1B8A7B00201}" name="(12)_x000a_Insignia" dataDxfId="166" dataCellStyle="Currency">
      <calculatedColumnFormula>IF(Table44[[#This Row],[CODE]]=12, Table44[ [#This Row],[Account Deposit Amount] ]-Table44[ [#This Row],[Account Withdrawl Amount] ], )</calculatedColumnFormula>
    </tableColumn>
    <tableColumn id="17" xr3:uid="{84D02C9F-69F4-854A-BBFD-EDB3FF7CEC3E}" name="(13)_x000a_Activities/_x000a_Program" dataDxfId="165" dataCellStyle="Currency">
      <calculatedColumnFormula>IF(Table44[[#This Row],[CODE]]=13, Table44[ [#This Row],[Account Deposit Amount] ]-Table44[ [#This Row],[Account Withdrawl Amount] ], )</calculatedColumnFormula>
    </tableColumn>
    <tableColumn id="18" xr3:uid="{D4A2BB37-94C5-AD4C-AF84-52C6471774BE}" name="(14)_x000a_Travel" dataDxfId="164" dataCellStyle="Currency">
      <calculatedColumnFormula>IF(Table44[[#This Row],[CODE]]=14, Table44[ [#This Row],[Account Deposit Amount] ]-Table44[ [#This Row],[Account Withdrawl Amount] ], )</calculatedColumnFormula>
    </tableColumn>
    <tableColumn id="19" xr3:uid="{F26F39F1-F58A-CA4B-BF0A-809ED00C74D2}" name="(15)_x000a_Parties food &amp; beverages" dataDxfId="163" dataCellStyle="Currency">
      <calculatedColumnFormula>IF(Table44[[#This Row],[CODE]]=15, Table44[ [#This Row],[Account Deposit Amount] ]-Table44[ [#This Row],[Account Withdrawl Amount] ], )</calculatedColumnFormula>
    </tableColumn>
    <tableColumn id="20" xr3:uid="{D9F0D6A3-9DBB-EC41-9456-C3244DC2387E}" name="(16)_x000a_Service Projects Donation" dataDxfId="162" dataCellStyle="Currency">
      <calculatedColumnFormula>IF(Table44[[#This Row],[CODE]]=16, Table44[ [#This Row],[Account Deposit Amount] ]-Table44[ [#This Row],[Account Withdrawl Amount] ], )</calculatedColumnFormula>
    </tableColumn>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0D6638-3098-4CBD-8281-FC89419E76F9}" name="Table32" displayName="Table32" ref="A3:T99" totalsRowShown="0" headerRowDxfId="429" dataDxfId="427" headerRowBorderDxfId="428" tableBorderDxfId="426">
  <autoFilter ref="A3:T99" xr:uid="{2B24855B-F5DA-4EDA-BB63-9354A3D9AAAD}"/>
  <tableColumns count="20">
    <tableColumn id="1" xr3:uid="{CC27263A-8DC5-44F3-BE8F-086774961C80}" name="User" dataDxfId="425"/>
    <tableColumn id="2" xr3:uid="{E249B5CA-4F75-4569-AE0D-CDD935AA84CA}" name="Date" dataDxfId="424"/>
    <tableColumn id="3" xr3:uid="{0B93A8BD-641E-4C2E-966A-EF0E54FDF317}" name="Payable/Deposit" dataDxfId="423"/>
    <tableColumn id="4" xr3:uid="{EC399D56-8926-46B9-901D-49CC2EE44B8A}" name="Purchased" dataDxfId="422"/>
    <tableColumn id="5" xr3:uid="{BC736F6D-B95C-49BD-9D35-D6478E9F1377}" name="Account Deposit Amount" dataDxfId="421" dataCellStyle="Currency"/>
    <tableColumn id="6" xr3:uid="{68B5A6FF-6608-4E86-B98E-437D6F5C10F9}" name="Account Withdrawl Amount" dataDxfId="420" dataCellStyle="Currency"/>
    <tableColumn id="7" xr3:uid="{042F6E15-231C-499A-A3BF-12A335CA5440}" name="Total Troop Account" dataDxfId="419">
      <calculatedColumnFormula>G3+E4-F4</calculatedColumnFormula>
    </tableColumn>
    <tableColumn id="8" xr3:uid="{E1F30BCA-0621-42D1-9901-D253B4C059E5}" name="CODE" dataDxfId="418"/>
    <tableColumn id="9" xr3:uid="{5BBCB56F-BBA4-42E0-9B09-49922E3D4D17}" name="(1)_x000a_Fall Product" dataDxfId="417" dataCellStyle="Currency">
      <calculatedColumnFormula>IF(Table32[[#This Row],[CODE]]=1, Table32[ [#This Row],[Account Deposit Amount] ]-Table32[ [#This Row],[Account Withdrawl Amount] ], )</calculatedColumnFormula>
    </tableColumn>
    <tableColumn id="10" xr3:uid="{5C633AD4-4EA5-47B2-A0D3-FC727B8D61F3}" name="(2)_x000a_Cookies" dataDxfId="416" dataCellStyle="Currency">
      <calculatedColumnFormula>IF(Table32[[#This Row],[CODE]]=2, Table32[ [#This Row],[Account Deposit Amount] ]-Table32[ [#This Row],[Account Withdrawl Amount] ], )</calculatedColumnFormula>
    </tableColumn>
    <tableColumn id="11" xr3:uid="{9848A63E-2F05-4A80-8B7D-193A3D4DF71D}" name="(3)_x000a_Additional Money Earning Activities " dataDxfId="415" dataCellStyle="Currency">
      <calculatedColumnFormula>IF(Table32[[#This Row],[CODE]]=3, Table32[ [#This Row],[Account Deposit Amount] ]-Table32[ [#This Row],[Account Withdrawl Amount] ], )</calculatedColumnFormula>
    </tableColumn>
    <tableColumn id="12" xr3:uid="{E3DF74E2-954A-42FD-92C1-DA4FDB142DEA}" name="(4)_x000a_Donation/Sponserships" dataDxfId="414" dataCellStyle="Currency">
      <calculatedColumnFormula>IF(Table32[[#This Row],[CODE]]=4, Table32[ [#This Row],[Account Deposit Amount] ]-Table32[ [#This Row],[Account Withdrawl Amount] ], )</calculatedColumnFormula>
    </tableColumn>
    <tableColumn id="13" xr3:uid="{147C27C1-1BCD-4C91-A434-081526521F9A}" name="(5)_x000a_Troop Dues" dataDxfId="413" dataCellStyle="Currency">
      <calculatedColumnFormula>IF(Table32[[#This Row],[CODE]]=5, Table32[ [#This Row],[Account Deposit Amount] ]-Table32[ [#This Row],[Account Withdrawl Amount] ], )</calculatedColumnFormula>
    </tableColumn>
    <tableColumn id="14" xr3:uid="{57235ADD-91FB-4F07-A307-8B6EEF8570B7}" name="(6) _x000a_Other" dataDxfId="412" dataCellStyle="Currency">
      <calculatedColumnFormula>IF(Table32[[#This Row],[CODE]]=6, Table32[ [#This Row],[Account Deposit Amount] ]-Table32[ [#This Row],[Account Withdrawl Amount] ], )</calculatedColumnFormula>
    </tableColumn>
    <tableColumn id="15" xr3:uid="{48A374FD-D44F-4882-B8FA-BBEADA8E8523}" name="(11)_x000a_Registration" dataDxfId="411" dataCellStyle="Currency">
      <calculatedColumnFormula>IF(Table32[[#This Row],[CODE]]=11, Table32[ [#This Row],[Account Deposit Amount] ]-Table32[ [#This Row],[Account Withdrawl Amount] ], )</calculatedColumnFormula>
    </tableColumn>
    <tableColumn id="16" xr3:uid="{EA9678FE-AC96-445E-9C5D-E00E6F1EC51C}" name="(12)_x000a_Insignia" dataDxfId="410" dataCellStyle="Currency">
      <calculatedColumnFormula>IF(Table32[[#This Row],[CODE]]=12, Table32[ [#This Row],[Account Deposit Amount] ]-Table32[ [#This Row],[Account Withdrawl Amount] ], )</calculatedColumnFormula>
    </tableColumn>
    <tableColumn id="17" xr3:uid="{2243167B-B40E-4F44-9B36-406E27212549}" name="(13)_x000a_Activites/Program" dataDxfId="409" dataCellStyle="Currency">
      <calculatedColumnFormula>IF(Table32[[#This Row],[CODE]]=13, Table32[ [#This Row],[Account Deposit Amount] ]-Table32[ [#This Row],[Account Withdrawl Amount] ], )</calculatedColumnFormula>
    </tableColumn>
    <tableColumn id="18" xr3:uid="{D00C43A3-0C31-4382-8E56-C001648B84AA}" name="(14)_x000a_Travel" dataDxfId="408" dataCellStyle="Currency">
      <calculatedColumnFormula>IF(Table32[[#This Row],[CODE]]=14, Table32[ [#This Row],[Account Deposit Amount] ]-Table32[ [#This Row],[Account Withdrawl Amount] ], )</calculatedColumnFormula>
    </tableColumn>
    <tableColumn id="19" xr3:uid="{DC573C4A-B341-4B05-87D0-DFA23112718D}" name="(15)_x000a_Parties food &amp; beverages" dataDxfId="407" dataCellStyle="Currency">
      <calculatedColumnFormula>IF(Table32[[#This Row],[CODE]]=15, Table32[ [#This Row],[Account Deposit Amount] ]-Table32[ [#This Row],[Account Withdrawl Amount] ], )</calculatedColumnFormula>
    </tableColumn>
    <tableColumn id="20" xr3:uid="{A8E8180E-25D0-4FFD-84F4-923E30B76EC9}" name="(16)_x000a_Service Projects Donation" dataDxfId="406" dataCellStyle="Currency">
      <calculatedColumnFormula>IF(Table32[[#This Row],[CODE]]=16, Table32[ [#This Row],[Account Deposit Amount] ]-Table32[ [#This Row],[Account Withdrawl Amount] ], )</calculatedColumnFormula>
    </tableColumn>
  </tableColumns>
  <tableStyleInfo name="TableStyleMedium14"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12734AD-99FD-4096-A4C5-D7E3D3CABCBC}" name="Table417" displayName="Table417" ref="U3:U100" totalsRowShown="0" headerRowDxfId="161" dataDxfId="159" headerRowBorderDxfId="160" tableBorderDxfId="158" headerRowCellStyle="Currency" dataCellStyle="Currency">
  <autoFilter ref="U3:U100" xr:uid="{F3D0F6BC-8271-6F49-A403-79695652BB08}"/>
  <tableColumns count="1">
    <tableColumn id="1" xr3:uid="{56C830FF-216E-E74A-824E-5D45370CF792}" name="(17)_x000a_Cookie Debt" dataDxfId="157" dataCellStyle="Currency">
      <calculatedColumnFormula>IF(Table44[[#This Row],[CODE]]=17, Table44[ [#This Row],[Account Deposit Amount] ]-Table44[ [#This Row],[Account Withdrawl Amount] ], )</calculatedColumnFormula>
    </tableColumn>
  </tableColumns>
  <tableStyleInfo name="TableStyleMedium1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57438DE-B204-4C71-9806-857AAD4D65B7}" name="Table45" displayName="Table45" ref="A3:T100" totalsRowShown="0" headerRowDxfId="156" dataDxfId="154" headerRowBorderDxfId="155" tableBorderDxfId="153" headerRowCellStyle="Currency">
  <autoFilter ref="A3:T100" xr:uid="{E7950FF8-465E-B74F-A2B1-4C823B01DF43}"/>
  <tableColumns count="20">
    <tableColumn id="1" xr3:uid="{795C2AA1-FBC6-814E-B2CD-066D0434B678}" name="User" dataDxfId="152"/>
    <tableColumn id="2" xr3:uid="{E00C0967-2A74-C243-AD8C-61B92A717E7D}" name="Date" dataDxfId="151"/>
    <tableColumn id="3" xr3:uid="{EEAD61CB-81B3-E148-ADA7-2B1CD4755652}" name="Payable/Deposit" dataDxfId="150"/>
    <tableColumn id="4" xr3:uid="{55102FD2-D6EE-7745-A1D7-8958B9DCFEB1}" name="Purchased" dataDxfId="149"/>
    <tableColumn id="5" xr3:uid="{FE6FE53B-56B4-EA4C-A377-922D80B31225}" name="Account Deposit Amount" dataDxfId="148" dataCellStyle="Currency"/>
    <tableColumn id="6" xr3:uid="{EAB323E8-88CA-0A42-A5C1-B3F2FF344E42}" name="Account Withdrawl Amount" dataDxfId="147" dataCellStyle="Currency"/>
    <tableColumn id="7" xr3:uid="{E0774F8D-4C31-6B48-AFB7-6DC0E6DAF211}" name="Total Troop Account" dataDxfId="146">
      <calculatedColumnFormula>G3+E4-F4</calculatedColumnFormula>
    </tableColumn>
    <tableColumn id="8" xr3:uid="{6943C164-3932-0547-AE53-25E6D4D7D5BC}" name="CODE" dataDxfId="145"/>
    <tableColumn id="9" xr3:uid="{D9C02C19-A709-2B46-841F-217E5389D82A}" name="(1)_x000a_Fall Product Money" dataDxfId="144" dataCellStyle="Currency">
      <calculatedColumnFormula>IF(Table45[[#This Row],[CODE]]=1, Table45[ [#This Row],[Account Deposit Amount] ]-Table45[ [#This Row],[Account Withdrawl Amount] ], )</calculatedColumnFormula>
    </tableColumn>
    <tableColumn id="10" xr3:uid="{18D52D01-0863-E948-93C2-EBF58521120A}" name="(2)_x000a_Cookie Money" dataDxfId="143" dataCellStyle="Currency">
      <calculatedColumnFormula>IF(Table45[[#This Row],[CODE]]=2, Table45[ [#This Row],[Account Deposit Amount] ]-Table45[ [#This Row],[Account Withdrawl Amount] ], )</calculatedColumnFormula>
    </tableColumn>
    <tableColumn id="11" xr3:uid="{25910339-9AC5-574D-8DC1-0E9695F5BFBC}" name="(3)_x000a_Additional Money Earning Activities " dataDxfId="142" dataCellStyle="Currency">
      <calculatedColumnFormula>IF(Table45[[#This Row],[CODE]]=3, Table45[ [#This Row],[Account Deposit Amount] ]-Table45[ [#This Row],[Account Withdrawl Amount] ], )</calculatedColumnFormula>
    </tableColumn>
    <tableColumn id="12" xr3:uid="{4A13D27D-76B7-E043-8131-E03245EC965A}" name="(4)_x000a_Sponsorships" dataDxfId="141" dataCellStyle="Currency">
      <calculatedColumnFormula>IF(Table45[[#This Row],[CODE]]=4, Table45[ [#This Row],[Account Deposit Amount] ]-Table45[ [#This Row],[Account Withdrawl Amount] ], )</calculatedColumnFormula>
    </tableColumn>
    <tableColumn id="13" xr3:uid="{8DC26DBB-7811-6D46-95D5-2BCE6524D629}" name="(5)_x000a_Troop Dues" dataDxfId="140" dataCellStyle="Currency">
      <calculatedColumnFormula>IF(Table45[[#This Row],[CODE]]=5, Table45[ [#This Row],[Account Deposit Amount] ]-Table45[ [#This Row],[Account Withdrawl Amount] ], )</calculatedColumnFormula>
    </tableColumn>
    <tableColumn id="14" xr3:uid="{89B188B4-61E0-A649-AC0B-DBA774B25A26}" name="(6) _x000a_Other" dataDxfId="139" dataCellStyle="Currency">
      <calculatedColumnFormula>IF(Table45[[#This Row],[CODE]]=6, Table45[ [#This Row],[Account Deposit Amount] ]-Table45[ [#This Row],[Account Withdrawl Amount] ], )</calculatedColumnFormula>
    </tableColumn>
    <tableColumn id="15" xr3:uid="{9A57CC11-4BE0-174E-BA5C-9A5C6DA18143}" name="(11)_x000a_Registration" dataDxfId="138" dataCellStyle="Currency">
      <calculatedColumnFormula>IF(Table45[[#This Row],[CODE]]=11, Table45[ [#This Row],[Account Deposit Amount] ]-Table45[ [#This Row],[Account Withdrawl Amount] ], )</calculatedColumnFormula>
    </tableColumn>
    <tableColumn id="16" xr3:uid="{867BBCBA-C774-3D40-9F9F-5282120F5844}" name="(12)_x000a_Insignia" dataDxfId="137" dataCellStyle="Currency">
      <calculatedColumnFormula>IF(Table45[[#This Row],[CODE]]=12, Table45[ [#This Row],[Account Deposit Amount] ]-Table45[ [#This Row],[Account Withdrawl Amount] ], )</calculatedColumnFormula>
    </tableColumn>
    <tableColumn id="17" xr3:uid="{E531C429-C602-B94F-879A-60E6837E8E8B}" name="(13)_x000a_Activities/_x000a_Program" dataDxfId="136" dataCellStyle="Currency">
      <calculatedColumnFormula>IF(Table45[[#This Row],[CODE]]=13, Table45[ [#This Row],[Account Deposit Amount] ]-Table45[ [#This Row],[Account Withdrawl Amount] ], )</calculatedColumnFormula>
    </tableColumn>
    <tableColumn id="18" xr3:uid="{9858DC75-B815-4F4C-9C87-9D9765D8283C}" name="(14)_x000a_Travel" dataDxfId="135" dataCellStyle="Currency">
      <calculatedColumnFormula>IF(Table45[[#This Row],[CODE]]=14, Table45[ [#This Row],[Account Deposit Amount] ]-Table45[ [#This Row],[Account Withdrawl Amount] ], )</calculatedColumnFormula>
    </tableColumn>
    <tableColumn id="19" xr3:uid="{4D7649E7-8846-EF47-AA7F-67D6DDAC4B20}" name="(15)_x000a_Parties food &amp; beverages" dataDxfId="134" dataCellStyle="Currency">
      <calculatedColumnFormula>IF(Table45[[#This Row],[CODE]]=15, Table45[ [#This Row],[Account Deposit Amount] ]-Table45[ [#This Row],[Account Withdrawl Amount] ], )</calculatedColumnFormula>
    </tableColumn>
    <tableColumn id="20" xr3:uid="{C4701B50-302F-4B47-8B6D-786718CB45F8}" name="(16)_x000a_Service Projects Donation" dataDxfId="133" dataCellStyle="Currency">
      <calculatedColumnFormula>IF(Table45[[#This Row],[CODE]]=16, Table45[ [#This Row],[Account Deposit Amount] ]-Table45[ [#This Row],[Account Withdrawl Amount] ], )</calculatedColumnFormula>
    </tableColumn>
  </tableColumns>
  <tableStyleInfo name="TableStyleMedium1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2FDF499-8040-468F-96DB-117127C87E01}" name="Table419" displayName="Table419" ref="U3:U100" totalsRowShown="0" headerRowDxfId="132" dataDxfId="130" headerRowBorderDxfId="131" tableBorderDxfId="129" headerRowCellStyle="Currency" dataCellStyle="Currency">
  <autoFilter ref="U3:U100" xr:uid="{6FC38952-FDD6-CD41-B4A4-BC6999DE33C3}"/>
  <tableColumns count="1">
    <tableColumn id="1" xr3:uid="{D0F3378A-48E7-C448-B814-A315AB6A09C2}" name="(17)_x000a_Cookie Debt" dataDxfId="128" dataCellStyle="Currency">
      <calculatedColumnFormula>IF(Table45[[#This Row],[CODE]]=17, Table45[ [#This Row],[Account Deposit Amount] ]-Table45[ [#This Row],[Account Withdrawl Amount] ], )</calculatedColumnFormula>
    </tableColumn>
  </tableColumns>
  <tableStyleInfo name="TableStyleMedium1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540A03B-2EE5-409F-A814-4F7FBB0BD538}" name="Table46" displayName="Table46" ref="A3:T100" totalsRowShown="0" headerRowDxfId="127" dataDxfId="125" headerRowBorderDxfId="126" tableBorderDxfId="124" headerRowCellStyle="Currency">
  <autoFilter ref="A3:T100" xr:uid="{4D8E7932-FBFB-234C-BA0B-7668022BDF86}"/>
  <tableColumns count="20">
    <tableColumn id="1" xr3:uid="{C8EB749C-70AE-7C46-969E-F233C565881E}" name="User" dataDxfId="123"/>
    <tableColumn id="2" xr3:uid="{12B1632C-C98B-4C44-9C31-982F20BA5811}" name="Date" dataDxfId="122"/>
    <tableColumn id="3" xr3:uid="{56B1DF2B-7C9A-2C4E-91C5-CEAC660BD190}" name="Payable/Deposit" dataDxfId="121"/>
    <tableColumn id="4" xr3:uid="{2AAAEF43-09E5-CB48-87C8-8CDB180F5B83}" name="Purchased" dataDxfId="120"/>
    <tableColumn id="5" xr3:uid="{5C726B1A-6EBC-EC48-AA75-483F19B0E735}" name="Account Deposit Amount" dataDxfId="119" dataCellStyle="Currency"/>
    <tableColumn id="6" xr3:uid="{BC1CE95B-6304-1A43-8792-94664E966EED}" name="Account Withdrawl Amount" dataDxfId="118" dataCellStyle="Currency"/>
    <tableColumn id="7" xr3:uid="{5CD43B59-8E04-4D40-B74A-7B0C50B7511D}" name="Total Troop Account" dataDxfId="117">
      <calculatedColumnFormula>G3+E4-F4</calculatedColumnFormula>
    </tableColumn>
    <tableColumn id="8" xr3:uid="{3B6FBCE1-5E88-104A-BA28-C162D55D60A3}" name="CODE" dataDxfId="116"/>
    <tableColumn id="9" xr3:uid="{B95564A0-F2CC-EA43-9E52-F55DA682ACDA}" name="(1)_x000a_Fall Product Money" dataDxfId="115" dataCellStyle="Currency">
      <calculatedColumnFormula>IF(Table46[[#This Row],[CODE]]=1, Table46[ [#This Row],[Account Deposit Amount] ]-Table46[ [#This Row],[Account Withdrawl Amount] ], )</calculatedColumnFormula>
    </tableColumn>
    <tableColumn id="10" xr3:uid="{6F30ACCF-92D9-C44C-8D7A-CE8C52FB53AF}" name="(2)_x000a_Cookie Money" dataDxfId="114" dataCellStyle="Currency">
      <calculatedColumnFormula>IF(Table46[[#This Row],[CODE]]=2, Table46[ [#This Row],[Account Deposit Amount] ]-Table46[ [#This Row],[Account Withdrawl Amount] ], )</calculatedColumnFormula>
    </tableColumn>
    <tableColumn id="11" xr3:uid="{6518BD7E-B7A6-744C-87F3-C3259F9C5424}" name="(3)_x000a_Additional Money Earning Activities " dataDxfId="113" dataCellStyle="Currency">
      <calculatedColumnFormula>IF(Table46[[#This Row],[CODE]]=3, Table46[ [#This Row],[Account Deposit Amount] ]-Table46[ [#This Row],[Account Withdrawl Amount] ], )</calculatedColumnFormula>
    </tableColumn>
    <tableColumn id="12" xr3:uid="{594985F6-8703-1046-8BF8-1FAA59EA4ECB}" name="(4)_x000a_Sponsorships" dataDxfId="112" dataCellStyle="Currency">
      <calculatedColumnFormula>IF(Table46[[#This Row],[CODE]]=4, Table46[ [#This Row],[Account Deposit Amount] ]-Table46[ [#This Row],[Account Withdrawl Amount] ], )</calculatedColumnFormula>
    </tableColumn>
    <tableColumn id="13" xr3:uid="{35F7BA4B-258A-D149-8D41-7F6F4293636F}" name="(5)_x000a_Troop Dues" dataDxfId="111" dataCellStyle="Currency">
      <calculatedColumnFormula>IF(Table46[[#This Row],[CODE]]=5, Table46[ [#This Row],[Account Deposit Amount] ]-Table46[ [#This Row],[Account Withdrawl Amount] ], )</calculatedColumnFormula>
    </tableColumn>
    <tableColumn id="14" xr3:uid="{671F39F6-22CE-0D49-BEC1-D6C2C801A6B1}" name="(6) _x000a_Other" dataDxfId="110" dataCellStyle="Currency">
      <calculatedColumnFormula>IF(Table46[[#This Row],[CODE]]=6, Table46[ [#This Row],[Account Deposit Amount] ]-Table46[ [#This Row],[Account Withdrawl Amount] ], )</calculatedColumnFormula>
    </tableColumn>
    <tableColumn id="15" xr3:uid="{0AFBA0F6-B026-8548-8ECE-CA20C363F45A}" name="(11)_x000a_Registration" dataDxfId="109" dataCellStyle="Currency">
      <calculatedColumnFormula>IF(Table46[[#This Row],[CODE]]=11, Table46[ [#This Row],[Account Deposit Amount] ]-Table46[ [#This Row],[Account Withdrawl Amount] ], )</calculatedColumnFormula>
    </tableColumn>
    <tableColumn id="16" xr3:uid="{D900C463-0F45-DF42-9843-2A558F5854A7}" name="(12)_x000a_Insignia" dataDxfId="108" dataCellStyle="Currency">
      <calculatedColumnFormula>IF(Table46[[#This Row],[CODE]]=12, Table46[ [#This Row],[Account Deposit Amount] ]-Table46[ [#This Row],[Account Withdrawl Amount] ], )</calculatedColumnFormula>
    </tableColumn>
    <tableColumn id="17" xr3:uid="{2C4D9192-87B5-984B-B724-10E2F490D720}" name="(13)_x000a_Activities/_x000a_Program" dataDxfId="107" dataCellStyle="Currency">
      <calculatedColumnFormula>IF(Table46[[#This Row],[CODE]]=13, Table46[ [#This Row],[Account Deposit Amount] ]-Table46[ [#This Row],[Account Withdrawl Amount] ], )</calculatedColumnFormula>
    </tableColumn>
    <tableColumn id="18" xr3:uid="{ADF9EA9E-1703-F34F-8E83-CD10AA584F51}" name="(14)_x000a_Travel" dataDxfId="106" dataCellStyle="Currency">
      <calculatedColumnFormula>IF(Table46[[#This Row],[CODE]]=14, Table46[ [#This Row],[Account Deposit Amount] ]-Table46[ [#This Row],[Account Withdrawl Amount] ], )</calculatedColumnFormula>
    </tableColumn>
    <tableColumn id="19" xr3:uid="{4F707E0B-0F3C-7646-A2D7-EDCFDC861D3C}" name="(15)_x000a_Parties food &amp; beverages" dataDxfId="105" dataCellStyle="Currency">
      <calculatedColumnFormula>IF(Table46[[#This Row],[CODE]]=15, Table46[ [#This Row],[Account Deposit Amount] ]-Table46[ [#This Row],[Account Withdrawl Amount] ], )</calculatedColumnFormula>
    </tableColumn>
    <tableColumn id="20" xr3:uid="{10910DFA-F96E-194E-A83C-F9E264D85320}" name="(16)_x000a_Service Projects Donation" dataDxfId="104" dataCellStyle="Currency">
      <calculatedColumnFormula>IF(Table46[[#This Row],[CODE]]=16, Table46[ [#This Row],[Account Deposit Amount] ]-Table46[ [#This Row],[Account Withdrawl Amount] ], )</calculatedColumnFormula>
    </tableColumn>
  </tableColumns>
  <tableStyleInfo name="TableStyleMedium1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2128EE8-C6B2-4015-9348-365234E1734C}" name="Table421" displayName="Table421" ref="U3:U100" totalsRowShown="0" headerRowDxfId="103" dataDxfId="101" headerRowBorderDxfId="102" tableBorderDxfId="100" headerRowCellStyle="Currency" dataCellStyle="Currency">
  <autoFilter ref="U3:U100" xr:uid="{77777D4C-29B6-7B4F-BAF8-4792B3B51515}"/>
  <tableColumns count="1">
    <tableColumn id="1" xr3:uid="{EE20914D-E0F2-3F45-A8E5-9D916513F401}" name="(17)_x000a_Cookie Debt" dataDxfId="99" dataCellStyle="Currency">
      <calculatedColumnFormula>IF(Table46[[#This Row],[CODE]]=17, Table46[ [#This Row],[Account Deposit Amount] ]-Table46[ [#This Row],[Account Withdrawl Amount] ], )</calculatedColumnFormula>
    </tableColumn>
  </tableColumns>
  <tableStyleInfo name="TableStyleMedium14"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CAB8709-4163-4C37-A769-005EF66360A5}" name="Table47" displayName="Table47" ref="A3:T100" totalsRowShown="0" headerRowDxfId="98" dataDxfId="96" headerRowBorderDxfId="97" tableBorderDxfId="95" headerRowCellStyle="Currency">
  <autoFilter ref="A3:T100" xr:uid="{D439EA9E-EBDE-4547-8FC2-82EAD4D8E9E8}"/>
  <tableColumns count="20">
    <tableColumn id="1" xr3:uid="{D04E669F-6D8D-7B45-ABC8-5E4280F8C90A}" name="User" dataDxfId="94"/>
    <tableColumn id="2" xr3:uid="{CDF367A8-62E5-AE41-975D-D7A30D8869BE}" name="Date" dataDxfId="93"/>
    <tableColumn id="3" xr3:uid="{262F2FE0-102A-4542-A798-243C17468F42}" name="Payable/Deposit" dataDxfId="92"/>
    <tableColumn id="4" xr3:uid="{330CD24E-4BD7-CF42-AF7E-B83031C23454}" name="Purchased" dataDxfId="91"/>
    <tableColumn id="5" xr3:uid="{85D364C3-3F4A-9F4C-94C2-1C0988E70A7A}" name="Account Deposit Amount" dataDxfId="90" dataCellStyle="Currency"/>
    <tableColumn id="6" xr3:uid="{0CE78645-0493-894C-BA16-D09896FD809B}" name="Account Withdrawl Amount" dataDxfId="89" dataCellStyle="Currency"/>
    <tableColumn id="7" xr3:uid="{A447C7DD-A94D-E94D-BD6C-D136E62DA42C}" name="Total Troop Account" dataDxfId="88">
      <calculatedColumnFormula>G3+E4-F4</calculatedColumnFormula>
    </tableColumn>
    <tableColumn id="8" xr3:uid="{093F82F9-D686-A94A-9DE2-03FB4E1B50CE}" name="CODE" dataDxfId="87"/>
    <tableColumn id="9" xr3:uid="{67AC22F8-CEAD-7F46-AC49-DA425160AA14}" name="(1)_x000a_Fall Product Money" dataDxfId="86" dataCellStyle="Currency">
      <calculatedColumnFormula>IF(Table47[[#This Row],[CODE]]=1, Table47[ [#This Row],[Account Deposit Amount] ]-Table47[ [#This Row],[Account Withdrawl Amount] ], )</calculatedColumnFormula>
    </tableColumn>
    <tableColumn id="10" xr3:uid="{901B0CC0-5098-DE4D-BCFD-DDF475A79D12}" name="(2)_x000a_Cookie Money" dataDxfId="85" dataCellStyle="Currency">
      <calculatedColumnFormula>IF(Table47[[#This Row],[CODE]]=2, Table47[ [#This Row],[Account Deposit Amount] ]-Table47[ [#This Row],[Account Withdrawl Amount] ], )</calculatedColumnFormula>
    </tableColumn>
    <tableColumn id="11" xr3:uid="{CA7F0561-F3F1-074C-BDBF-8A8033AB0BB3}" name="(3)_x000a_Additional Money Earning Activities " dataDxfId="84" dataCellStyle="Currency">
      <calculatedColumnFormula>IF(Table47[[#This Row],[CODE]]=3, Table47[ [#This Row],[Account Deposit Amount] ]-Table47[ [#This Row],[Account Withdrawl Amount] ], )</calculatedColumnFormula>
    </tableColumn>
    <tableColumn id="12" xr3:uid="{1D5E95E3-3334-D440-A26D-D3B045A71590}" name="(4)_x000a_Sponsorships" dataDxfId="83" dataCellStyle="Currency">
      <calculatedColumnFormula>IF(Table47[[#This Row],[CODE]]=4, Table47[ [#This Row],[Account Deposit Amount] ]-Table47[ [#This Row],[Account Withdrawl Amount] ], )</calculatedColumnFormula>
    </tableColumn>
    <tableColumn id="13" xr3:uid="{FEBD188C-8962-BC4D-947B-5B47D5DB0ECE}" name="(5)_x000a_Troop Dues" dataDxfId="82" dataCellStyle="Currency">
      <calculatedColumnFormula>IF(Table47[[#This Row],[CODE]]=5, Table47[ [#This Row],[Account Deposit Amount] ]-Table47[ [#This Row],[Account Withdrawl Amount] ], )</calculatedColumnFormula>
    </tableColumn>
    <tableColumn id="14" xr3:uid="{EB849180-8783-734F-BEE3-98B7B98A693F}" name="(6) _x000a_Other" dataDxfId="81" dataCellStyle="Currency">
      <calculatedColumnFormula>IF(Table47[[#This Row],[CODE]]=6, Table47[ [#This Row],[Account Deposit Amount] ]-Table47[ [#This Row],[Account Withdrawl Amount] ], )</calculatedColumnFormula>
    </tableColumn>
    <tableColumn id="15" xr3:uid="{BF0C40BF-577D-284A-8DB8-E43C2987BEF3}" name="(11)_x000a_Registration" dataDxfId="80" dataCellStyle="Currency">
      <calculatedColumnFormula>IF(Table47[[#This Row],[CODE]]=11, Table47[ [#This Row],[Account Deposit Amount] ]-Table47[ [#This Row],[Account Withdrawl Amount] ], )</calculatedColumnFormula>
    </tableColumn>
    <tableColumn id="16" xr3:uid="{2F60CE87-0982-F345-9E28-458D07E736A3}" name="(12)_x000a_Insignia" dataDxfId="79" dataCellStyle="Currency">
      <calculatedColumnFormula>IF(Table47[[#This Row],[CODE]]=12, Table47[ [#This Row],[Account Deposit Amount] ]-Table47[ [#This Row],[Account Withdrawl Amount] ], )</calculatedColumnFormula>
    </tableColumn>
    <tableColumn id="17" xr3:uid="{7F6D8F95-661D-9242-AA49-EDC880FB4A1F}" name="(13)_x000a_Activities/_x000a_Program" dataDxfId="78" dataCellStyle="Currency">
      <calculatedColumnFormula>IF(Table47[[#This Row],[CODE]]=13, Table47[ [#This Row],[Account Deposit Amount] ]-Table47[ [#This Row],[Account Withdrawl Amount] ], )</calculatedColumnFormula>
    </tableColumn>
    <tableColumn id="18" xr3:uid="{F4A10116-B41D-E641-BD4D-0188B077F689}" name="(14)_x000a_Travel" dataDxfId="77" dataCellStyle="Currency">
      <calculatedColumnFormula>IF(Table47[[#This Row],[CODE]]=14, Table47[ [#This Row],[Account Deposit Amount] ]-Table47[ [#This Row],[Account Withdrawl Amount] ], )</calculatedColumnFormula>
    </tableColumn>
    <tableColumn id="19" xr3:uid="{9F127352-AEFF-B04E-8D19-FB289E4954B2}" name="(15)_x000a_Parties food &amp; beverages" dataDxfId="76" dataCellStyle="Currency">
      <calculatedColumnFormula>IF(Table47[[#This Row],[CODE]]=15, Table47[ [#This Row],[Account Deposit Amount] ]-Table47[ [#This Row],[Account Withdrawl Amount] ], )</calculatedColumnFormula>
    </tableColumn>
    <tableColumn id="20" xr3:uid="{7DCA4AAA-001A-2A43-A17F-B6B0558FEBDD}" name="(16)_x000a_Service Projects Donation" dataDxfId="75" dataCellStyle="Currency">
      <calculatedColumnFormula>IF(Table47[[#This Row],[CODE]]=16, Table47[ [#This Row],[Account Deposit Amount] ]-Table47[ [#This Row],[Account Withdrawl Amount] ], )</calculatedColumnFormula>
    </tableColumn>
  </tableColumns>
  <tableStyleInfo name="TableStyleMedium1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24145B5-2121-4E8F-93C2-5A4F25E8E2B0}" name="Table423" displayName="Table423" ref="U3:U100" totalsRowShown="0" headerRowDxfId="74" dataDxfId="72" headerRowBorderDxfId="73" tableBorderDxfId="71" headerRowCellStyle="Currency" dataCellStyle="Currency">
  <autoFilter ref="U3:U100" xr:uid="{EF2770C4-50B2-8241-9397-916F1F619F38}"/>
  <tableColumns count="1">
    <tableColumn id="1" xr3:uid="{5F280FF7-B637-3C41-8AC7-5FAC1DAD76F8}" name="(17)_x000a_Cookie Debt" dataDxfId="70" dataCellStyle="Currency">
      <calculatedColumnFormula>IF(Table47[[#This Row],[CODE]]=17, Table47[ [#This Row],[Account Deposit Amount] ]-Table47[ [#This Row],[Account Withdrawl Amount] ], )</calculatedColumnFormula>
    </tableColumn>
  </tableColumns>
  <tableStyleInfo name="TableStyleMedium1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0A289-1846-4EEE-A7D1-FD264C9FF472}" name="Table324" displayName="Table324" ref="A3:T100" totalsRowShown="0" headerRowDxfId="69" dataDxfId="67" headerRowBorderDxfId="68" tableBorderDxfId="66" headerRowCellStyle="Currency">
  <autoFilter ref="A3:T100" xr:uid="{DFF66E63-7A5D-434D-A651-5A29F19C68AD}"/>
  <tableColumns count="20">
    <tableColumn id="1" xr3:uid="{BFC2D45D-782E-5B4B-A6D4-550508AAA457}" name="User" dataDxfId="65"/>
    <tableColumn id="2" xr3:uid="{D2AA83AB-E4CA-AF40-BBC4-7A06EECB317F}" name="Date" dataDxfId="64"/>
    <tableColumn id="3" xr3:uid="{246C24C6-9DDB-524D-B520-D365779CCF83}" name="Payable/Deposit" dataDxfId="63"/>
    <tableColumn id="4" xr3:uid="{49510CA4-9812-174B-B055-F340AC41F591}" name="Purchased" dataDxfId="62"/>
    <tableColumn id="5" xr3:uid="{0384DC2A-F242-0645-8CCA-7EC9F8EA18DC}" name="Account Deposit Amount" dataDxfId="61" dataCellStyle="Currency"/>
    <tableColumn id="6" xr3:uid="{AA0AD8C3-0F57-E344-89C9-8FB47EEA664A}" name="Account Withdrawl Amount" dataDxfId="60" dataCellStyle="Currency"/>
    <tableColumn id="7" xr3:uid="{F54BF4E5-31C6-7648-8C7D-5C3A99AC1C6F}" name="Total Troop Account" dataDxfId="59">
      <calculatedColumnFormula>G3+E4-F4</calculatedColumnFormula>
    </tableColumn>
    <tableColumn id="8" xr3:uid="{FC38EB98-6706-D14F-B7D0-E89EF1F645BE}" name="CODE" dataDxfId="58"/>
    <tableColumn id="9" xr3:uid="{50659751-164D-F143-B966-262FCCD5B2FD}" name="(1)_x000a_Fall Product Money" dataDxfId="57" dataCellStyle="Currency">
      <calculatedColumnFormula>IF(Table324[[#This Row],[CODE]]=1, Table324[ [#This Row],[Account Deposit Amount] ]-Table324[ [#This Row],[Account Withdrawl Amount] ], )</calculatedColumnFormula>
    </tableColumn>
    <tableColumn id="10" xr3:uid="{55D51645-8CF9-2742-AF88-05C4FE73A7DC}" name="(2)_x000a_Cookie Money" dataDxfId="56" dataCellStyle="Currency">
      <calculatedColumnFormula>IF(Table324[[#This Row],[CODE]]=2, Table324[ [#This Row],[Account Deposit Amount] ]-Table324[ [#This Row],[Account Withdrawl Amount] ], )</calculatedColumnFormula>
    </tableColumn>
    <tableColumn id="11" xr3:uid="{31107E1B-21EC-7942-A14D-7CCF6872AE96}" name="(3)_x000a_Additional Money Earning Activities " dataDxfId="55" dataCellStyle="Currency">
      <calculatedColumnFormula>IF(Table324[[#This Row],[CODE]]=3, Table324[ [#This Row],[Account Deposit Amount] ]-Table324[ [#This Row],[Account Withdrawl Amount] ], )</calculatedColumnFormula>
    </tableColumn>
    <tableColumn id="12" xr3:uid="{3A92C98B-6A3D-9D48-A325-ACF043073981}" name="(4)_x000a_Sponsorships" dataDxfId="54" dataCellStyle="Currency">
      <calculatedColumnFormula>IF(Table324[[#This Row],[CODE]]=4, Table324[ [#This Row],[Account Deposit Amount] ]-Table324[ [#This Row],[Account Withdrawl Amount] ], )</calculatedColumnFormula>
    </tableColumn>
    <tableColumn id="13" xr3:uid="{5A7A5A3B-5CB9-3247-ADE5-4B6232992EE5}" name="(5)_x000a_Troop Dues" dataDxfId="53" dataCellStyle="Currency">
      <calculatedColumnFormula>IF(Table324[[#This Row],[CODE]]=5, Table324[ [#This Row],[Account Deposit Amount] ]-Table324[ [#This Row],[Account Withdrawl Amount] ], )</calculatedColumnFormula>
    </tableColumn>
    <tableColumn id="14" xr3:uid="{268C1C2B-E846-C640-94D1-54575CDDD091}" name="(6) _x000a_Other" dataDxfId="52" dataCellStyle="Currency">
      <calculatedColumnFormula>IF(Table324[[#This Row],[CODE]]=6, Table324[ [#This Row],[Account Deposit Amount] ]-Table324[ [#This Row],[Account Withdrawl Amount] ], )</calculatedColumnFormula>
    </tableColumn>
    <tableColumn id="15" xr3:uid="{AED6011E-93F2-4A47-94F7-67E653D12C23}" name="(11)_x000a_Registration" dataDxfId="51" dataCellStyle="Currency">
      <calculatedColumnFormula>IF(Table324[[#This Row],[CODE]]=11, Table324[ [#This Row],[Account Deposit Amount] ]-Table324[ [#This Row],[Account Withdrawl Amount] ], )</calculatedColumnFormula>
    </tableColumn>
    <tableColumn id="16" xr3:uid="{9A7B1742-CFC0-B54B-9A95-C0982D5A2BC4}" name="(12)_x000a_Insignia" dataDxfId="50" dataCellStyle="Currency">
      <calculatedColumnFormula>IF(Table324[[#This Row],[CODE]]=12, Table324[ [#This Row],[Account Deposit Amount] ]-Table324[ [#This Row],[Account Withdrawl Amount] ], )</calculatedColumnFormula>
    </tableColumn>
    <tableColumn id="17" xr3:uid="{D6852463-3ABA-B24D-800F-9B41B1FA102A}" name="(13)_x000a_Activities/_x000a_Program" dataDxfId="49" dataCellStyle="Currency">
      <calculatedColumnFormula>IF(Table324[[#This Row],[CODE]]=13, Table324[ [#This Row],[Account Deposit Amount] ]-Table324[ [#This Row],[Account Withdrawl Amount] ], )</calculatedColumnFormula>
    </tableColumn>
    <tableColumn id="18" xr3:uid="{A8216FC8-16D5-C84A-98F1-13C4578483F1}" name="(14)_x000a_Travel" dataDxfId="48" dataCellStyle="Currency">
      <calculatedColumnFormula>IF(Table324[[#This Row],[CODE]]=14, Table324[ [#This Row],[Account Deposit Amount] ]-Table324[ [#This Row],[Account Withdrawl Amount] ], )</calculatedColumnFormula>
    </tableColumn>
    <tableColumn id="19" xr3:uid="{C670E219-510C-6243-A534-308B1E5D4025}" name="(15)_x000a_Parties food &amp; beverages" dataDxfId="47" dataCellStyle="Currency">
      <calculatedColumnFormula>IF(Table324[[#This Row],[CODE]]=15, Table324[ [#This Row],[Account Deposit Amount] ]-Table324[ [#This Row],[Account Withdrawl Amount] ], )</calculatedColumnFormula>
    </tableColumn>
    <tableColumn id="20" xr3:uid="{8926B382-87AD-874A-BAED-11807486D74A}" name="(16)_x000a_Service Projects Donation" dataDxfId="46" dataCellStyle="Currency">
      <calculatedColumnFormula>IF(Table324[[#This Row],[CODE]]=16, Table324[ [#This Row],[Account Deposit Amount] ]-Table324[ [#This Row],[Account Withdrawl Amount] ], )</calculatedColumnFormula>
    </tableColumn>
  </tableColumns>
  <tableStyleInfo name="TableStyleMedium1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5FA4B4F-F45F-438C-A9DD-96D962883515}" name="Table425" displayName="Table425" ref="U3:V100" totalsRowShown="0" headerRowDxfId="45" dataDxfId="43" headerRowBorderDxfId="44" tableBorderDxfId="42" headerRowCellStyle="Currency" dataCellStyle="Currency">
  <autoFilter ref="U3:V100" xr:uid="{A80CA100-1CB0-E345-B6DF-488BD3F06A2E}"/>
  <tableColumns count="2">
    <tableColumn id="1" xr3:uid="{CD113812-14D2-FD45-96D3-8799CA4C0FF2}" name="(17)_x000a_Cookie Debt" dataDxfId="41" dataCellStyle="Currency">
      <calculatedColumnFormula>IF(Table324[[#This Row],[CODE]]=17, Table324[ [#This Row],[Account Deposit Amount] ]-Table324[ [#This Row],[Account Withdrawl Amount] ], )</calculatedColumnFormula>
    </tableColumn>
    <tableColumn id="2" xr3:uid="{DBBBCD7D-C3BA-40C7-B65E-F9F3844DFB8A}" name="Column1" dataDxfId="40" dataCellStyle="Currency"/>
  </tableColumns>
  <tableStyleInfo name="TableStyleMedium1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126000-E271-462C-A642-6A6217155538}" name="Table334" displayName="Table334" ref="A3:V484" totalsRowShown="0" headerRowDxfId="39" dataDxfId="38">
  <autoFilter ref="A3:V484" xr:uid="{EDD2670A-06CE-49E1-A7D6-60B77A0AF3C8}"/>
  <tableColumns count="22">
    <tableColumn id="1" xr3:uid="{9D306100-4E92-4642-B3BF-C844B9AE3668}" name="User/ check #" dataDxfId="37"/>
    <tableColumn id="2" xr3:uid="{A056AD08-071E-47CE-9121-C4B9D6C668D6}" name="Date" dataDxfId="36"/>
    <tableColumn id="3" xr3:uid="{9BD2506B-4F2C-4505-81C9-5309F6A933A7}" name="Payable/Deposit" dataDxfId="35"/>
    <tableColumn id="4" xr3:uid="{94B5FC01-8152-4D18-AD24-1CB8EF9BB6EF}" name="Purchased/ Details" dataDxfId="34"/>
    <tableColumn id="5" xr3:uid="{CF834D71-B024-4089-9311-B4080F6C0E5A}" name="Account Deposit Amount" dataDxfId="33" dataCellStyle="Currency"/>
    <tableColumn id="6" xr3:uid="{6F19E562-8C90-481F-A14D-79BBABE56E60}" name="Account Withdrawl Amount" dataDxfId="32" dataCellStyle="Currency"/>
    <tableColumn id="7" xr3:uid="{CD14DBD7-CA18-4AD8-BBA2-996CF7655F7A}" name=" Account Balance" dataDxfId="31" dataCellStyle="Currency">
      <calculatedColumnFormula>4116.35+261</calculatedColumnFormula>
    </tableColumn>
    <tableColumn id="8" xr3:uid="{7B6E2A92-6501-4C20-A833-A570E8C3914A}" name="Category" dataDxfId="30"/>
    <tableColumn id="9" xr3:uid="{650273AA-0D79-4307-9D2C-CF8F0783E862}" name="Fall Product Money" dataDxfId="29" dataCellStyle="Currency">
      <calculatedColumnFormula>IF(Table334[[#This Row],[Category]]="Fall Product",Table334[[#This Row],[Account Deposit Amount]]-Table334[[#This Row],[Account Withdrawl Amount]], )</calculatedColumnFormula>
    </tableColumn>
    <tableColumn id="10" xr3:uid="{BB88D9E0-8B12-407F-A7EA-7A13E66C385F}" name="Cookie _x000a_Money" dataDxfId="28" dataCellStyle="Currency">
      <calculatedColumnFormula>IF(Table334[[#This Row],[Category]]="Cookies",Table334[[#This Row],[Account Deposit Amount]]-Table334[[#This Row],[Account Withdrawl Amount]], )</calculatedColumnFormula>
    </tableColumn>
    <tableColumn id="11" xr3:uid="{0901D89C-3FCB-4165-A144-1BA7EB9CA574}" name="Additional Money Earning Activities " dataDxfId="27" dataCellStyle="Currency">
      <calculatedColumnFormula>IF(Table334[[#This Row],[Category]]="Additional Money Earning Activities",Table334[[#This Row],[Account Deposit Amount]]-Table334[[#This Row],[Account Withdrawl Amount]], )</calculatedColumnFormula>
    </tableColumn>
    <tableColumn id="12" xr3:uid="{5CF1EBAE-7179-455B-9357-FBFED2730C70}" name="Sponsorships" dataDxfId="26" dataCellStyle="Currency">
      <calculatedColumnFormula>IF(Table334[[#This Row],[Category]]="Sponsorships",Table334[[#This Row],[Account Deposit Amount]]-Table334[[#This Row],[Account Withdrawl Amount]], )</calculatedColumnFormula>
    </tableColumn>
    <tableColumn id="13" xr3:uid="{38CDCA78-4A32-4DF2-A92C-0B8D5EEDD126}" name="Troop Dues" dataDxfId="25" dataCellStyle="Currency">
      <calculatedColumnFormula>IF(Table334[[#This Row],[Category]]="Troop Dues",Table334[[#This Row],[Account Deposit Amount]]-Table334[[#This Row],[Account Withdrawl Amount]], )</calculatedColumnFormula>
    </tableColumn>
    <tableColumn id="14" xr3:uid="{E4B5E27E-3311-44A0-84EC-E191418F6F25}" name="Other Income" dataDxfId="24" dataCellStyle="Currency">
      <calculatedColumnFormula>IF(Table334[[#This Row],[Category]]="Other Income",Table334[[#This Row],[Account Deposit Amount]]-Table334[[#This Row],[Account Withdrawl Amount]], )</calculatedColumnFormula>
    </tableColumn>
    <tableColumn id="15" xr3:uid="{D7DD52CE-3910-4D4C-B190-D0B6DED671F0}" name="Registration" dataDxfId="23" dataCellStyle="Currency">
      <calculatedColumnFormula>IF(Table334[[#This Row],[Category]]="Registration",Table334[[#This Row],[Account Deposit Amount]]-Table334[[#This Row],[Account Withdrawl Amount]], )</calculatedColumnFormula>
    </tableColumn>
    <tableColumn id="16" xr3:uid="{4D2FEA65-2334-4A90-BB61-BBF9BEBCD1F0}" name="Insignia" dataDxfId="22" dataCellStyle="Currency">
      <calculatedColumnFormula>IF(Table334[[#This Row],[Category]]="Insignia",Table334[[#This Row],[Account Deposit Amount]]-Table334[[#This Row],[Account Withdrawl Amount]], )</calculatedColumnFormula>
    </tableColumn>
    <tableColumn id="17" xr3:uid="{FC46659C-8A7E-4BBB-BDAC-2EB8B19C2597}" name="Activities/_x000a_Program" dataDxfId="21" dataCellStyle="Currency">
      <calculatedColumnFormula>IF(Table334[[#This Row],[Category]]="Activities/Program",Table334[[#This Row],[Account Deposit Amount]]-Table334[[#This Row],[Account Withdrawl Amount]], )</calculatedColumnFormula>
    </tableColumn>
    <tableColumn id="18" xr3:uid="{5F9C4989-6A78-4330-B1BF-B1D51FADC65E}" name="Travel" dataDxfId="20" dataCellStyle="Currency">
      <calculatedColumnFormula>IF(Table334[[#This Row],[Category]]="Travel",Table334[[#This Row],[Account Deposit Amount]]-Table334[[#This Row],[Account Withdrawl Amount]], )</calculatedColumnFormula>
    </tableColumn>
    <tableColumn id="19" xr3:uid="{85174B9D-EB48-43EC-B907-E1E8777E2153}" name="Parties _x000a_Food &amp; Beverages" dataDxfId="19" dataCellStyle="Currency">
      <calculatedColumnFormula>IF(Table334[[#This Row],[Category]]="Parties Food &amp; Beverages",Table334[[#This Row],[Account Deposit Amount]]-Table334[[#This Row],[Account Withdrawl Amount]], )</calculatedColumnFormula>
    </tableColumn>
    <tableColumn id="20" xr3:uid="{A420778A-F608-4C46-A488-824116A14FC4}" name="Service Projects Donation" dataDxfId="18" dataCellStyle="Currency">
      <calculatedColumnFormula>IF(Table334[[#This Row],[Category]]="Service Projects Donation",Table334[[#This Row],[Account Deposit Amount]]-Table334[[#This Row],[Account Withdrawl Amount]], )</calculatedColumnFormula>
    </tableColumn>
    <tableColumn id="21" xr3:uid="{96FD3619-3EFE-4D40-9389-2FB33F659B43}" name="Cookie _x000a_Debt" dataDxfId="17" dataCellStyle="Currency">
      <calculatedColumnFormula>IF(Table334[[#This Row],[Category]]="Cookie Debt",Table334[[#This Row],[Account Deposit Amount]]-Table334[[#This Row],[Account Withdrawl Amount]], )</calculatedColumnFormula>
    </tableColumn>
    <tableColumn id="22" xr3:uid="{C67C6CDA-325D-4D40-A93E-1C41699DE515}" name="Other Expense" dataDxfId="16" dataCellStyle="Currency">
      <calculatedColumnFormula>IF(Table334[[#This Row],[Category]]="Other Expense",Table334[[#This Row],[Account Deposit Amount]]-Table334[[#This Row],[Account Withdrawl Amount]], )</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874817-755B-4C0E-9FEC-759C12109C86}" name="Table43" displayName="Table43" ref="V3:V99" totalsRowShown="0" headerRowDxfId="405" dataDxfId="403" headerRowBorderDxfId="404" tableBorderDxfId="402" headerRowCellStyle="Currency" dataCellStyle="Currency">
  <autoFilter ref="V3:V99" xr:uid="{96751B33-130F-432E-A548-04551BD211CC}"/>
  <tableColumns count="1">
    <tableColumn id="1" xr3:uid="{AD36F895-20C2-4D04-BE4E-7402C8120B06}" name="(18)_x000a_Other" dataDxfId="401" dataCellStyle="Currency">
      <calculatedColumnFormula>IF(Table32[[#This Row],[CODE]]=17, Table32[ [#This Row],[Account Deposit Amount] ]-Table32[ [#This Row],[Account Withdrawl Amount] ], )</calculatedColumnFormula>
    </tableColumn>
  </tableColumns>
  <tableStyleInfo name="TableStyleMedium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934DDE-055F-4ACD-8BFE-3E70EC825990}" name="Table436" displayName="Table436" ref="U3:U99" totalsRowShown="0" headerRowDxfId="400" dataDxfId="398" headerRowBorderDxfId="399" tableBorderDxfId="397" headerRowCellStyle="Currency" dataCellStyle="Currency">
  <autoFilter ref="U3:U99" xr:uid="{F2934DDE-055F-4ACD-8BFE-3E70EC825990}"/>
  <tableColumns count="1">
    <tableColumn id="1" xr3:uid="{5FE7D881-1B9E-4ACF-9DE6-0DD60A283760}" name="(17)_x000a_Cookie Debt" dataDxfId="396" dataCellStyle="Currency">
      <calculatedColumnFormula>IF(Table32[[#This Row],[CODE]]=17, Table32[ [#This Row],[Account Deposit Amount] ]-Table32[ [#This Row],[Account Withdrawl Amount] ], )</calculatedColumnFormula>
    </tableColumn>
  </tableColumns>
  <tableStyleInfo name="TableStyleMedium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29770BC-183A-486F-BF6F-D7B782BE05A3}" name="Table38" displayName="Table38" ref="A3:T42" totalsRowShown="0" headerRowDxfId="395" dataDxfId="393" headerRowBorderDxfId="394" tableBorderDxfId="392" headerRowCellStyle="Currency">
  <autoFilter ref="A3:T42" xr:uid="{2B24855B-F5DA-4EDA-BB63-9354A3D9AAAD}"/>
  <tableColumns count="20">
    <tableColumn id="1" xr3:uid="{D20346EE-E387-4C62-B64B-9AC28CBCFB0C}" name="User" dataDxfId="391"/>
    <tableColumn id="2" xr3:uid="{53C56D99-D8C7-4252-B186-75E506F2E474}" name="Date" dataDxfId="390"/>
    <tableColumn id="3" xr3:uid="{B9650200-82B1-4D75-A911-B40F3CC646A9}" name="Payable/Deposit" dataDxfId="389"/>
    <tableColumn id="4" xr3:uid="{32AD8B04-4254-4749-A6CD-C3A4CE6BA7F4}" name="Purchased" dataDxfId="388"/>
    <tableColumn id="5" xr3:uid="{BD9DDDAE-DE7A-42A1-801B-73943D013CD1}" name="Account Deposit Amount" dataDxfId="387" dataCellStyle="Currency"/>
    <tableColumn id="6" xr3:uid="{4B320239-97C5-4445-85F1-1D5AD0D86F94}" name="Account Withdrawl Amount" dataDxfId="386" dataCellStyle="Currency"/>
    <tableColumn id="7" xr3:uid="{8EFEF538-40D7-44CE-8988-495149B4C549}" name="Total Troop Account" dataDxfId="385">
      <calculatedColumnFormula>G3+E4-F4</calculatedColumnFormula>
    </tableColumn>
    <tableColumn id="8" xr3:uid="{E83C3B82-DD59-47A4-832C-42CE761ACF3E}" name="CODE" dataDxfId="384"/>
    <tableColumn id="9" xr3:uid="{25B6DB52-DB5F-4EFC-AA97-64067D4971BE}" name="(1)_x000a_Fall Product Money" dataDxfId="383" dataCellStyle="Currency">
      <calculatedColumnFormula>IF(Table38[[#This Row],[CODE]]=1, Table38[ [#This Row],[Account Deposit Amount] ]-Table38[ [#This Row],[Account Withdrawl Amount] ], )</calculatedColumnFormula>
    </tableColumn>
    <tableColumn id="10" xr3:uid="{A9F68758-C4C2-4930-B4BE-98F669ADC3DE}" name="(2)_x000a_Cookie Money" dataDxfId="382" dataCellStyle="Currency">
      <calculatedColumnFormula>IF(Table38[[#This Row],[CODE]]=2, Table38[ [#This Row],[Account Deposit Amount] ]-Table38[ [#This Row],[Account Withdrawl Amount] ], )</calculatedColumnFormula>
    </tableColumn>
    <tableColumn id="11" xr3:uid="{31F0DA55-5C89-4510-BCF7-189942B5FB9B}" name="(3)_x000a_Additional Money Earning Activities " dataDxfId="381" dataCellStyle="Currency">
      <calculatedColumnFormula>IF(Table38[[#This Row],[CODE]]=3, Table38[ [#This Row],[Account Deposit Amount] ]-Table38[ [#This Row],[Account Withdrawl Amount] ], )</calculatedColumnFormula>
    </tableColumn>
    <tableColumn id="12" xr3:uid="{413A51A5-F260-498D-9A9C-2A8C9B8B5A57}" name="(4)_x000a_Sponsorships" dataDxfId="380" dataCellStyle="Currency">
      <calculatedColumnFormula>IF(Table38[[#This Row],[CODE]]=4, Table38[ [#This Row],[Account Deposit Amount] ]-Table38[ [#This Row],[Account Withdrawl Amount] ], )</calculatedColumnFormula>
    </tableColumn>
    <tableColumn id="13" xr3:uid="{689EE9C2-4B73-44F1-AF66-30C8810E22AA}" name="(5)_x000a_Troop Dues" dataDxfId="379" dataCellStyle="Currency">
      <calculatedColumnFormula>IF(Table38[[#This Row],[CODE]]=5, Table38[ [#This Row],[Account Deposit Amount] ]-Table38[ [#This Row],[Account Withdrawl Amount] ], )</calculatedColumnFormula>
    </tableColumn>
    <tableColumn id="14" xr3:uid="{83A07A65-D5C5-4677-BBD4-857EC06869CB}" name="(6) _x000a_Other" dataDxfId="378" dataCellStyle="Currency">
      <calculatedColumnFormula>IF(Table38[[#This Row],[CODE]]=6, Table38[ [#This Row],[Account Deposit Amount] ]-Table38[ [#This Row],[Account Withdrawl Amount] ], )</calculatedColumnFormula>
    </tableColumn>
    <tableColumn id="15" xr3:uid="{609A3886-7BE0-4104-BAB8-2F372780C28D}" name="(11)_x000a_Registration" dataDxfId="377" dataCellStyle="Currency">
      <calculatedColumnFormula>IF(Table38[[#This Row],[CODE]]=11, Table38[ [#This Row],[Account Deposit Amount] ]-Table38[ [#This Row],[Account Withdrawl Amount] ], )</calculatedColumnFormula>
    </tableColumn>
    <tableColumn id="16" xr3:uid="{3920920D-D4AB-496F-8830-30AA1FD4F935}" name="(12)_x000a_Insignia" dataDxfId="376" dataCellStyle="Currency">
      <calculatedColumnFormula>IF(Table38[[#This Row],[CODE]]=12, Table38[ [#This Row],[Account Deposit Amount] ]-Table38[ [#This Row],[Account Withdrawl Amount] ], )</calculatedColumnFormula>
    </tableColumn>
    <tableColumn id="17" xr3:uid="{E00FE226-2B9D-407D-8744-C65F9A8C327A}" name="(13)_x000a_Activities/_x000a_Program" dataDxfId="375" dataCellStyle="Currency">
      <calculatedColumnFormula>IF(Table38[[#This Row],[CODE]]=13, Table38[ [#This Row],[Account Deposit Amount] ]-Table38[ [#This Row],[Account Withdrawl Amount] ], )</calculatedColumnFormula>
    </tableColumn>
    <tableColumn id="18" xr3:uid="{757511B1-4D6E-447F-B89B-9A63377DFB18}" name="(14)_x000a_Travel" dataDxfId="374" dataCellStyle="Currency">
      <calculatedColumnFormula>IF(Table38[[#This Row],[CODE]]=14, Table38[ [#This Row],[Account Deposit Amount] ]-Table38[ [#This Row],[Account Withdrawl Amount] ], )</calculatedColumnFormula>
    </tableColumn>
    <tableColumn id="19" xr3:uid="{D0B0B64C-1DF3-4D8D-B766-A76EB98C2801}" name="(15)_x000a_Parties food &amp; beverages" dataDxfId="373" dataCellStyle="Currency">
      <calculatedColumnFormula>IF(Table38[[#This Row],[CODE]]=15, Table38[ [#This Row],[Account Deposit Amount] ]-Table38[ [#This Row],[Account Withdrawl Amount] ], )</calculatedColumnFormula>
    </tableColumn>
    <tableColumn id="20" xr3:uid="{06E2AF03-659E-4C67-AD30-6C7614451C45}" name="(16)_x000a_Service Projects Donation" dataDxfId="372" dataCellStyle="Currency">
      <calculatedColumnFormula>IF(Table38[[#This Row],[CODE]]=16, Table38[ [#This Row],[Account Deposit Amount] ]-Table38[ [#This Row],[Account Withdrawl Amount] ], )</calculatedColumnFormula>
    </tableColumn>
  </tableColumns>
  <tableStyleInfo name="TableStyleMedium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41304E6-E7D8-4A1F-A11B-A71CB49EFBFD}" name="Table410" displayName="Table410" ref="U3:V273" totalsRowShown="0" headerRowDxfId="371" dataDxfId="369" headerRowBorderDxfId="370" tableBorderDxfId="368" headerRowCellStyle="Currency" dataCellStyle="Currency">
  <autoFilter ref="U3:V273" xr:uid="{96751B33-130F-432E-A548-04551BD211CC}"/>
  <tableColumns count="2">
    <tableColumn id="1" xr3:uid="{A0422C78-4AFC-4497-8444-13B870A79F5E}" name="(17)_x000a_Cookie Debt" dataDxfId="367" dataCellStyle="Currency">
      <calculatedColumnFormula>IF(Table38[[#This Row],[CODE]]=17, Table38[ [#This Row],[Account Deposit Amount] ]-Table38[ [#This Row],[Account Withdrawl Amount] ], )</calculatedColumnFormula>
    </tableColumn>
    <tableColumn id="2" xr3:uid="{0A5D1871-F528-45A5-99C2-C78164C013A8}" name="(18)_x000a_Other" dataDxfId="366" dataCellStyle="Currency">
      <calculatedColumnFormula>IF(Table37[[#This Row],[CODE]]=18, Table37[ [#This Row],[Account Deposit Amount] ]-Table37[ [#This Row],[Account Withdrawl Amount] ], )</calculatedColumnFormula>
    </tableColumn>
  </tableColumns>
  <tableStyleInfo name="TableStyleMedium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DE7C1C-F2D6-406F-B223-D44C771A76C2}" name="Table37" displayName="Table37" ref="A3:T80" totalsRowShown="0" headerRowDxfId="365" dataDxfId="363" headerRowBorderDxfId="364" tableBorderDxfId="362" headerRowCellStyle="Currency">
  <autoFilter ref="A3:T80" xr:uid="{2B24855B-F5DA-4EDA-BB63-9354A3D9AAAD}"/>
  <tableColumns count="20">
    <tableColumn id="1" xr3:uid="{4880B8A8-AAFE-4166-A3F2-93CCBAA6A0D7}" name="User" dataDxfId="361"/>
    <tableColumn id="2" xr3:uid="{C169D0A1-A6E7-4D30-9FFC-170EA3C25BAE}" name="Date" dataDxfId="360"/>
    <tableColumn id="3" xr3:uid="{07BD93F1-B634-4F30-835E-2275F867D60B}" name="Payable/Deposit" dataDxfId="359"/>
    <tableColumn id="4" xr3:uid="{B2EE881C-84A8-4CFF-8786-4EFB814A3AA2}" name="Purchased" dataDxfId="358"/>
    <tableColumn id="5" xr3:uid="{4CD9FBC2-DBE2-4D5B-8B78-FA3560906133}" name="Account Deposit Amount" dataDxfId="357" dataCellStyle="Currency"/>
    <tableColumn id="6" xr3:uid="{A6C0191E-333F-4CD5-87B3-E04A66303C4F}" name="Account Withdrawl Amount" dataDxfId="356" dataCellStyle="Currency"/>
    <tableColumn id="7" xr3:uid="{9DDA4F13-805D-41C9-B31B-0BC75FDEFC24}" name="Total Troop Account" dataDxfId="355">
      <calculatedColumnFormula>G3+E4-F4</calculatedColumnFormula>
    </tableColumn>
    <tableColumn id="8" xr3:uid="{181B481B-7164-4027-835C-D6A74FED3914}" name="CODE" dataDxfId="354"/>
    <tableColumn id="9" xr3:uid="{2D50A13B-1964-4149-AC91-F180D628AE5E}" name="(1)_x000a_Fall Product Money" dataDxfId="353" dataCellStyle="Currency">
      <calculatedColumnFormula>IF(Table37[[#This Row],[CODE]]=1, Table37[ [#This Row],[Account Deposit Amount] ]-Table37[ [#This Row],[Account Withdrawl Amount] ], )</calculatedColumnFormula>
    </tableColumn>
    <tableColumn id="10" xr3:uid="{3341BC27-A0FC-42FF-A65F-D6F3F3A83925}" name="(2)_x000a_Cookie Money" dataDxfId="352" dataCellStyle="Currency">
      <calculatedColumnFormula>IF(Table37[[#This Row],[CODE]]=2, Table37[ [#This Row],[Account Deposit Amount] ]-Table37[ [#This Row],[Account Withdrawl Amount] ], )</calculatedColumnFormula>
    </tableColumn>
    <tableColumn id="11" xr3:uid="{860A0C85-01D8-44A1-9B64-42990F55C96A}" name="(3)_x000a_Additional Money Earning Activities " dataDxfId="351" dataCellStyle="Currency">
      <calculatedColumnFormula>IF(Table37[[#This Row],[CODE]]=3, Table37[ [#This Row],[Account Deposit Amount] ]-Table37[ [#This Row],[Account Withdrawl Amount] ], )</calculatedColumnFormula>
    </tableColumn>
    <tableColumn id="12" xr3:uid="{064A9C20-71F9-4A43-8E3D-BECEEF6FCB3C}" name="(4)_x000a_Sponsorships" dataDxfId="350" dataCellStyle="Currency">
      <calculatedColumnFormula>IF(Table37[[#This Row],[CODE]]=4, Table37[ [#This Row],[Account Deposit Amount] ]-Table37[ [#This Row],[Account Withdrawl Amount] ], )</calculatedColumnFormula>
    </tableColumn>
    <tableColumn id="13" xr3:uid="{CB640E0F-0B2F-4DA9-BC74-67127A9F8697}" name="(5)_x000a_Troop Dues" dataDxfId="349" dataCellStyle="Currency">
      <calculatedColumnFormula>IF(Table37[[#This Row],[CODE]]=5, Table37[ [#This Row],[Account Deposit Amount] ]-Table37[ [#This Row],[Account Withdrawl Amount] ], )</calculatedColumnFormula>
    </tableColumn>
    <tableColumn id="14" xr3:uid="{13B414A5-3B26-4656-8BCB-381CD12D4722}" name="(6) _x000a_Other" dataDxfId="348" dataCellStyle="Currency">
      <calculatedColumnFormula>IF(Table37[[#This Row],[CODE]]=6, Table37[ [#This Row],[Account Deposit Amount] ]-Table37[ [#This Row],[Account Withdrawl Amount] ], )</calculatedColumnFormula>
    </tableColumn>
    <tableColumn id="15" xr3:uid="{507E071D-E40F-4EF0-8CF6-840B0335ED48}" name="(11)_x000a_Registration" dataDxfId="347" dataCellStyle="Currency">
      <calculatedColumnFormula>IF(Table37[[#This Row],[CODE]]=11, Table37[ [#This Row],[Account Deposit Amount] ]-Table37[ [#This Row],[Account Withdrawl Amount] ], )</calculatedColumnFormula>
    </tableColumn>
    <tableColumn id="16" xr3:uid="{89597C3C-AF04-4E81-AD4C-EF61D0783E22}" name="(12)_x000a_Insignia" dataDxfId="346" dataCellStyle="Currency">
      <calculatedColumnFormula>IF(Table37[[#This Row],[CODE]]=12, Table37[ [#This Row],[Account Deposit Amount] ]-Table37[ [#This Row],[Account Withdrawl Amount] ], )</calculatedColumnFormula>
    </tableColumn>
    <tableColumn id="17" xr3:uid="{EFE79B07-D080-41B7-A7B8-0D8A9D4BE9B6}" name="(13)_x000a_Activities/_x000a_Program" dataDxfId="345" dataCellStyle="Currency">
      <calculatedColumnFormula>IF(Table37[[#This Row],[CODE]]=13, Table37[ [#This Row],[Account Deposit Amount] ]-Table37[ [#This Row],[Account Withdrawl Amount] ], )</calculatedColumnFormula>
    </tableColumn>
    <tableColumn id="18" xr3:uid="{CF31C26A-2B4F-4929-B712-7490806B50BD}" name="(14)_x000a_Travel" dataDxfId="344" dataCellStyle="Currency">
      <calculatedColumnFormula>IF(Table37[[#This Row],[CODE]]=14, Table37[ [#This Row],[Account Deposit Amount] ]-Table37[ [#This Row],[Account Withdrawl Amount] ], )</calculatedColumnFormula>
    </tableColumn>
    <tableColumn id="19" xr3:uid="{6CD59565-5EF1-4D27-8271-259731274842}" name="(15)_x000a_Parties food &amp; beverages" dataDxfId="343" dataCellStyle="Currency">
      <calculatedColumnFormula>IF(Table37[[#This Row],[CODE]]=15, Table37[ [#This Row],[Account Deposit Amount] ]-Table37[ [#This Row],[Account Withdrawl Amount] ], )</calculatedColumnFormula>
    </tableColumn>
    <tableColumn id="20" xr3:uid="{4C1E38E4-8B48-46DC-AACD-B4158CD57872}" name="(16)_x000a_Service Projects Donation" dataDxfId="342" dataCellStyle="Currency">
      <calculatedColumnFormula>IF(Table37[[#This Row],[CODE]]=16, Table37[ [#This Row],[Account Deposit Amount] ]-Table37[ [#This Row],[Account Withdrawl Amount] ], )</calculatedColumnFormula>
    </tableColumn>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627DF7C-8237-4DF5-ACF0-767E45DD1A90}" name="Table48" displayName="Table48" ref="U3:V80" totalsRowShown="0" headerRowDxfId="341" dataDxfId="339" headerRowBorderDxfId="340" tableBorderDxfId="338" headerRowCellStyle="Currency" dataCellStyle="Currency">
  <autoFilter ref="U3:V80" xr:uid="{96751B33-130F-432E-A548-04551BD211CC}"/>
  <tableColumns count="2">
    <tableColumn id="1" xr3:uid="{D2FB2720-2948-4779-8636-9823A9549238}" name="(17)_x000a_Cookie Debt" dataDxfId="337" dataCellStyle="Currency">
      <calculatedColumnFormula>IF(Table37[[#This Row],[CODE]]=17, Table37[ [#This Row],[Account Deposit Amount] ]-Table37[ [#This Row],[Account Withdrawl Amount] ], )</calculatedColumnFormula>
    </tableColumn>
    <tableColumn id="2" xr3:uid="{92E1241A-5624-48D4-9165-9F9C7F6E3BFC}" name="(18)_x000a_Other" dataDxfId="336" dataCellStyle="Currency">
      <calculatedColumnFormula>IF(Table37[[#This Row],[CODE]]=18, Table37[ [#This Row],[Account Deposit Amount] ]-Table37[ [#This Row],[Account Withdrawl Amount] ], )</calculatedColumnFormula>
    </tableColumn>
  </tableColumns>
  <tableStyleInfo name="TableStyleMedium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11FE9F3-952C-4626-92AA-4463431B55F5}" name="Table39" displayName="Table39" ref="A3:T18" totalsRowShown="0" headerRowDxfId="335" dataDxfId="333" headerRowBorderDxfId="334" tableBorderDxfId="332" headerRowCellStyle="Currency">
  <autoFilter ref="A3:T18" xr:uid="{2B24855B-F5DA-4EDA-BB63-9354A3D9AAAD}"/>
  <tableColumns count="20">
    <tableColumn id="1" xr3:uid="{ABB693C0-97C6-410B-B6C6-BD8CC363C559}" name="User" dataDxfId="331"/>
    <tableColumn id="2" xr3:uid="{E023027B-1252-43E1-8F3F-130927262621}" name="Date" dataDxfId="330"/>
    <tableColumn id="3" xr3:uid="{8BD02A5E-DE41-4F00-89E1-E3682F95AB64}" name="Payable/Deposit" dataDxfId="329"/>
    <tableColumn id="4" xr3:uid="{20A1DDA2-2224-40FF-A270-0559B473A66D}" name="Purchased" dataDxfId="328"/>
    <tableColumn id="5" xr3:uid="{4205CE05-FD22-49A5-B1B3-8B675E2864F9}" name="Account Deposit Amount" dataDxfId="327" dataCellStyle="Currency"/>
    <tableColumn id="6" xr3:uid="{D703997A-49A4-4E4F-A910-5FF27809ACD5}" name="Account Withdrawl Amount" dataDxfId="326" dataCellStyle="Currency"/>
    <tableColumn id="7" xr3:uid="{1D2615D7-D848-4544-AB3F-E7F5CFF81387}" name="Total Troop Account" dataDxfId="325">
      <calculatedColumnFormula>G3+E4-F4</calculatedColumnFormula>
    </tableColumn>
    <tableColumn id="8" xr3:uid="{4ECD849C-4DB1-4791-B9BD-B3DEB4CA5D4B}" name="CODE" dataDxfId="324"/>
    <tableColumn id="9" xr3:uid="{9BAB23FA-A575-4B35-917E-CB0E333D01E0}" name="(1)_x000a_Fall Product Money" dataDxfId="323" dataCellStyle="Currency">
      <calculatedColumnFormula>IF(Table39[[#This Row],[CODE]]=1, Table39[ [#This Row],[Account Deposit Amount] ]-Table39[ [#This Row],[Account Withdrawl Amount] ], )</calculatedColumnFormula>
    </tableColumn>
    <tableColumn id="10" xr3:uid="{79ABDE1E-71F0-4442-8522-2DE74500F79B}" name="(2)_x000a_Cookie Money" dataDxfId="322" dataCellStyle="Currency">
      <calculatedColumnFormula>IF(Table39[[#This Row],[CODE]]=2, Table39[ [#This Row],[Account Deposit Amount] ]-Table39[ [#This Row],[Account Withdrawl Amount] ], )</calculatedColumnFormula>
    </tableColumn>
    <tableColumn id="11" xr3:uid="{CC770E50-5D81-4EE1-AA8E-0245B7429324}" name="(3)_x000a_Additional Money Earning Activities " dataDxfId="321" dataCellStyle="Currency">
      <calculatedColumnFormula>IF(Table39[[#This Row],[CODE]]=3, Table39[ [#This Row],[Account Deposit Amount] ]-Table39[ [#This Row],[Account Withdrawl Amount] ], )</calculatedColumnFormula>
    </tableColumn>
    <tableColumn id="12" xr3:uid="{D0EE8FDA-8BDA-48EF-843F-F68CCB640C42}" name="(4)_x000a_Sponsorships" dataDxfId="320" dataCellStyle="Currency">
      <calculatedColumnFormula>IF(Table39[[#This Row],[CODE]]=4, Table39[ [#This Row],[Account Deposit Amount] ]-Table39[ [#This Row],[Account Withdrawl Amount] ], )</calculatedColumnFormula>
    </tableColumn>
    <tableColumn id="13" xr3:uid="{5E67756E-C775-4430-BA1A-D1FE36CB75A0}" name="(5)_x000a_Troop Dues" dataDxfId="319" dataCellStyle="Currency">
      <calculatedColumnFormula>IF(Table39[[#This Row],[CODE]]=5, Table39[ [#This Row],[Account Deposit Amount] ]-Table39[ [#This Row],[Account Withdrawl Amount] ], )</calculatedColumnFormula>
    </tableColumn>
    <tableColumn id="14" xr3:uid="{85C46A31-125D-488D-B9F9-115F03615F2A}" name="(6) _x000a_Other" dataDxfId="318" dataCellStyle="Currency">
      <calculatedColumnFormula>IF(Table39[[#This Row],[CODE]]=6, Table39[ [#This Row],[Account Deposit Amount] ]-Table39[ [#This Row],[Account Withdrawl Amount] ], )</calculatedColumnFormula>
    </tableColumn>
    <tableColumn id="15" xr3:uid="{5777D36B-8D53-4AB7-BCFC-C8DBD7CA7789}" name="(11)_x000a_Registration" dataDxfId="317" dataCellStyle="Currency">
      <calculatedColumnFormula>IF(Table39[[#This Row],[CODE]]=11, Table39[ [#This Row],[Account Deposit Amount] ]-Table39[ [#This Row],[Account Withdrawl Amount] ], )</calculatedColumnFormula>
    </tableColumn>
    <tableColumn id="16" xr3:uid="{22E4B427-45CC-42C9-BB3E-AE71A62DAF19}" name="(12)_x000a_Insignia" dataDxfId="316" dataCellStyle="Currency">
      <calculatedColumnFormula>IF(Table39[[#This Row],[CODE]]=12, Table39[ [#This Row],[Account Deposit Amount] ]-Table39[ [#This Row],[Account Withdrawl Amount] ], )</calculatedColumnFormula>
    </tableColumn>
    <tableColumn id="17" xr3:uid="{719F063B-D719-4B84-A10E-06C013C75B33}" name="(13)_x000a_Activities/_x000a_Program" dataDxfId="315" dataCellStyle="Currency">
      <calculatedColumnFormula>IF(Table39[[#This Row],[CODE]]=13, Table39[ [#This Row],[Account Deposit Amount] ]-Table39[ [#This Row],[Account Withdrawl Amount] ], )</calculatedColumnFormula>
    </tableColumn>
    <tableColumn id="18" xr3:uid="{6A3C0A53-3E8A-47AB-B18F-9A9C0ADF2B1B}" name="(14)_x000a_Travel" dataDxfId="314" dataCellStyle="Currency">
      <calculatedColumnFormula>IF(Table39[[#This Row],[CODE]]=14, Table39[ [#This Row],[Account Deposit Amount] ]-Table39[ [#This Row],[Account Withdrawl Amount] ], )</calculatedColumnFormula>
    </tableColumn>
    <tableColumn id="19" xr3:uid="{38B9EE8A-9AB9-442B-9B55-ABC391CAB622}" name="(15)_x000a_Parties food &amp; beverages" dataDxfId="313" dataCellStyle="Currency">
      <calculatedColumnFormula>IF(Table39[[#This Row],[CODE]]=15, Table39[ [#This Row],[Account Deposit Amount] ]-Table39[ [#This Row],[Account Withdrawl Amount] ], )</calculatedColumnFormula>
    </tableColumn>
    <tableColumn id="20" xr3:uid="{961531B8-2B21-4041-8263-D7043230A13A}" name="(16)_x000a_Service Projects Donation" dataDxfId="312" dataCellStyle="Currency">
      <calculatedColumnFormula>IF(Table39[[#This Row],[CODE]]=16, Table39[ [#This Row],[Account Deposit Amount] ]-Table39[ [#This Row],[Account Withdrawl Amount] ], )</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5" Type="http://schemas.openxmlformats.org/officeDocument/2006/relationships/comments" Target="../comments7.xml"/><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vmlDrawing" Target="../drawings/vmlDrawing8.vml"/><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5" Type="http://schemas.openxmlformats.org/officeDocument/2006/relationships/comments" Target="../comments9.xml"/><Relationship Id="rId4" Type="http://schemas.openxmlformats.org/officeDocument/2006/relationships/table" Target="../tables/table14.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vmlDrawing" Target="../drawings/vmlDrawing10.vml"/><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vmlDrawing" Target="../drawings/vmlDrawing11.vml"/><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vmlDrawing" Target="../drawings/vmlDrawing12.vml"/><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vmlDrawing" Target="../drawings/vmlDrawing13.vml"/><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vmlDrawing" Target="../drawings/vmlDrawing14.vm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vmlDrawing" Target="../drawings/vmlDrawing15.vml"/><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vmlDrawing" Target="../drawings/vmlDrawing16.vml"/><Relationship Id="rId4" Type="http://schemas.openxmlformats.org/officeDocument/2006/relationships/comments" Target="../comments16.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table" Target="../tables/table29.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girlscouts-ssc.org/content/dam/girlscouts-ssc-redesign/redesign-forms-and-documents/forms-and-documents/travel-forms/2024%20Travel%20Packet%20-%20FINAL%201-10-24.pdf" TargetMode="External"/><Relationship Id="rId2" Type="http://schemas.openxmlformats.org/officeDocument/2006/relationships/hyperlink" Target="https://www.girlscouts-ssc.org/content/dam/girlscouts-ssc-redesign/redesign-forms-and-documents/forms-and-documents/finance/Donation%20to%20Troop%20Form.pdf" TargetMode="External"/><Relationship Id="rId1" Type="http://schemas.openxmlformats.org/officeDocument/2006/relationships/hyperlink" Target="https://www.girlscouts-ssc.org/content/dam/girlscouts-ssc-redesign/redesign-forms-and-documents/forms-and-documents/finance/Applicationformoney.pdf" TargetMode="External"/><Relationship Id="rId5" Type="http://schemas.openxmlformats.org/officeDocument/2006/relationships/drawing" Target="../drawings/drawing1.xml"/><Relationship Id="rId4" Type="http://schemas.openxmlformats.org/officeDocument/2006/relationships/hyperlink" Target="https://www.girlscouts-ssc.org/content/dam/girlscouts-ssc-redesign/redesign-forms-and-documents/forms-and-documents/finance/Philantrhopicuses.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comments" Target="../comments6.xml"/><Relationship Id="rId2" Type="http://schemas.openxmlformats.org/officeDocument/2006/relationships/hyperlink" Target="http://amazon.com/" TargetMode="External"/><Relationship Id="rId1" Type="http://schemas.openxmlformats.org/officeDocument/2006/relationships/hyperlink" Target="http://amazon.com/" TargetMode="Externa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DFE6A-1257-4BAF-9607-539414B1D805}">
  <dimension ref="A1:I50"/>
  <sheetViews>
    <sheetView topLeftCell="A13" workbookViewId="0"/>
  </sheetViews>
  <sheetFormatPr defaultRowHeight="14.4"/>
  <sheetData>
    <row r="1" spans="1:8">
      <c r="H1" t="s">
        <v>0</v>
      </c>
    </row>
    <row r="2" spans="1:8" ht="18.600000000000001" customHeight="1">
      <c r="A2" t="s">
        <v>1</v>
      </c>
    </row>
    <row r="3" spans="1:8" ht="18.600000000000001" customHeight="1">
      <c r="A3" t="s">
        <v>2</v>
      </c>
    </row>
    <row r="4" spans="1:8" ht="18.600000000000001" customHeight="1"/>
    <row r="5" spans="1:8" ht="18.600000000000001" customHeight="1">
      <c r="A5" t="s">
        <v>3</v>
      </c>
    </row>
    <row r="6" spans="1:8" ht="18.600000000000001" customHeight="1">
      <c r="B6" t="s">
        <v>4</v>
      </c>
      <c r="E6" t="s">
        <v>5</v>
      </c>
    </row>
    <row r="7" spans="1:8" ht="18.600000000000001" customHeight="1">
      <c r="B7" t="s">
        <v>6</v>
      </c>
      <c r="E7" t="s">
        <v>7</v>
      </c>
    </row>
    <row r="8" spans="1:8" ht="18.600000000000001" customHeight="1">
      <c r="B8" t="s">
        <v>8</v>
      </c>
      <c r="E8" t="s">
        <v>9</v>
      </c>
    </row>
    <row r="9" spans="1:8" ht="18.600000000000001" customHeight="1"/>
    <row r="10" spans="1:8" ht="18.600000000000001" customHeight="1">
      <c r="A10" s="47" t="s">
        <v>10</v>
      </c>
    </row>
    <row r="11" spans="1:8" ht="18.600000000000001" customHeight="1">
      <c r="A11" t="s">
        <v>11</v>
      </c>
    </row>
    <row r="12" spans="1:8" ht="18.600000000000001" customHeight="1">
      <c r="A12" s="43" t="s">
        <v>12</v>
      </c>
      <c r="B12" t="s">
        <v>13</v>
      </c>
    </row>
    <row r="13" spans="1:8" ht="18.600000000000001" customHeight="1">
      <c r="A13" s="43" t="s">
        <v>14</v>
      </c>
      <c r="B13" t="s">
        <v>15</v>
      </c>
    </row>
    <row r="14" spans="1:8" ht="18.600000000000001" customHeight="1">
      <c r="A14" s="43" t="s">
        <v>16</v>
      </c>
      <c r="B14" t="s">
        <v>17</v>
      </c>
    </row>
    <row r="15" spans="1:8" ht="18.600000000000001" customHeight="1">
      <c r="A15" s="43" t="s">
        <v>18</v>
      </c>
      <c r="B15" t="s">
        <v>19</v>
      </c>
    </row>
    <row r="16" spans="1:8" ht="18.600000000000001" customHeight="1">
      <c r="A16" s="43"/>
      <c r="B16" s="219" t="s">
        <v>20</v>
      </c>
      <c r="C16" t="s">
        <v>21</v>
      </c>
    </row>
    <row r="17" spans="1:2" ht="18.600000000000001" customHeight="1">
      <c r="A17" s="43"/>
    </row>
    <row r="18" spans="1:2" ht="18.600000000000001" customHeight="1">
      <c r="A18" s="47" t="s">
        <v>22</v>
      </c>
    </row>
    <row r="19" spans="1:2" ht="18.600000000000001" customHeight="1">
      <c r="A19" t="s">
        <v>23</v>
      </c>
    </row>
    <row r="20" spans="1:2" ht="18.600000000000001" customHeight="1">
      <c r="A20" t="s">
        <v>24</v>
      </c>
    </row>
    <row r="21" spans="1:2" ht="18.600000000000001" customHeight="1"/>
    <row r="22" spans="1:2" ht="18.600000000000001" customHeight="1">
      <c r="A22" t="s">
        <v>25</v>
      </c>
    </row>
    <row r="23" spans="1:2" ht="18.600000000000001" customHeight="1">
      <c r="A23" s="40" t="s">
        <v>26</v>
      </c>
      <c r="B23" t="s">
        <v>27</v>
      </c>
    </row>
    <row r="24" spans="1:2" ht="18.600000000000001" customHeight="1">
      <c r="A24" s="40" t="s">
        <v>26</v>
      </c>
      <c r="B24" t="s">
        <v>28</v>
      </c>
    </row>
    <row r="25" spans="1:2" ht="18.600000000000001" customHeight="1">
      <c r="A25" s="40" t="s">
        <v>26</v>
      </c>
      <c r="B25" t="s">
        <v>29</v>
      </c>
    </row>
    <row r="26" spans="1:2" ht="18.600000000000001" customHeight="1">
      <c r="A26" s="40" t="s">
        <v>26</v>
      </c>
      <c r="B26" t="s">
        <v>30</v>
      </c>
    </row>
    <row r="27" spans="1:2" ht="18.600000000000001" customHeight="1">
      <c r="A27" s="40" t="s">
        <v>26</v>
      </c>
      <c r="B27" t="s">
        <v>31</v>
      </c>
    </row>
    <row r="28" spans="1:2" ht="22.2" customHeight="1">
      <c r="A28" s="40" t="s">
        <v>26</v>
      </c>
      <c r="B28" t="s">
        <v>32</v>
      </c>
    </row>
    <row r="29" spans="1:2" ht="22.2" customHeight="1">
      <c r="A29" s="40"/>
    </row>
    <row r="30" spans="1:2" ht="22.2" customHeight="1">
      <c r="A30" t="s">
        <v>33</v>
      </c>
    </row>
    <row r="31" spans="1:2" ht="18.600000000000001" customHeight="1">
      <c r="A31" s="40"/>
    </row>
    <row r="32" spans="1:2" ht="18.600000000000001" customHeight="1">
      <c r="A32" s="47" t="s">
        <v>34</v>
      </c>
    </row>
    <row r="33" spans="1:9" ht="19.95" customHeight="1">
      <c r="A33" t="s">
        <v>35</v>
      </c>
    </row>
    <row r="34" spans="1:9">
      <c r="A34" t="s">
        <v>36</v>
      </c>
    </row>
    <row r="35" spans="1:9">
      <c r="A35" t="s">
        <v>37</v>
      </c>
    </row>
    <row r="37" spans="1:9" ht="28.95" customHeight="1">
      <c r="A37" s="285" t="s">
        <v>38</v>
      </c>
      <c r="B37" s="285"/>
      <c r="C37" s="285"/>
      <c r="D37" s="285"/>
      <c r="E37" s="285"/>
      <c r="F37" s="285"/>
      <c r="G37" s="285"/>
      <c r="H37" s="285"/>
      <c r="I37" s="285"/>
    </row>
    <row r="38" spans="1:9" ht="29.4" customHeight="1">
      <c r="A38" s="40" t="s">
        <v>26</v>
      </c>
      <c r="B38" s="285" t="s">
        <v>39</v>
      </c>
      <c r="C38" s="285"/>
      <c r="D38" s="285"/>
      <c r="E38" s="285"/>
      <c r="F38" s="285"/>
      <c r="G38" s="285"/>
      <c r="H38" s="285"/>
      <c r="I38" s="285"/>
    </row>
    <row r="39" spans="1:9" ht="62.4" customHeight="1">
      <c r="A39" s="40" t="s">
        <v>26</v>
      </c>
      <c r="B39" s="285" t="s">
        <v>40</v>
      </c>
      <c r="C39" s="285"/>
      <c r="D39" s="285"/>
      <c r="E39" s="285"/>
      <c r="F39" s="285"/>
      <c r="G39" s="285"/>
      <c r="H39" s="285"/>
      <c r="I39" s="285"/>
    </row>
    <row r="40" spans="1:9" ht="22.5" customHeight="1">
      <c r="A40" s="40"/>
      <c r="B40" s="212"/>
      <c r="C40" s="212"/>
      <c r="D40" s="212"/>
      <c r="E40" s="212"/>
      <c r="F40" s="212"/>
      <c r="G40" s="212"/>
      <c r="H40" s="212"/>
      <c r="I40" s="212"/>
    </row>
    <row r="41" spans="1:9" ht="33.75" customHeight="1">
      <c r="A41" s="286" t="s">
        <v>41</v>
      </c>
      <c r="B41" s="286"/>
      <c r="C41" s="286"/>
      <c r="D41" s="286"/>
      <c r="E41" s="286"/>
      <c r="F41" s="286"/>
      <c r="G41" s="286"/>
      <c r="H41" s="286"/>
      <c r="I41" s="286"/>
    </row>
    <row r="42" spans="1:9" ht="18" customHeight="1">
      <c r="A42" s="40"/>
      <c r="B42" s="212"/>
      <c r="C42" s="212"/>
      <c r="D42" s="212"/>
      <c r="E42" s="212"/>
      <c r="F42" s="212"/>
      <c r="G42" s="212"/>
      <c r="H42" s="212"/>
      <c r="I42" s="212"/>
    </row>
    <row r="43" spans="1:9" ht="18.600000000000001" customHeight="1">
      <c r="A43" s="47" t="s">
        <v>42</v>
      </c>
    </row>
    <row r="44" spans="1:9" ht="19.95" customHeight="1">
      <c r="A44" t="s">
        <v>43</v>
      </c>
    </row>
    <row r="45" spans="1:9">
      <c r="A45" s="220" t="s">
        <v>44</v>
      </c>
    </row>
    <row r="47" spans="1:9">
      <c r="A47" t="s">
        <v>45</v>
      </c>
    </row>
    <row r="50" spans="1:9" ht="56.4" customHeight="1">
      <c r="A50" s="285" t="s">
        <v>46</v>
      </c>
      <c r="B50" s="285"/>
      <c r="C50" s="285"/>
      <c r="D50" s="285"/>
      <c r="E50" s="285"/>
      <c r="F50" s="285"/>
      <c r="G50" s="285"/>
      <c r="H50" s="285"/>
      <c r="I50" s="285"/>
    </row>
  </sheetData>
  <sheetProtection algorithmName="SHA-512" hashValue="/nbiOifAp/QMLcqZSY1XjTOXzdw5EcEgAQWIK0jWlF77iSnzuhYxdZw7AJmDeeB6+JAte1/K6/B6I9wXUNaVwQ==" saltValue="IcmndfhX47eTb/PE443bKg==" spinCount="100000" sheet="1" selectLockedCells="1"/>
  <mergeCells count="5">
    <mergeCell ref="A37:I37"/>
    <mergeCell ref="B38:I38"/>
    <mergeCell ref="B39:I39"/>
    <mergeCell ref="A50:I50"/>
    <mergeCell ref="A41:I4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A876-4940-4074-95E8-5705A5B63E5B}">
  <dimension ref="A1:AA273"/>
  <sheetViews>
    <sheetView workbookViewId="0">
      <selection activeCell="A5" sqref="A5"/>
    </sheetView>
  </sheetViews>
  <sheetFormatPr defaultColWidth="9.109375" defaultRowHeight="12"/>
  <cols>
    <col min="1" max="1" width="9.109375" style="21"/>
    <col min="2" max="2" width="10.109375" style="27" bestFit="1" customWidth="1"/>
    <col min="3" max="4" width="23.44140625" style="21" customWidth="1"/>
    <col min="5" max="6" width="10.88671875" style="28" customWidth="1"/>
    <col min="7" max="7" width="13.5546875" style="4" customWidth="1"/>
    <col min="8" max="8" width="9.109375" style="21"/>
    <col min="9" max="9" width="9.109375" style="38"/>
    <col min="10" max="11" width="9.109375" style="39"/>
    <col min="12" max="21" width="9.109375" style="38"/>
    <col min="22" max="22" width="9.109375" style="4"/>
    <col min="23" max="16384" width="9.109375" style="21"/>
  </cols>
  <sheetData>
    <row r="1" spans="1:27" s="4" customFormat="1" ht="15.75" customHeight="1" thickBot="1">
      <c r="A1" s="16"/>
      <c r="B1" s="2"/>
      <c r="C1" s="1"/>
      <c r="D1" s="1"/>
      <c r="E1" s="29"/>
      <c r="F1" s="30"/>
      <c r="G1" s="3" t="s">
        <v>180</v>
      </c>
      <c r="H1" s="3"/>
      <c r="I1" s="338" t="s">
        <v>49</v>
      </c>
      <c r="J1" s="339"/>
      <c r="K1" s="339"/>
      <c r="L1" s="339"/>
      <c r="M1" s="340">
        <f>SUM(I2:N2)</f>
        <v>468.46</v>
      </c>
      <c r="N1" s="340"/>
      <c r="O1" s="344" t="s">
        <v>50</v>
      </c>
      <c r="P1" s="344"/>
      <c r="Q1" s="344"/>
      <c r="R1" s="344"/>
      <c r="S1" s="344"/>
      <c r="T1" s="344"/>
      <c r="U1" s="342" t="e">
        <f>SUM(O2:V2)</f>
        <v>#VALUE!</v>
      </c>
      <c r="V1" s="343"/>
      <c r="W1" s="1"/>
      <c r="X1" s="1"/>
      <c r="Y1" s="1"/>
      <c r="Z1" s="1"/>
      <c r="AA1" s="1"/>
    </row>
    <row r="2" spans="1:27" s="4" customFormat="1" ht="12.6" thickBot="1">
      <c r="A2" s="1"/>
      <c r="B2" s="2"/>
      <c r="C2" s="1"/>
      <c r="D2" s="1" t="s">
        <v>51</v>
      </c>
      <c r="E2" s="5">
        <f>SUM(E4:E918)</f>
        <v>468.46</v>
      </c>
      <c r="F2" s="5">
        <f>SUM(F4:F918)</f>
        <v>569.27</v>
      </c>
      <c r="G2" s="6">
        <f>G4+E2-F2</f>
        <v>19316.119999999995</v>
      </c>
      <c r="H2" s="81"/>
      <c r="I2" s="7">
        <f t="shared" ref="I2:T2" si="0">SUM(I4:I918)</f>
        <v>0</v>
      </c>
      <c r="J2" s="8">
        <f t="shared" si="0"/>
        <v>0</v>
      </c>
      <c r="K2" s="8">
        <f t="shared" si="0"/>
        <v>0</v>
      </c>
      <c r="L2" s="7">
        <f t="shared" si="0"/>
        <v>0</v>
      </c>
      <c r="M2" s="7">
        <f t="shared" si="0"/>
        <v>0</v>
      </c>
      <c r="N2" s="7">
        <f t="shared" si="0"/>
        <v>468.46</v>
      </c>
      <c r="O2" s="9">
        <f t="shared" si="0"/>
        <v>0</v>
      </c>
      <c r="P2" s="9">
        <f t="shared" si="0"/>
        <v>-140.68</v>
      </c>
      <c r="Q2" s="9">
        <f t="shared" si="0"/>
        <v>-68.209999999999994</v>
      </c>
      <c r="R2" s="9">
        <f t="shared" si="0"/>
        <v>0</v>
      </c>
      <c r="S2" s="9">
        <f t="shared" si="0"/>
        <v>0</v>
      </c>
      <c r="T2" s="9">
        <f t="shared" si="0"/>
        <v>0</v>
      </c>
      <c r="U2" s="9" t="e">
        <f t="shared" ref="U2:V2" si="1">SUM(U4:U1006)</f>
        <v>#VALUE!</v>
      </c>
      <c r="V2" s="9" t="e">
        <f t="shared" si="1"/>
        <v>#VALUE!</v>
      </c>
      <c r="W2" s="1"/>
      <c r="X2" s="1"/>
      <c r="Y2" s="1"/>
      <c r="Z2" s="1"/>
      <c r="AA2" s="1"/>
    </row>
    <row r="3" spans="1:27" s="15" customFormat="1" ht="52.2"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6" t="s">
        <v>198</v>
      </c>
      <c r="W3" s="14"/>
      <c r="X3" s="14"/>
      <c r="Y3" s="14"/>
      <c r="Z3" s="14"/>
      <c r="AA3" s="14"/>
    </row>
    <row r="4" spans="1:27" s="23" customFormat="1" ht="12.6" thickBot="1">
      <c r="A4" s="101"/>
      <c r="B4" s="102">
        <v>44743</v>
      </c>
      <c r="C4" s="103" t="s">
        <v>320</v>
      </c>
      <c r="D4" s="101"/>
      <c r="E4" s="104"/>
      <c r="F4" s="105"/>
      <c r="G4" s="44">
        <f>June!G2</f>
        <v>19416.929999999997</v>
      </c>
      <c r="H4" s="106"/>
      <c r="I4" s="17">
        <f>IF(Table39[[#This Row],[CODE]]=1, Table39[ [#This Row],[Account Deposit Amount] ]-Table39[ [#This Row],[Account Withdrawl Amount] ], )</f>
        <v>0</v>
      </c>
      <c r="J4" s="18">
        <f>IF(Table39[[#This Row],[CODE]]=2, Table39[ [#This Row],[Account Deposit Amount] ]-Table39[ [#This Row],[Account Withdrawl Amount] ], )</f>
        <v>0</v>
      </c>
      <c r="K4" s="18">
        <f>IF(Table39[[#This Row],[CODE]]=3, Table39[ [#This Row],[Account Deposit Amount] ]-Table39[ [#This Row],[Account Withdrawl Amount] ], )</f>
        <v>0</v>
      </c>
      <c r="L4" s="18">
        <f>IF(Table39[[#This Row],[CODE]]=4, Table39[ [#This Row],[Account Deposit Amount] ]-Table39[ [#This Row],[Account Withdrawl Amount] ], )</f>
        <v>0</v>
      </c>
      <c r="M4" s="18">
        <f>IF(Table39[[#This Row],[CODE]]=5, Table39[ [#This Row],[Account Deposit Amount] ]-Table39[ [#This Row],[Account Withdrawl Amount] ], )</f>
        <v>0</v>
      </c>
      <c r="N4" s="18">
        <f>IF(Table39[[#This Row],[CODE]]=6, Table39[ [#This Row],[Account Deposit Amount] ]-Table39[ [#This Row],[Account Withdrawl Amount] ], )</f>
        <v>0</v>
      </c>
      <c r="O4" s="18">
        <f>IF(Table39[[#This Row],[CODE]]=11, Table39[ [#This Row],[Account Deposit Amount] ]-Table39[ [#This Row],[Account Withdrawl Amount] ], )</f>
        <v>0</v>
      </c>
      <c r="P4" s="18">
        <f>IF(Table39[[#This Row],[CODE]]=12, Table39[ [#This Row],[Account Deposit Amount] ]-Table39[ [#This Row],[Account Withdrawl Amount] ], )</f>
        <v>0</v>
      </c>
      <c r="Q4" s="18">
        <f>IF(Table39[[#This Row],[CODE]]=13, Table39[ [#This Row],[Account Deposit Amount] ]-Table39[ [#This Row],[Account Withdrawl Amount] ], )</f>
        <v>0</v>
      </c>
      <c r="R4" s="18">
        <f>IF(Table39[[#This Row],[CODE]]=14, Table39[ [#This Row],[Account Deposit Amount] ]-Table39[ [#This Row],[Account Withdrawl Amount] ], )</f>
        <v>0</v>
      </c>
      <c r="S4" s="18">
        <f>IF(Table39[[#This Row],[CODE]]=15, Table39[ [#This Row],[Account Deposit Amount] ]-Table39[ [#This Row],[Account Withdrawl Amount] ], )</f>
        <v>0</v>
      </c>
      <c r="T4" s="18">
        <f>IF(Table39[[#This Row],[CODE]]=16, Table39[ [#This Row],[Account Deposit Amount] ]-Table39[ [#This Row],[Account Withdrawl Amount] ], )</f>
        <v>0</v>
      </c>
      <c r="U4" s="17">
        <f>IF(Table39[[#This Row],[CODE]]=17, Table39[ [#This Row],[Account Deposit Amount] ]-Table39[ [#This Row],[Account Withdrawl Amount] ], )</f>
        <v>0</v>
      </c>
      <c r="V4" s="19">
        <f>IF(Table39[[#This Row],[CODE]]=18, Table39[ [#This Row],[Account Deposit Amount] ]-Table39[ [#This Row],[Account Withdrawl Amount] ], )</f>
        <v>0</v>
      </c>
      <c r="W4" s="22"/>
      <c r="X4" s="22"/>
      <c r="Y4" s="22"/>
      <c r="Z4" s="22"/>
      <c r="AA4" s="22"/>
    </row>
    <row r="5" spans="1:27" ht="12.6" thickBot="1">
      <c r="A5" s="101" t="s">
        <v>321</v>
      </c>
      <c r="B5" s="102">
        <v>44747</v>
      </c>
      <c r="C5" s="102" t="s">
        <v>322</v>
      </c>
      <c r="D5" s="102" t="s">
        <v>323</v>
      </c>
      <c r="E5" s="170"/>
      <c r="F5" s="170">
        <v>41.51</v>
      </c>
      <c r="G5" s="82">
        <f>G4+E5-F5</f>
        <v>19375.419999999998</v>
      </c>
      <c r="H5" s="101">
        <v>13</v>
      </c>
      <c r="I5" s="125">
        <f>IF(Table39[[#This Row],[CODE]]=1, Table39[ [#This Row],[Account Deposit Amount] ]-Table39[ [#This Row],[Account Withdrawl Amount] ], )</f>
        <v>0</v>
      </c>
      <c r="J5" s="18">
        <f>IF(Table39[[#This Row],[CODE]]=2, Table39[ [#This Row],[Account Deposit Amount] ]-Table39[ [#This Row],[Account Withdrawl Amount] ], )</f>
        <v>0</v>
      </c>
      <c r="K5" s="18">
        <f>IF(Table39[[#This Row],[CODE]]=3, Table39[ [#This Row],[Account Deposit Amount] ]-Table39[ [#This Row],[Account Withdrawl Amount] ], )</f>
        <v>0</v>
      </c>
      <c r="L5" s="18">
        <f>IF(Table39[[#This Row],[CODE]]=4, Table39[ [#This Row],[Account Deposit Amount] ]-Table39[ [#This Row],[Account Withdrawl Amount] ], )</f>
        <v>0</v>
      </c>
      <c r="M5" s="18">
        <f>IF(Table39[[#This Row],[CODE]]=5, Table39[ [#This Row],[Account Deposit Amount] ]-Table39[ [#This Row],[Account Withdrawl Amount] ], )</f>
        <v>0</v>
      </c>
      <c r="N5" s="18">
        <f>IF(Table39[[#This Row],[CODE]]=6, Table39[ [#This Row],[Account Deposit Amount] ]-Table39[ [#This Row],[Account Withdrawl Amount] ], )</f>
        <v>0</v>
      </c>
      <c r="O5" s="18">
        <f>IF(Table39[[#This Row],[CODE]]=11, Table39[ [#This Row],[Account Deposit Amount] ]-Table39[ [#This Row],[Account Withdrawl Amount] ], )</f>
        <v>0</v>
      </c>
      <c r="P5" s="18">
        <f>IF(Table39[[#This Row],[CODE]]=12, Table39[ [#This Row],[Account Deposit Amount] ]-Table39[ [#This Row],[Account Withdrawl Amount] ], )</f>
        <v>0</v>
      </c>
      <c r="Q5" s="18">
        <f>IF(Table39[[#This Row],[CODE]]=13, Table39[ [#This Row],[Account Deposit Amount] ]-Table39[ [#This Row],[Account Withdrawl Amount] ], )</f>
        <v>-41.51</v>
      </c>
      <c r="R5" s="18">
        <f>IF(Table39[[#This Row],[CODE]]=14, Table39[ [#This Row],[Account Deposit Amount] ]-Table39[ [#This Row],[Account Withdrawl Amount] ], )</f>
        <v>0</v>
      </c>
      <c r="S5" s="18">
        <f>IF(Table39[[#This Row],[CODE]]=15, Table39[ [#This Row],[Account Deposit Amount] ]-Table39[ [#This Row],[Account Withdrawl Amount] ], )</f>
        <v>0</v>
      </c>
      <c r="T5" s="18">
        <f>IF(Table39[[#This Row],[CODE]]=16, Table39[ [#This Row],[Account Deposit Amount] ]-Table39[ [#This Row],[Account Withdrawl Amount] ], )</f>
        <v>0</v>
      </c>
      <c r="U5" s="17">
        <f>IF(Table39[[#This Row],[CODE]]=17, Table39[ [#This Row],[Account Deposit Amount] ]-Table39[ [#This Row],[Account Withdrawl Amount] ], )</f>
        <v>0</v>
      </c>
      <c r="V5" s="19">
        <f>IF(Table39[[#This Row],[CODE]]=18, Table39[ [#This Row],[Account Deposit Amount] ]-Table39[ [#This Row],[Account Withdrawl Amount] ], )</f>
        <v>0</v>
      </c>
      <c r="W5" s="20"/>
      <c r="X5" s="20"/>
      <c r="Y5" s="20"/>
      <c r="Z5" s="20"/>
      <c r="AA5" s="20"/>
    </row>
    <row r="6" spans="1:27" ht="12.6" thickBot="1">
      <c r="A6" s="101" t="s">
        <v>238</v>
      </c>
      <c r="B6" s="102">
        <v>44750</v>
      </c>
      <c r="C6" s="102" t="s">
        <v>324</v>
      </c>
      <c r="D6" s="102" t="s">
        <v>325</v>
      </c>
      <c r="E6" s="170">
        <v>468.46</v>
      </c>
      <c r="F6" s="170"/>
      <c r="G6" s="82">
        <f t="shared" ref="G6:G18" si="2">G5+E6-F6</f>
        <v>19843.879999999997</v>
      </c>
      <c r="H6" s="118">
        <v>6</v>
      </c>
      <c r="I6" s="125">
        <f>IF(Table39[[#This Row],[CODE]]=1, Table39[ [#This Row],[Account Deposit Amount] ]-Table39[ [#This Row],[Account Withdrawl Amount] ], )</f>
        <v>0</v>
      </c>
      <c r="J6" s="18">
        <f>IF(Table39[[#This Row],[CODE]]=2, Table39[ [#This Row],[Account Deposit Amount] ]-Table39[ [#This Row],[Account Withdrawl Amount] ], )</f>
        <v>0</v>
      </c>
      <c r="K6" s="18">
        <f>IF(Table39[[#This Row],[CODE]]=3, Table39[ [#This Row],[Account Deposit Amount] ]-Table39[ [#This Row],[Account Withdrawl Amount] ], )</f>
        <v>0</v>
      </c>
      <c r="L6" s="18">
        <f>IF(Table39[[#This Row],[CODE]]=4, Table39[ [#This Row],[Account Deposit Amount] ]-Table39[ [#This Row],[Account Withdrawl Amount] ], )</f>
        <v>0</v>
      </c>
      <c r="M6" s="18">
        <f>IF(Table39[[#This Row],[CODE]]=5, Table39[ [#This Row],[Account Deposit Amount] ]-Table39[ [#This Row],[Account Withdrawl Amount] ], )</f>
        <v>0</v>
      </c>
      <c r="N6" s="18">
        <f>IF(Table39[[#This Row],[CODE]]=6, Table39[ [#This Row],[Account Deposit Amount] ]-Table39[ [#This Row],[Account Withdrawl Amount] ], )</f>
        <v>468.46</v>
      </c>
      <c r="O6" s="18">
        <f>IF(Table39[[#This Row],[CODE]]=11, Table39[ [#This Row],[Account Deposit Amount] ]-Table39[ [#This Row],[Account Withdrawl Amount] ], )</f>
        <v>0</v>
      </c>
      <c r="P6" s="18">
        <f>IF(Table39[[#This Row],[CODE]]=12, Table39[ [#This Row],[Account Deposit Amount] ]-Table39[ [#This Row],[Account Withdrawl Amount] ], )</f>
        <v>0</v>
      </c>
      <c r="Q6" s="18">
        <f>IF(Table39[[#This Row],[CODE]]=13, Table39[ [#This Row],[Account Deposit Amount] ]-Table39[ [#This Row],[Account Withdrawl Amount] ], )</f>
        <v>0</v>
      </c>
      <c r="R6" s="18">
        <f>IF(Table39[[#This Row],[CODE]]=14, Table39[ [#This Row],[Account Deposit Amount] ]-Table39[ [#This Row],[Account Withdrawl Amount] ], )</f>
        <v>0</v>
      </c>
      <c r="S6" s="18">
        <f>IF(Table39[[#This Row],[CODE]]=15, Table39[ [#This Row],[Account Deposit Amount] ]-Table39[ [#This Row],[Account Withdrawl Amount] ], )</f>
        <v>0</v>
      </c>
      <c r="T6" s="18">
        <f>IF(Table39[[#This Row],[CODE]]=16, Table39[ [#This Row],[Account Deposit Amount] ]-Table39[ [#This Row],[Account Withdrawl Amount] ], )</f>
        <v>0</v>
      </c>
      <c r="U6" s="17">
        <f>IF(Table39[[#This Row],[CODE]]=17, Table39[ [#This Row],[Account Deposit Amount] ]-Table39[ [#This Row],[Account Withdrawl Amount] ], )</f>
        <v>0</v>
      </c>
      <c r="V6" s="19">
        <f>IF(Table39[[#This Row],[CODE]]=18, Table39[ [#This Row],[Account Deposit Amount] ]-Table39[ [#This Row],[Account Withdrawl Amount] ], )</f>
        <v>0</v>
      </c>
    </row>
    <row r="7" spans="1:27" ht="12.6" thickBot="1">
      <c r="A7" s="101" t="s">
        <v>326</v>
      </c>
      <c r="B7" s="102">
        <v>44753</v>
      </c>
      <c r="C7" s="102" t="s">
        <v>327</v>
      </c>
      <c r="D7" s="102" t="s">
        <v>328</v>
      </c>
      <c r="E7" s="170"/>
      <c r="F7" s="170">
        <v>360.38</v>
      </c>
      <c r="G7" s="82">
        <f t="shared" si="2"/>
        <v>19483.499999999996</v>
      </c>
      <c r="H7" s="118">
        <v>13</v>
      </c>
      <c r="I7" s="125"/>
      <c r="J7" s="18"/>
      <c r="K7" s="18"/>
      <c r="L7" s="18"/>
      <c r="M7" s="18"/>
      <c r="N7" s="18"/>
      <c r="O7" s="18"/>
      <c r="P7" s="18"/>
      <c r="Q7" s="18"/>
      <c r="R7" s="18"/>
      <c r="S7" s="18"/>
      <c r="T7" s="18"/>
      <c r="U7" s="17">
        <f>IF(Table39[[#This Row],[CODE]]=17, Table39[ [#This Row],[Account Deposit Amount] ]-Table39[ [#This Row],[Account Withdrawl Amount] ], )</f>
        <v>0</v>
      </c>
      <c r="V7" s="19">
        <f>IF(Table39[[#This Row],[CODE]]=18, Table39[ [#This Row],[Account Deposit Amount] ]-Table39[ [#This Row],[Account Withdrawl Amount] ], )</f>
        <v>0</v>
      </c>
    </row>
    <row r="8" spans="1:27" ht="12.6" thickBot="1">
      <c r="A8" s="101" t="s">
        <v>329</v>
      </c>
      <c r="B8" s="102">
        <v>44753</v>
      </c>
      <c r="C8" s="102" t="s">
        <v>330</v>
      </c>
      <c r="D8" s="102" t="s">
        <v>331</v>
      </c>
      <c r="E8" s="170"/>
      <c r="F8" s="170">
        <v>140.68</v>
      </c>
      <c r="G8" s="82">
        <f t="shared" si="2"/>
        <v>19342.819999999996</v>
      </c>
      <c r="H8" s="118">
        <v>12</v>
      </c>
      <c r="I8" s="125">
        <f>IF(Table39[[#This Row],[CODE]]=1, Table39[ [#This Row],[Account Deposit Amount] ]-Table39[ [#This Row],[Account Withdrawl Amount] ], )</f>
        <v>0</v>
      </c>
      <c r="J8" s="18">
        <f>IF(Table39[[#This Row],[CODE]]=2, Table39[ [#This Row],[Account Deposit Amount] ]-Table39[ [#This Row],[Account Withdrawl Amount] ], )</f>
        <v>0</v>
      </c>
      <c r="K8" s="18">
        <f>IF(Table39[[#This Row],[CODE]]=3, Table39[ [#This Row],[Account Deposit Amount] ]-Table39[ [#This Row],[Account Withdrawl Amount] ], )</f>
        <v>0</v>
      </c>
      <c r="L8" s="18">
        <f>IF(Table39[[#This Row],[CODE]]=4, Table39[ [#This Row],[Account Deposit Amount] ]-Table39[ [#This Row],[Account Withdrawl Amount] ], )</f>
        <v>0</v>
      </c>
      <c r="M8" s="18">
        <f>IF(Table39[[#This Row],[CODE]]=5, Table39[ [#This Row],[Account Deposit Amount] ]-Table39[ [#This Row],[Account Withdrawl Amount] ], )</f>
        <v>0</v>
      </c>
      <c r="N8" s="18">
        <f>IF(Table39[[#This Row],[CODE]]=6, Table39[ [#This Row],[Account Deposit Amount] ]-Table39[ [#This Row],[Account Withdrawl Amount] ], )</f>
        <v>0</v>
      </c>
      <c r="O8" s="18">
        <f>IF(Table39[[#This Row],[CODE]]=11, Table39[ [#This Row],[Account Deposit Amount] ]-Table39[ [#This Row],[Account Withdrawl Amount] ], )</f>
        <v>0</v>
      </c>
      <c r="P8" s="18">
        <f>IF(Table39[[#This Row],[CODE]]=12, Table39[ [#This Row],[Account Deposit Amount] ]-Table39[ [#This Row],[Account Withdrawl Amount] ], )</f>
        <v>-140.68</v>
      </c>
      <c r="Q8" s="18">
        <f>IF(Table39[[#This Row],[CODE]]=13, Table39[ [#This Row],[Account Deposit Amount] ]-Table39[ [#This Row],[Account Withdrawl Amount] ], )</f>
        <v>0</v>
      </c>
      <c r="R8" s="18">
        <f>IF(Table39[[#This Row],[CODE]]=14, Table39[ [#This Row],[Account Deposit Amount] ]-Table39[ [#This Row],[Account Withdrawl Amount] ], )</f>
        <v>0</v>
      </c>
      <c r="S8" s="18">
        <f>IF(Table39[[#This Row],[CODE]]=15, Table39[ [#This Row],[Account Deposit Amount] ]-Table39[ [#This Row],[Account Withdrawl Amount] ], )</f>
        <v>0</v>
      </c>
      <c r="T8" s="18">
        <f>IF(Table39[[#This Row],[CODE]]=16, Table39[ [#This Row],[Account Deposit Amount] ]-Table39[ [#This Row],[Account Withdrawl Amount] ], )</f>
        <v>0</v>
      </c>
      <c r="U8" s="17">
        <f>IF(Table39[[#This Row],[CODE]]=17, Table39[ [#This Row],[Account Deposit Amount] ]-Table39[ [#This Row],[Account Withdrawl Amount] ], )</f>
        <v>0</v>
      </c>
      <c r="V8" s="19">
        <f>IF(Table39[[#This Row],[CODE]]=18, Table39[ [#This Row],[Account Deposit Amount] ]-Table39[ [#This Row],[Account Withdrawl Amount] ], )</f>
        <v>0</v>
      </c>
    </row>
    <row r="9" spans="1:27" ht="12.6" thickBot="1">
      <c r="A9" s="101" t="s">
        <v>332</v>
      </c>
      <c r="B9" s="102">
        <v>44753</v>
      </c>
      <c r="C9" s="102" t="s">
        <v>327</v>
      </c>
      <c r="D9" s="102" t="s">
        <v>333</v>
      </c>
      <c r="E9" s="170"/>
      <c r="F9" s="170">
        <v>14</v>
      </c>
      <c r="G9" s="82">
        <f t="shared" si="2"/>
        <v>19328.819999999996</v>
      </c>
      <c r="H9" s="121">
        <v>13</v>
      </c>
      <c r="I9" s="125">
        <f>IF(Table39[[#This Row],[CODE]]=1, Table39[ [#This Row],[Account Deposit Amount] ]-Table39[ [#This Row],[Account Withdrawl Amount] ], )</f>
        <v>0</v>
      </c>
      <c r="J9" s="18">
        <f>IF(Table39[[#This Row],[CODE]]=2, Table39[ [#This Row],[Account Deposit Amount] ]-Table39[ [#This Row],[Account Withdrawl Amount] ], )</f>
        <v>0</v>
      </c>
      <c r="K9" s="18">
        <f>IF(Table39[[#This Row],[CODE]]=3, Table39[ [#This Row],[Account Deposit Amount] ]-Table39[ [#This Row],[Account Withdrawl Amount] ], )</f>
        <v>0</v>
      </c>
      <c r="L9" s="18">
        <f>IF(Table39[[#This Row],[CODE]]=4, Table39[ [#This Row],[Account Deposit Amount] ]-Table39[ [#This Row],[Account Withdrawl Amount] ], )</f>
        <v>0</v>
      </c>
      <c r="M9" s="18">
        <f>IF(Table39[[#This Row],[CODE]]=5, Table39[ [#This Row],[Account Deposit Amount] ]-Table39[ [#This Row],[Account Withdrawl Amount] ], )</f>
        <v>0</v>
      </c>
      <c r="N9" s="18">
        <f>IF(Table39[[#This Row],[CODE]]=6, Table39[ [#This Row],[Account Deposit Amount] ]-Table39[ [#This Row],[Account Withdrawl Amount] ], )</f>
        <v>0</v>
      </c>
      <c r="O9" s="18">
        <f>IF(Table39[[#This Row],[CODE]]=11, Table39[ [#This Row],[Account Deposit Amount] ]-Table39[ [#This Row],[Account Withdrawl Amount] ], )</f>
        <v>0</v>
      </c>
      <c r="P9" s="18">
        <f>IF(Table39[[#This Row],[CODE]]=12, Table39[ [#This Row],[Account Deposit Amount] ]-Table39[ [#This Row],[Account Withdrawl Amount] ], )</f>
        <v>0</v>
      </c>
      <c r="Q9" s="18">
        <f>IF(Table39[[#This Row],[CODE]]=13, Table39[ [#This Row],[Account Deposit Amount] ]-Table39[ [#This Row],[Account Withdrawl Amount] ], )</f>
        <v>-14</v>
      </c>
      <c r="R9" s="18">
        <f>IF(Table39[[#This Row],[CODE]]=14, Table39[ [#This Row],[Account Deposit Amount] ]-Table39[ [#This Row],[Account Withdrawl Amount] ], )</f>
        <v>0</v>
      </c>
      <c r="S9" s="18">
        <f>IF(Table39[[#This Row],[CODE]]=15, Table39[ [#This Row],[Account Deposit Amount] ]-Table39[ [#This Row],[Account Withdrawl Amount] ], )</f>
        <v>0</v>
      </c>
      <c r="T9" s="18">
        <f>IF(Table39[[#This Row],[CODE]]=16, Table39[ [#This Row],[Account Deposit Amount] ]-Table39[ [#This Row],[Account Withdrawl Amount] ], )</f>
        <v>0</v>
      </c>
      <c r="U9" s="17">
        <f>IF(Table39[[#This Row],[CODE]]=17, Table39[ [#This Row],[Account Deposit Amount] ]-Table39[ [#This Row],[Account Withdrawl Amount] ], )</f>
        <v>0</v>
      </c>
      <c r="V9" s="19">
        <f>IF(Table39[[#This Row],[CODE]]=18, Table39[ [#This Row],[Account Deposit Amount] ]-Table39[ [#This Row],[Account Withdrawl Amount] ], )</f>
        <v>0</v>
      </c>
    </row>
    <row r="10" spans="1:27" ht="12.6" thickBot="1">
      <c r="A10" s="101" t="s">
        <v>334</v>
      </c>
      <c r="B10" s="102">
        <v>44769</v>
      </c>
      <c r="C10" s="102" t="s">
        <v>335</v>
      </c>
      <c r="D10" s="102" t="s">
        <v>336</v>
      </c>
      <c r="E10" s="170"/>
      <c r="F10" s="170">
        <v>5</v>
      </c>
      <c r="G10" s="82">
        <f t="shared" si="2"/>
        <v>19323.819999999996</v>
      </c>
      <c r="H10" s="118">
        <v>13</v>
      </c>
      <c r="I10" s="125">
        <f>IF(Table39[[#This Row],[CODE]]=1, Table39[ [#This Row],[Account Deposit Amount] ]-Table39[ [#This Row],[Account Withdrawl Amount] ], )</f>
        <v>0</v>
      </c>
      <c r="J10" s="18">
        <f>IF(Table39[[#This Row],[CODE]]=2, Table39[ [#This Row],[Account Deposit Amount] ]-Table39[ [#This Row],[Account Withdrawl Amount] ], )</f>
        <v>0</v>
      </c>
      <c r="K10" s="18">
        <f>IF(Table39[[#This Row],[CODE]]=3, Table39[ [#This Row],[Account Deposit Amount] ]-Table39[ [#This Row],[Account Withdrawl Amount] ], )</f>
        <v>0</v>
      </c>
      <c r="L10" s="18">
        <f>IF(Table39[[#This Row],[CODE]]=4, Table39[ [#This Row],[Account Deposit Amount] ]-Table39[ [#This Row],[Account Withdrawl Amount] ], )</f>
        <v>0</v>
      </c>
      <c r="M10" s="18">
        <f>IF(Table39[[#This Row],[CODE]]=5, Table39[ [#This Row],[Account Deposit Amount] ]-Table39[ [#This Row],[Account Withdrawl Amount] ], )</f>
        <v>0</v>
      </c>
      <c r="N10" s="18">
        <f>IF(Table39[[#This Row],[CODE]]=6, Table39[ [#This Row],[Account Deposit Amount] ]-Table39[ [#This Row],[Account Withdrawl Amount] ], )</f>
        <v>0</v>
      </c>
      <c r="O10" s="18">
        <f>IF(Table39[[#This Row],[CODE]]=11, Table39[ [#This Row],[Account Deposit Amount] ]-Table39[ [#This Row],[Account Withdrawl Amount] ], )</f>
        <v>0</v>
      </c>
      <c r="P10" s="18">
        <f>IF(Table39[[#This Row],[CODE]]=12, Table39[ [#This Row],[Account Deposit Amount] ]-Table39[ [#This Row],[Account Withdrawl Amount] ], )</f>
        <v>0</v>
      </c>
      <c r="Q10" s="18">
        <f>IF(Table39[[#This Row],[CODE]]=13, Table39[ [#This Row],[Account Deposit Amount] ]-Table39[ [#This Row],[Account Withdrawl Amount] ], )</f>
        <v>-5</v>
      </c>
      <c r="R10" s="18">
        <f>IF(Table39[[#This Row],[CODE]]=14, Table39[ [#This Row],[Account Deposit Amount] ]-Table39[ [#This Row],[Account Withdrawl Amount] ], )</f>
        <v>0</v>
      </c>
      <c r="S10" s="18">
        <f>IF(Table39[[#This Row],[CODE]]=15, Table39[ [#This Row],[Account Deposit Amount] ]-Table39[ [#This Row],[Account Withdrawl Amount] ], )</f>
        <v>0</v>
      </c>
      <c r="T10" s="18">
        <f>IF(Table39[[#This Row],[CODE]]=16, Table39[ [#This Row],[Account Deposit Amount] ]-Table39[ [#This Row],[Account Withdrawl Amount] ], )</f>
        <v>0</v>
      </c>
      <c r="U10" s="17">
        <f>IF(Table39[[#This Row],[CODE]]=17, Table39[ [#This Row],[Account Deposit Amount] ]-Table39[ [#This Row],[Account Withdrawl Amount] ], )</f>
        <v>0</v>
      </c>
      <c r="V10" s="19">
        <f>IF(Table39[[#This Row],[CODE]]=18, Table39[ [#This Row],[Account Deposit Amount] ]-Table39[ [#This Row],[Account Withdrawl Amount] ], )</f>
        <v>0</v>
      </c>
    </row>
    <row r="11" spans="1:27" ht="12.6" thickBot="1">
      <c r="A11" s="101" t="s">
        <v>337</v>
      </c>
      <c r="B11" s="102">
        <v>44769</v>
      </c>
      <c r="C11" s="102" t="s">
        <v>335</v>
      </c>
      <c r="D11" s="102" t="s">
        <v>338</v>
      </c>
      <c r="E11" s="170"/>
      <c r="F11" s="170">
        <v>7.7</v>
      </c>
      <c r="G11" s="82">
        <f t="shared" si="2"/>
        <v>19316.119999999995</v>
      </c>
      <c r="H11" s="118">
        <v>13</v>
      </c>
      <c r="I11" s="125">
        <f>IF(Table39[[#This Row],[CODE]]=1, Table39[ [#This Row],[Account Deposit Amount] ]-Table39[ [#This Row],[Account Withdrawl Amount] ], )</f>
        <v>0</v>
      </c>
      <c r="J11" s="18">
        <f>IF(Table39[[#This Row],[CODE]]=2, Table39[ [#This Row],[Account Deposit Amount] ]-Table39[ [#This Row],[Account Withdrawl Amount] ], )</f>
        <v>0</v>
      </c>
      <c r="K11" s="18">
        <f>IF(Table39[[#This Row],[CODE]]=3, Table39[ [#This Row],[Account Deposit Amount] ]-Table39[ [#This Row],[Account Withdrawl Amount] ], )</f>
        <v>0</v>
      </c>
      <c r="L11" s="18">
        <f>IF(Table39[[#This Row],[CODE]]=4, Table39[ [#This Row],[Account Deposit Amount] ]-Table39[ [#This Row],[Account Withdrawl Amount] ], )</f>
        <v>0</v>
      </c>
      <c r="M11" s="18">
        <f>IF(Table39[[#This Row],[CODE]]=5, Table39[ [#This Row],[Account Deposit Amount] ]-Table39[ [#This Row],[Account Withdrawl Amount] ], )</f>
        <v>0</v>
      </c>
      <c r="N11" s="18">
        <f>IF(Table39[[#This Row],[CODE]]=6, Table39[ [#This Row],[Account Deposit Amount] ]-Table39[ [#This Row],[Account Withdrawl Amount] ], )</f>
        <v>0</v>
      </c>
      <c r="O11" s="18">
        <f>IF(Table39[[#This Row],[CODE]]=11, Table39[ [#This Row],[Account Deposit Amount] ]-Table39[ [#This Row],[Account Withdrawl Amount] ], )</f>
        <v>0</v>
      </c>
      <c r="P11" s="18">
        <f>IF(Table39[[#This Row],[CODE]]=12, Table39[ [#This Row],[Account Deposit Amount] ]-Table39[ [#This Row],[Account Withdrawl Amount] ], )</f>
        <v>0</v>
      </c>
      <c r="Q11" s="18">
        <f>IF(Table39[[#This Row],[CODE]]=13, Table39[ [#This Row],[Account Deposit Amount] ]-Table39[ [#This Row],[Account Withdrawl Amount] ], )</f>
        <v>-7.7</v>
      </c>
      <c r="R11" s="18">
        <f>IF(Table39[[#This Row],[CODE]]=14, Table39[ [#This Row],[Account Deposit Amount] ]-Table39[ [#This Row],[Account Withdrawl Amount] ], )</f>
        <v>0</v>
      </c>
      <c r="S11" s="18">
        <f>IF(Table39[[#This Row],[CODE]]=15, Table39[ [#This Row],[Account Deposit Amount] ]-Table39[ [#This Row],[Account Withdrawl Amount] ], )</f>
        <v>0</v>
      </c>
      <c r="T11" s="18">
        <f>IF(Table39[[#This Row],[CODE]]=16, Table39[ [#This Row],[Account Deposit Amount] ]-Table39[ [#This Row],[Account Withdrawl Amount] ], )</f>
        <v>0</v>
      </c>
      <c r="U11" s="17">
        <f>IF(Table39[[#This Row],[CODE]]=17, Table39[ [#This Row],[Account Deposit Amount] ]-Table39[ [#This Row],[Account Withdrawl Amount] ], )</f>
        <v>0</v>
      </c>
      <c r="V11" s="19">
        <f>IF(Table39[[#This Row],[CODE]]=18, Table39[ [#This Row],[Account Deposit Amount] ]-Table39[ [#This Row],[Account Withdrawl Amount] ], )</f>
        <v>0</v>
      </c>
    </row>
    <row r="12" spans="1:27" ht="12.6" thickBot="1">
      <c r="A12" s="101"/>
      <c r="B12" s="102"/>
      <c r="C12" s="102"/>
      <c r="D12" s="102"/>
      <c r="E12" s="170"/>
      <c r="F12" s="170"/>
      <c r="G12" s="82">
        <f t="shared" si="2"/>
        <v>19316.119999999995</v>
      </c>
      <c r="H12" s="23"/>
      <c r="I12" s="125">
        <f>IF(Table39[[#This Row],[CODE]]=1, Table39[ [#This Row],[Account Deposit Amount] ]-Table39[ [#This Row],[Account Withdrawl Amount] ], )</f>
        <v>0</v>
      </c>
      <c r="J12" s="18">
        <f>IF(Table39[[#This Row],[CODE]]=2, Table39[ [#This Row],[Account Deposit Amount] ]-Table39[ [#This Row],[Account Withdrawl Amount] ], )</f>
        <v>0</v>
      </c>
      <c r="K12" s="18">
        <f>IF(Table39[[#This Row],[CODE]]=3, Table39[ [#This Row],[Account Deposit Amount] ]-Table39[ [#This Row],[Account Withdrawl Amount] ], )</f>
        <v>0</v>
      </c>
      <c r="L12" s="18">
        <f>IF(Table39[[#This Row],[CODE]]=4, Table39[ [#This Row],[Account Deposit Amount] ]-Table39[ [#This Row],[Account Withdrawl Amount] ], )</f>
        <v>0</v>
      </c>
      <c r="M12" s="18">
        <f>IF(Table39[[#This Row],[CODE]]=5, Table39[ [#This Row],[Account Deposit Amount] ]-Table39[ [#This Row],[Account Withdrawl Amount] ], )</f>
        <v>0</v>
      </c>
      <c r="N12" s="18">
        <f>IF(Table39[[#This Row],[CODE]]=6, Table39[ [#This Row],[Account Deposit Amount] ]-Table39[ [#This Row],[Account Withdrawl Amount] ], )</f>
        <v>0</v>
      </c>
      <c r="O12" s="18">
        <f>IF(Table39[[#This Row],[CODE]]=11, Table39[ [#This Row],[Account Deposit Amount] ]-Table39[ [#This Row],[Account Withdrawl Amount] ], )</f>
        <v>0</v>
      </c>
      <c r="P12" s="18">
        <f>IF(Table39[[#This Row],[CODE]]=12, Table39[ [#This Row],[Account Deposit Amount] ]-Table39[ [#This Row],[Account Withdrawl Amount] ], )</f>
        <v>0</v>
      </c>
      <c r="Q12" s="18">
        <f>IF(Table39[[#This Row],[CODE]]=13, Table39[ [#This Row],[Account Deposit Amount] ]-Table39[ [#This Row],[Account Withdrawl Amount] ], )</f>
        <v>0</v>
      </c>
      <c r="R12" s="18">
        <f>IF(Table39[[#This Row],[CODE]]=14, Table39[ [#This Row],[Account Deposit Amount] ]-Table39[ [#This Row],[Account Withdrawl Amount] ], )</f>
        <v>0</v>
      </c>
      <c r="S12" s="18">
        <f>IF(Table39[[#This Row],[CODE]]=15, Table39[ [#This Row],[Account Deposit Amount] ]-Table39[ [#This Row],[Account Withdrawl Amount] ], )</f>
        <v>0</v>
      </c>
      <c r="T12" s="18">
        <f>IF(Table39[[#This Row],[CODE]]=16, Table39[ [#This Row],[Account Deposit Amount] ]-Table39[ [#This Row],[Account Withdrawl Amount] ], )</f>
        <v>0</v>
      </c>
      <c r="U12" s="17">
        <f>IF(Table39[[#This Row],[CODE]]=17, Table39[ [#This Row],[Account Deposit Amount] ]-Table39[ [#This Row],[Account Withdrawl Amount] ], )</f>
        <v>0</v>
      </c>
      <c r="V12" s="19">
        <f>IF(Table39[[#This Row],[CODE]]=18, Table39[ [#This Row],[Account Deposit Amount] ]-Table39[ [#This Row],[Account Withdrawl Amount] ], )</f>
        <v>0</v>
      </c>
    </row>
    <row r="13" spans="1:27" ht="12.6" thickBot="1">
      <c r="A13" s="102"/>
      <c r="B13" s="102"/>
      <c r="C13" s="102"/>
      <c r="D13" s="102"/>
      <c r="E13" s="102"/>
      <c r="F13" s="102"/>
      <c r="G13" s="82">
        <f t="shared" si="2"/>
        <v>19316.119999999995</v>
      </c>
      <c r="H13" s="23"/>
      <c r="I13" s="125">
        <f>IF(Table39[[#This Row],[CODE]]=1, Table39[ [#This Row],[Account Deposit Amount] ]-Table39[ [#This Row],[Account Withdrawl Amount] ], )</f>
        <v>0</v>
      </c>
      <c r="J13" s="18">
        <f>IF(Table39[[#This Row],[CODE]]=2, Table39[ [#This Row],[Account Deposit Amount] ]-Table39[ [#This Row],[Account Withdrawl Amount] ], )</f>
        <v>0</v>
      </c>
      <c r="K13" s="18">
        <f>IF(Table39[[#This Row],[CODE]]=3, Table39[ [#This Row],[Account Deposit Amount] ]-Table39[ [#This Row],[Account Withdrawl Amount] ], )</f>
        <v>0</v>
      </c>
      <c r="L13" s="18">
        <f>IF(Table39[[#This Row],[CODE]]=4, Table39[ [#This Row],[Account Deposit Amount] ]-Table39[ [#This Row],[Account Withdrawl Amount] ], )</f>
        <v>0</v>
      </c>
      <c r="M13" s="18">
        <f>IF(Table39[[#This Row],[CODE]]=5, Table39[ [#This Row],[Account Deposit Amount] ]-Table39[ [#This Row],[Account Withdrawl Amount] ], )</f>
        <v>0</v>
      </c>
      <c r="N13" s="18">
        <f>IF(Table39[[#This Row],[CODE]]=6, Table39[ [#This Row],[Account Deposit Amount] ]-Table39[ [#This Row],[Account Withdrawl Amount] ], )</f>
        <v>0</v>
      </c>
      <c r="O13" s="18">
        <f>IF(Table39[[#This Row],[CODE]]=11, Table39[ [#This Row],[Account Deposit Amount] ]-Table39[ [#This Row],[Account Withdrawl Amount] ], )</f>
        <v>0</v>
      </c>
      <c r="P13" s="18">
        <f>IF(Table39[[#This Row],[CODE]]=12, Table39[ [#This Row],[Account Deposit Amount] ]-Table39[ [#This Row],[Account Withdrawl Amount] ], )</f>
        <v>0</v>
      </c>
      <c r="Q13" s="18">
        <f>IF(Table39[[#This Row],[CODE]]=13, Table39[ [#This Row],[Account Deposit Amount] ]-Table39[ [#This Row],[Account Withdrawl Amount] ], )</f>
        <v>0</v>
      </c>
      <c r="R13" s="18">
        <f>IF(Table39[[#This Row],[CODE]]=14, Table39[ [#This Row],[Account Deposit Amount] ]-Table39[ [#This Row],[Account Withdrawl Amount] ], )</f>
        <v>0</v>
      </c>
      <c r="S13" s="18">
        <f>IF(Table39[[#This Row],[CODE]]=15, Table39[ [#This Row],[Account Deposit Amount] ]-Table39[ [#This Row],[Account Withdrawl Amount] ], )</f>
        <v>0</v>
      </c>
      <c r="T13" s="18">
        <f>IF(Table39[[#This Row],[CODE]]=16, Table39[ [#This Row],[Account Deposit Amount] ]-Table39[ [#This Row],[Account Withdrawl Amount] ], )</f>
        <v>0</v>
      </c>
      <c r="U13" s="17">
        <f>IF(Table39[[#This Row],[CODE]]=17, Table39[ [#This Row],[Account Deposit Amount] ]-Table39[ [#This Row],[Account Withdrawl Amount] ], )</f>
        <v>0</v>
      </c>
      <c r="V13" s="19">
        <f>IF(Table39[[#This Row],[CODE]]=18, Table39[ [#This Row],[Account Deposit Amount] ]-Table39[ [#This Row],[Account Withdrawl Amount] ], )</f>
        <v>0</v>
      </c>
    </row>
    <row r="14" spans="1:27" ht="12.6" thickBot="1">
      <c r="A14" s="102"/>
      <c r="B14" s="102"/>
      <c r="C14" s="102"/>
      <c r="D14" s="102"/>
      <c r="E14" s="102"/>
      <c r="F14" s="102"/>
      <c r="G14" s="82">
        <f t="shared" si="2"/>
        <v>19316.119999999995</v>
      </c>
      <c r="H14" s="23"/>
      <c r="I14" s="125">
        <f>IF(Table39[[#This Row],[CODE]]=1, Table39[ [#This Row],[Account Deposit Amount] ]-Table39[ [#This Row],[Account Withdrawl Amount] ], )</f>
        <v>0</v>
      </c>
      <c r="J14" s="18">
        <f>IF(Table39[[#This Row],[CODE]]=2, Table39[ [#This Row],[Account Deposit Amount] ]-Table39[ [#This Row],[Account Withdrawl Amount] ], )</f>
        <v>0</v>
      </c>
      <c r="K14" s="18">
        <f>IF(Table39[[#This Row],[CODE]]=3, Table39[ [#This Row],[Account Deposit Amount] ]-Table39[ [#This Row],[Account Withdrawl Amount] ], )</f>
        <v>0</v>
      </c>
      <c r="L14" s="18">
        <f>IF(Table39[[#This Row],[CODE]]=4, Table39[ [#This Row],[Account Deposit Amount] ]-Table39[ [#This Row],[Account Withdrawl Amount] ], )</f>
        <v>0</v>
      </c>
      <c r="M14" s="18">
        <f>IF(Table39[[#This Row],[CODE]]=5, Table39[ [#This Row],[Account Deposit Amount] ]-Table39[ [#This Row],[Account Withdrawl Amount] ], )</f>
        <v>0</v>
      </c>
      <c r="N14" s="18">
        <f>IF(Table39[[#This Row],[CODE]]=6, Table39[ [#This Row],[Account Deposit Amount] ]-Table39[ [#This Row],[Account Withdrawl Amount] ], )</f>
        <v>0</v>
      </c>
      <c r="O14" s="18">
        <f>IF(Table39[[#This Row],[CODE]]=11, Table39[ [#This Row],[Account Deposit Amount] ]-Table39[ [#This Row],[Account Withdrawl Amount] ], )</f>
        <v>0</v>
      </c>
      <c r="P14" s="18">
        <f>IF(Table39[[#This Row],[CODE]]=12, Table39[ [#This Row],[Account Deposit Amount] ]-Table39[ [#This Row],[Account Withdrawl Amount] ], )</f>
        <v>0</v>
      </c>
      <c r="Q14" s="18">
        <f>IF(Table39[[#This Row],[CODE]]=13, Table39[ [#This Row],[Account Deposit Amount] ]-Table39[ [#This Row],[Account Withdrawl Amount] ], )</f>
        <v>0</v>
      </c>
      <c r="R14" s="18">
        <f>IF(Table39[[#This Row],[CODE]]=14, Table39[ [#This Row],[Account Deposit Amount] ]-Table39[ [#This Row],[Account Withdrawl Amount] ], )</f>
        <v>0</v>
      </c>
      <c r="S14" s="18">
        <f>IF(Table39[[#This Row],[CODE]]=15, Table39[ [#This Row],[Account Deposit Amount] ]-Table39[ [#This Row],[Account Withdrawl Amount] ], )</f>
        <v>0</v>
      </c>
      <c r="T14" s="18">
        <f>IF(Table39[[#This Row],[CODE]]=16, Table39[ [#This Row],[Account Deposit Amount] ]-Table39[ [#This Row],[Account Withdrawl Amount] ], )</f>
        <v>0</v>
      </c>
      <c r="U14" s="17">
        <f>IF(Table39[[#This Row],[CODE]]=17, Table39[ [#This Row],[Account Deposit Amount] ]-Table39[ [#This Row],[Account Withdrawl Amount] ], )</f>
        <v>0</v>
      </c>
      <c r="V14" s="19">
        <f>IF(Table39[[#This Row],[CODE]]=18, Table39[ [#This Row],[Account Deposit Amount] ]-Table39[ [#This Row],[Account Withdrawl Amount] ], )</f>
        <v>0</v>
      </c>
    </row>
    <row r="15" spans="1:27" ht="12.6" thickBot="1">
      <c r="A15" s="102"/>
      <c r="B15" s="102"/>
      <c r="C15" s="102"/>
      <c r="D15" s="102"/>
      <c r="E15" s="102"/>
      <c r="F15" s="102"/>
      <c r="G15" s="82">
        <f t="shared" si="2"/>
        <v>19316.119999999995</v>
      </c>
      <c r="H15" s="23"/>
      <c r="I15" s="125">
        <f>IF(Table39[[#This Row],[CODE]]=1, Table39[ [#This Row],[Account Deposit Amount] ]-Table39[ [#This Row],[Account Withdrawl Amount] ], )</f>
        <v>0</v>
      </c>
      <c r="J15" s="18">
        <f>IF(Table39[[#This Row],[CODE]]=2, Table39[ [#This Row],[Account Deposit Amount] ]-Table39[ [#This Row],[Account Withdrawl Amount] ], )</f>
        <v>0</v>
      </c>
      <c r="K15" s="18">
        <f>IF(Table39[[#This Row],[CODE]]=3, Table39[ [#This Row],[Account Deposit Amount] ]-Table39[ [#This Row],[Account Withdrawl Amount] ], )</f>
        <v>0</v>
      </c>
      <c r="L15" s="18">
        <f>IF(Table39[[#This Row],[CODE]]=4, Table39[ [#This Row],[Account Deposit Amount] ]-Table39[ [#This Row],[Account Withdrawl Amount] ], )</f>
        <v>0</v>
      </c>
      <c r="M15" s="18">
        <f>IF(Table39[[#This Row],[CODE]]=5, Table39[ [#This Row],[Account Deposit Amount] ]-Table39[ [#This Row],[Account Withdrawl Amount] ], )</f>
        <v>0</v>
      </c>
      <c r="N15" s="18">
        <f>IF(Table39[[#This Row],[CODE]]=6, Table39[ [#This Row],[Account Deposit Amount] ]-Table39[ [#This Row],[Account Withdrawl Amount] ], )</f>
        <v>0</v>
      </c>
      <c r="O15" s="18">
        <f>IF(Table39[[#This Row],[CODE]]=11, Table39[ [#This Row],[Account Deposit Amount] ]-Table39[ [#This Row],[Account Withdrawl Amount] ], )</f>
        <v>0</v>
      </c>
      <c r="P15" s="18">
        <f>IF(Table39[[#This Row],[CODE]]=12, Table39[ [#This Row],[Account Deposit Amount] ]-Table39[ [#This Row],[Account Withdrawl Amount] ], )</f>
        <v>0</v>
      </c>
      <c r="Q15" s="18">
        <f>IF(Table39[[#This Row],[CODE]]=13, Table39[ [#This Row],[Account Deposit Amount] ]-Table39[ [#This Row],[Account Withdrawl Amount] ], )</f>
        <v>0</v>
      </c>
      <c r="R15" s="18">
        <f>IF(Table39[[#This Row],[CODE]]=14, Table39[ [#This Row],[Account Deposit Amount] ]-Table39[ [#This Row],[Account Withdrawl Amount] ], )</f>
        <v>0</v>
      </c>
      <c r="S15" s="18">
        <f>IF(Table39[[#This Row],[CODE]]=15, Table39[ [#This Row],[Account Deposit Amount] ]-Table39[ [#This Row],[Account Withdrawl Amount] ], )</f>
        <v>0</v>
      </c>
      <c r="T15" s="18">
        <f>IF(Table39[[#This Row],[CODE]]=16, Table39[ [#This Row],[Account Deposit Amount] ]-Table39[ [#This Row],[Account Withdrawl Amount] ], )</f>
        <v>0</v>
      </c>
      <c r="U15" s="17">
        <f>IF(Table39[[#This Row],[CODE]]=17, Table39[ [#This Row],[Account Deposit Amount] ]-Table39[ [#This Row],[Account Withdrawl Amount] ], )</f>
        <v>0</v>
      </c>
      <c r="V15" s="19">
        <f>IF(Table39[[#This Row],[CODE]]=18, Table39[ [#This Row],[Account Deposit Amount] ]-Table39[ [#This Row],[Account Withdrawl Amount] ], )</f>
        <v>0</v>
      </c>
    </row>
    <row r="16" spans="1:27" ht="12.6" thickBot="1">
      <c r="A16" s="102"/>
      <c r="B16" s="102"/>
      <c r="C16" s="102"/>
      <c r="D16" s="102"/>
      <c r="E16" s="102"/>
      <c r="F16" s="102"/>
      <c r="G16" s="82">
        <f t="shared" si="2"/>
        <v>19316.119999999995</v>
      </c>
      <c r="H16" s="23"/>
      <c r="I16" s="125">
        <f>IF(Table39[[#This Row],[CODE]]=1, Table39[ [#This Row],[Account Deposit Amount] ]-Table39[ [#This Row],[Account Withdrawl Amount] ], )</f>
        <v>0</v>
      </c>
      <c r="J16" s="18">
        <f>IF(Table39[[#This Row],[CODE]]=2, Table39[ [#This Row],[Account Deposit Amount] ]-Table39[ [#This Row],[Account Withdrawl Amount] ], )</f>
        <v>0</v>
      </c>
      <c r="K16" s="18">
        <f>IF(Table39[[#This Row],[CODE]]=3, Table39[ [#This Row],[Account Deposit Amount] ]-Table39[ [#This Row],[Account Withdrawl Amount] ], )</f>
        <v>0</v>
      </c>
      <c r="L16" s="18">
        <f>IF(Table39[[#This Row],[CODE]]=4, Table39[ [#This Row],[Account Deposit Amount] ]-Table39[ [#This Row],[Account Withdrawl Amount] ], )</f>
        <v>0</v>
      </c>
      <c r="M16" s="18">
        <f>IF(Table39[[#This Row],[CODE]]=5, Table39[ [#This Row],[Account Deposit Amount] ]-Table39[ [#This Row],[Account Withdrawl Amount] ], )</f>
        <v>0</v>
      </c>
      <c r="N16" s="18">
        <f>IF(Table39[[#This Row],[CODE]]=6, Table39[ [#This Row],[Account Deposit Amount] ]-Table39[ [#This Row],[Account Withdrawl Amount] ], )</f>
        <v>0</v>
      </c>
      <c r="O16" s="18">
        <f>IF(Table39[[#This Row],[CODE]]=11, Table39[ [#This Row],[Account Deposit Amount] ]-Table39[ [#This Row],[Account Withdrawl Amount] ], )</f>
        <v>0</v>
      </c>
      <c r="P16" s="18">
        <f>IF(Table39[[#This Row],[CODE]]=12, Table39[ [#This Row],[Account Deposit Amount] ]-Table39[ [#This Row],[Account Withdrawl Amount] ], )</f>
        <v>0</v>
      </c>
      <c r="Q16" s="18">
        <f>IF(Table39[[#This Row],[CODE]]=13, Table39[ [#This Row],[Account Deposit Amount] ]-Table39[ [#This Row],[Account Withdrawl Amount] ], )</f>
        <v>0</v>
      </c>
      <c r="R16" s="18">
        <f>IF(Table39[[#This Row],[CODE]]=14, Table39[ [#This Row],[Account Deposit Amount] ]-Table39[ [#This Row],[Account Withdrawl Amount] ], )</f>
        <v>0</v>
      </c>
      <c r="S16" s="18">
        <f>IF(Table39[[#This Row],[CODE]]=15, Table39[ [#This Row],[Account Deposit Amount] ]-Table39[ [#This Row],[Account Withdrawl Amount] ], )</f>
        <v>0</v>
      </c>
      <c r="T16" s="18">
        <f>IF(Table39[[#This Row],[CODE]]=16, Table39[ [#This Row],[Account Deposit Amount] ]-Table39[ [#This Row],[Account Withdrawl Amount] ], )</f>
        <v>0</v>
      </c>
      <c r="U16" s="17">
        <f>IF(Table39[[#This Row],[CODE]]=17, Table39[ [#This Row],[Account Deposit Amount] ]-Table39[ [#This Row],[Account Withdrawl Amount] ], )</f>
        <v>0</v>
      </c>
      <c r="V16" s="19">
        <f>IF(Table39[[#This Row],[CODE]]=18, Table39[ [#This Row],[Account Deposit Amount] ]-Table39[ [#This Row],[Account Withdrawl Amount] ], )</f>
        <v>0</v>
      </c>
    </row>
    <row r="17" spans="1:22" ht="12.6" thickBot="1">
      <c r="A17" s="102"/>
      <c r="B17" s="102"/>
      <c r="C17" s="102"/>
      <c r="D17" s="102"/>
      <c r="E17" s="102"/>
      <c r="F17" s="102"/>
      <c r="G17" s="82">
        <f t="shared" si="2"/>
        <v>19316.119999999995</v>
      </c>
      <c r="H17" s="23"/>
      <c r="I17" s="125">
        <f>IF(Table39[[#This Row],[CODE]]=1, Table39[ [#This Row],[Account Deposit Amount] ]-Table39[ [#This Row],[Account Withdrawl Amount] ], )</f>
        <v>0</v>
      </c>
      <c r="J17" s="18">
        <f>IF(Table39[[#This Row],[CODE]]=2, Table39[ [#This Row],[Account Deposit Amount] ]-Table39[ [#This Row],[Account Withdrawl Amount] ], )</f>
        <v>0</v>
      </c>
      <c r="K17" s="18">
        <f>IF(Table39[[#This Row],[CODE]]=3, Table39[ [#This Row],[Account Deposit Amount] ]-Table39[ [#This Row],[Account Withdrawl Amount] ], )</f>
        <v>0</v>
      </c>
      <c r="L17" s="18">
        <f>IF(Table39[[#This Row],[CODE]]=4, Table39[ [#This Row],[Account Deposit Amount] ]-Table39[ [#This Row],[Account Withdrawl Amount] ], )</f>
        <v>0</v>
      </c>
      <c r="M17" s="18">
        <f>IF(Table39[[#This Row],[CODE]]=5, Table39[ [#This Row],[Account Deposit Amount] ]-Table39[ [#This Row],[Account Withdrawl Amount] ], )</f>
        <v>0</v>
      </c>
      <c r="N17" s="18">
        <f>IF(Table39[[#This Row],[CODE]]=6, Table39[ [#This Row],[Account Deposit Amount] ]-Table39[ [#This Row],[Account Withdrawl Amount] ], )</f>
        <v>0</v>
      </c>
      <c r="O17" s="18">
        <f>IF(Table39[[#This Row],[CODE]]=11, Table39[ [#This Row],[Account Deposit Amount] ]-Table39[ [#This Row],[Account Withdrawl Amount] ], )</f>
        <v>0</v>
      </c>
      <c r="P17" s="18">
        <f>IF(Table39[[#This Row],[CODE]]=12, Table39[ [#This Row],[Account Deposit Amount] ]-Table39[ [#This Row],[Account Withdrawl Amount] ], )</f>
        <v>0</v>
      </c>
      <c r="Q17" s="18">
        <f>IF(Table39[[#This Row],[CODE]]=13, Table39[ [#This Row],[Account Deposit Amount] ]-Table39[ [#This Row],[Account Withdrawl Amount] ], )</f>
        <v>0</v>
      </c>
      <c r="R17" s="18">
        <f>IF(Table39[[#This Row],[CODE]]=14, Table39[ [#This Row],[Account Deposit Amount] ]-Table39[ [#This Row],[Account Withdrawl Amount] ], )</f>
        <v>0</v>
      </c>
      <c r="S17" s="18">
        <f>IF(Table39[[#This Row],[CODE]]=15, Table39[ [#This Row],[Account Deposit Amount] ]-Table39[ [#This Row],[Account Withdrawl Amount] ], )</f>
        <v>0</v>
      </c>
      <c r="T17" s="18">
        <f>IF(Table39[[#This Row],[CODE]]=16, Table39[ [#This Row],[Account Deposit Amount] ]-Table39[ [#This Row],[Account Withdrawl Amount] ], )</f>
        <v>0</v>
      </c>
      <c r="U17" s="17">
        <f>IF(Table39[[#This Row],[CODE]]=17, Table39[ [#This Row],[Account Deposit Amount] ]-Table39[ [#This Row],[Account Withdrawl Amount] ], )</f>
        <v>0</v>
      </c>
      <c r="V17" s="19">
        <f>IF(Table39[[#This Row],[CODE]]=18, Table39[ [#This Row],[Account Deposit Amount] ]-Table39[ [#This Row],[Account Withdrawl Amount] ], )</f>
        <v>0</v>
      </c>
    </row>
    <row r="18" spans="1:22" ht="12.6" thickBot="1">
      <c r="A18" s="102"/>
      <c r="B18" s="102"/>
      <c r="C18" s="102"/>
      <c r="D18" s="102"/>
      <c r="E18" s="102"/>
      <c r="F18" s="102"/>
      <c r="G18" s="82">
        <f t="shared" si="2"/>
        <v>19316.119999999995</v>
      </c>
      <c r="H18" s="23"/>
      <c r="I18" s="125">
        <f>IF(Table39[[#This Row],[CODE]]=1, Table39[ [#This Row],[Account Deposit Amount] ]-Table39[ [#This Row],[Account Withdrawl Amount] ], )</f>
        <v>0</v>
      </c>
      <c r="J18" s="18">
        <f>IF(Table39[[#This Row],[CODE]]=2, Table39[ [#This Row],[Account Deposit Amount] ]-Table39[ [#This Row],[Account Withdrawl Amount] ], )</f>
        <v>0</v>
      </c>
      <c r="K18" s="18">
        <f>IF(Table39[[#This Row],[CODE]]=3, Table39[ [#This Row],[Account Deposit Amount] ]-Table39[ [#This Row],[Account Withdrawl Amount] ], )</f>
        <v>0</v>
      </c>
      <c r="L18" s="18">
        <f>IF(Table39[[#This Row],[CODE]]=4, Table39[ [#This Row],[Account Deposit Amount] ]-Table39[ [#This Row],[Account Withdrawl Amount] ], )</f>
        <v>0</v>
      </c>
      <c r="M18" s="18">
        <f>IF(Table39[[#This Row],[CODE]]=5, Table39[ [#This Row],[Account Deposit Amount] ]-Table39[ [#This Row],[Account Withdrawl Amount] ], )</f>
        <v>0</v>
      </c>
      <c r="N18" s="18">
        <f>IF(Table39[[#This Row],[CODE]]=6, Table39[ [#This Row],[Account Deposit Amount] ]-Table39[ [#This Row],[Account Withdrawl Amount] ], )</f>
        <v>0</v>
      </c>
      <c r="O18" s="18">
        <f>IF(Table39[[#This Row],[CODE]]=11, Table39[ [#This Row],[Account Deposit Amount] ]-Table39[ [#This Row],[Account Withdrawl Amount] ], )</f>
        <v>0</v>
      </c>
      <c r="P18" s="18">
        <f>IF(Table39[[#This Row],[CODE]]=12, Table39[ [#This Row],[Account Deposit Amount] ]-Table39[ [#This Row],[Account Withdrawl Amount] ], )</f>
        <v>0</v>
      </c>
      <c r="Q18" s="18">
        <f>IF(Table39[[#This Row],[CODE]]=13, Table39[ [#This Row],[Account Deposit Amount] ]-Table39[ [#This Row],[Account Withdrawl Amount] ], )</f>
        <v>0</v>
      </c>
      <c r="R18" s="18">
        <f>IF(Table39[[#This Row],[CODE]]=14, Table39[ [#This Row],[Account Deposit Amount] ]-Table39[ [#This Row],[Account Withdrawl Amount] ], )</f>
        <v>0</v>
      </c>
      <c r="S18" s="18">
        <f>IF(Table39[[#This Row],[CODE]]=15, Table39[ [#This Row],[Account Deposit Amount] ]-Table39[ [#This Row],[Account Withdrawl Amount] ], )</f>
        <v>0</v>
      </c>
      <c r="T18" s="18">
        <f>IF(Table39[[#This Row],[CODE]]=16, Table39[ [#This Row],[Account Deposit Amount] ]-Table39[ [#This Row],[Account Withdrawl Amount] ], )</f>
        <v>0</v>
      </c>
      <c r="U18" s="17">
        <f>IF(Table39[[#This Row],[CODE]]=17, Table39[ [#This Row],[Account Deposit Amount] ]-Table39[ [#This Row],[Account Withdrawl Amount] ], )</f>
        <v>0</v>
      </c>
      <c r="V18" s="19">
        <f>IF(Table39[[#This Row],[CODE]]=18, Table39[ [#This Row],[Account Deposit Amount] ]-Table39[ [#This Row],[Account Withdrawl Amount] ], )</f>
        <v>0</v>
      </c>
    </row>
    <row r="19" spans="1:22" ht="12.6" thickBot="1">
      <c r="U19" s="17" t="e">
        <f>IF(Table39[[#This Row],[CODE]]=17, Table39[ [#This Row],[Account Deposit Amount] ]-Table39[ [#This Row],[Account Withdrawl Amount] ], )</f>
        <v>#VALUE!</v>
      </c>
      <c r="V19" s="19" t="e">
        <f>IF(Table39[[#This Row],[CODE]]=18, Table39[ [#This Row],[Account Deposit Amount] ]-Table39[ [#This Row],[Account Withdrawl Amount] ], )</f>
        <v>#VALUE!</v>
      </c>
    </row>
    <row r="20" spans="1:22" ht="12.6" thickBot="1">
      <c r="U20" s="17" t="e">
        <f>IF(Table39[[#This Row],[CODE]]=17, Table39[ [#This Row],[Account Deposit Amount] ]-Table39[ [#This Row],[Account Withdrawl Amount] ], )</f>
        <v>#VALUE!</v>
      </c>
      <c r="V20" s="19" t="e">
        <f>IF(Table39[[#This Row],[CODE]]=18, Table39[ [#This Row],[Account Deposit Amount] ]-Table39[ [#This Row],[Account Withdrawl Amount] ], )</f>
        <v>#VALUE!</v>
      </c>
    </row>
    <row r="21" spans="1:22" ht="12.6" thickBot="1">
      <c r="U21" s="17" t="e">
        <f>IF(Table39[[#This Row],[CODE]]=17, Table39[ [#This Row],[Account Deposit Amount] ]-Table39[ [#This Row],[Account Withdrawl Amount] ], )</f>
        <v>#VALUE!</v>
      </c>
      <c r="V21" s="19" t="e">
        <f>IF(Table39[[#This Row],[CODE]]=18, Table39[ [#This Row],[Account Deposit Amount] ]-Table39[ [#This Row],[Account Withdrawl Amount] ], )</f>
        <v>#VALUE!</v>
      </c>
    </row>
    <row r="22" spans="1:22" ht="12.6" thickBot="1">
      <c r="U22" s="17" t="e">
        <f>IF(Table39[[#This Row],[CODE]]=17, Table39[ [#This Row],[Account Deposit Amount] ]-Table39[ [#This Row],[Account Withdrawl Amount] ], )</f>
        <v>#VALUE!</v>
      </c>
      <c r="V22" s="19" t="e">
        <f>IF(Table39[[#This Row],[CODE]]=18, Table39[ [#This Row],[Account Deposit Amount] ]-Table39[ [#This Row],[Account Withdrawl Amount] ], )</f>
        <v>#VALUE!</v>
      </c>
    </row>
    <row r="23" spans="1:22" ht="12.6" thickBot="1">
      <c r="U23" s="17" t="e">
        <f>IF(Table39[[#This Row],[CODE]]=17, Table39[ [#This Row],[Account Deposit Amount] ]-Table39[ [#This Row],[Account Withdrawl Amount] ], )</f>
        <v>#VALUE!</v>
      </c>
      <c r="V23" s="19" t="e">
        <f>IF(Table39[[#This Row],[CODE]]=18, Table39[ [#This Row],[Account Deposit Amount] ]-Table39[ [#This Row],[Account Withdrawl Amount] ], )</f>
        <v>#VALUE!</v>
      </c>
    </row>
    <row r="24" spans="1:22" ht="12.6" thickBot="1">
      <c r="U24" s="17" t="e">
        <f>IF(Table39[[#This Row],[CODE]]=17, Table39[ [#This Row],[Account Deposit Amount] ]-Table39[ [#This Row],[Account Withdrawl Amount] ], )</f>
        <v>#VALUE!</v>
      </c>
      <c r="V24" s="19" t="e">
        <f>IF(Table39[[#This Row],[CODE]]=18, Table39[ [#This Row],[Account Deposit Amount] ]-Table39[ [#This Row],[Account Withdrawl Amount] ], )</f>
        <v>#VALUE!</v>
      </c>
    </row>
    <row r="25" spans="1:22" ht="12.6" thickBot="1">
      <c r="U25" s="17" t="e">
        <f>IF(Table39[[#This Row],[CODE]]=17, Table39[ [#This Row],[Account Deposit Amount] ]-Table39[ [#This Row],[Account Withdrawl Amount] ], )</f>
        <v>#VALUE!</v>
      </c>
      <c r="V25" s="19" t="e">
        <f>IF(Table39[[#This Row],[CODE]]=18, Table39[ [#This Row],[Account Deposit Amount] ]-Table39[ [#This Row],[Account Withdrawl Amount] ], )</f>
        <v>#VALUE!</v>
      </c>
    </row>
    <row r="26" spans="1:22" ht="12.6" thickBot="1">
      <c r="U26" s="17" t="e">
        <f>IF(Table39[[#This Row],[CODE]]=17, Table39[ [#This Row],[Account Deposit Amount] ]-Table39[ [#This Row],[Account Withdrawl Amount] ], )</f>
        <v>#VALUE!</v>
      </c>
      <c r="V26" s="19" t="e">
        <f>IF(Table39[[#This Row],[CODE]]=18, Table39[ [#This Row],[Account Deposit Amount] ]-Table39[ [#This Row],[Account Withdrawl Amount] ], )</f>
        <v>#VALUE!</v>
      </c>
    </row>
    <row r="27" spans="1:22" ht="12.6" thickBot="1">
      <c r="U27" s="17" t="e">
        <f>IF(Table39[[#This Row],[CODE]]=17, Table39[ [#This Row],[Account Deposit Amount] ]-Table39[ [#This Row],[Account Withdrawl Amount] ], )</f>
        <v>#VALUE!</v>
      </c>
      <c r="V27" s="19" t="e">
        <f>IF(Table39[[#This Row],[CODE]]=18, Table39[ [#This Row],[Account Deposit Amount] ]-Table39[ [#This Row],[Account Withdrawl Amount] ], )</f>
        <v>#VALUE!</v>
      </c>
    </row>
    <row r="28" spans="1:22" ht="12.6" thickBot="1">
      <c r="U28" s="17" t="e">
        <f>IF(Table39[[#This Row],[CODE]]=17, Table39[ [#This Row],[Account Deposit Amount] ]-Table39[ [#This Row],[Account Withdrawl Amount] ], )</f>
        <v>#VALUE!</v>
      </c>
      <c r="V28" s="19" t="e">
        <f>IF(Table39[[#This Row],[CODE]]=18, Table39[ [#This Row],[Account Deposit Amount] ]-Table39[ [#This Row],[Account Withdrawl Amount] ], )</f>
        <v>#VALUE!</v>
      </c>
    </row>
    <row r="29" spans="1:22" ht="12.6" thickBot="1">
      <c r="U29" s="17" t="e">
        <f>IF(Table39[[#This Row],[CODE]]=17, Table39[ [#This Row],[Account Deposit Amount] ]-Table39[ [#This Row],[Account Withdrawl Amount] ], )</f>
        <v>#VALUE!</v>
      </c>
      <c r="V29" s="19" t="e">
        <f>IF(Table39[[#This Row],[CODE]]=18, Table39[ [#This Row],[Account Deposit Amount] ]-Table39[ [#This Row],[Account Withdrawl Amount] ], )</f>
        <v>#VALUE!</v>
      </c>
    </row>
    <row r="30" spans="1:22" ht="12.6" thickBot="1">
      <c r="U30" s="17" t="e">
        <f>IF(Table39[[#This Row],[CODE]]=17, Table39[ [#This Row],[Account Deposit Amount] ]-Table39[ [#This Row],[Account Withdrawl Amount] ], )</f>
        <v>#VALUE!</v>
      </c>
      <c r="V30" s="19" t="e">
        <f>IF(Table39[[#This Row],[CODE]]=18, Table39[ [#This Row],[Account Deposit Amount] ]-Table39[ [#This Row],[Account Withdrawl Amount] ], )</f>
        <v>#VALUE!</v>
      </c>
    </row>
    <row r="31" spans="1:22" ht="12.6" thickBot="1">
      <c r="U31" s="17" t="e">
        <f>IF(Table39[[#This Row],[CODE]]=17, Table39[ [#This Row],[Account Deposit Amount] ]-Table39[ [#This Row],[Account Withdrawl Amount] ], )</f>
        <v>#VALUE!</v>
      </c>
      <c r="V31" s="19" t="e">
        <f>IF(Table39[[#This Row],[CODE]]=18, Table39[ [#This Row],[Account Deposit Amount] ]-Table39[ [#This Row],[Account Withdrawl Amount] ], )</f>
        <v>#VALUE!</v>
      </c>
    </row>
    <row r="32" spans="1:22" ht="12.6" thickBot="1">
      <c r="U32" s="17" t="e">
        <f>IF(Table39[[#This Row],[CODE]]=17, Table39[ [#This Row],[Account Deposit Amount] ]-Table39[ [#This Row],[Account Withdrawl Amount] ], )</f>
        <v>#VALUE!</v>
      </c>
      <c r="V32" s="19" t="e">
        <f>IF(Table39[[#This Row],[CODE]]=18, Table39[ [#This Row],[Account Deposit Amount] ]-Table39[ [#This Row],[Account Withdrawl Amount] ], )</f>
        <v>#VALUE!</v>
      </c>
    </row>
    <row r="33" spans="21:22" ht="12.6" thickBot="1">
      <c r="U33" s="17" t="e">
        <f>IF(Table39[[#This Row],[CODE]]=17, Table39[ [#This Row],[Account Deposit Amount] ]-Table39[ [#This Row],[Account Withdrawl Amount] ], )</f>
        <v>#VALUE!</v>
      </c>
      <c r="V33" s="19" t="e">
        <f>IF(Table39[[#This Row],[CODE]]=18, Table39[ [#This Row],[Account Deposit Amount] ]-Table39[ [#This Row],[Account Withdrawl Amount] ], )</f>
        <v>#VALUE!</v>
      </c>
    </row>
    <row r="34" spans="21:22" ht="12.6" thickBot="1">
      <c r="U34" s="17" t="e">
        <f>IF(Table39[[#This Row],[CODE]]=17, Table39[ [#This Row],[Account Deposit Amount] ]-Table39[ [#This Row],[Account Withdrawl Amount] ], )</f>
        <v>#VALUE!</v>
      </c>
      <c r="V34" s="19" t="e">
        <f>IF(Table39[[#This Row],[CODE]]=18, Table39[ [#This Row],[Account Deposit Amount] ]-Table39[ [#This Row],[Account Withdrawl Amount] ], )</f>
        <v>#VALUE!</v>
      </c>
    </row>
    <row r="35" spans="21:22" ht="12.6" thickBot="1">
      <c r="U35" s="17" t="e">
        <f>IF(Table39[[#This Row],[CODE]]=17, Table39[ [#This Row],[Account Deposit Amount] ]-Table39[ [#This Row],[Account Withdrawl Amount] ], )</f>
        <v>#VALUE!</v>
      </c>
      <c r="V35" s="19" t="e">
        <f>IF(Table39[[#This Row],[CODE]]=18, Table39[ [#This Row],[Account Deposit Amount] ]-Table39[ [#This Row],[Account Withdrawl Amount] ], )</f>
        <v>#VALUE!</v>
      </c>
    </row>
    <row r="36" spans="21:22" ht="12.6" thickBot="1">
      <c r="U36" s="17" t="e">
        <f>IF(Table39[[#This Row],[CODE]]=17, Table39[ [#This Row],[Account Deposit Amount] ]-Table39[ [#This Row],[Account Withdrawl Amount] ], )</f>
        <v>#VALUE!</v>
      </c>
      <c r="V36" s="19" t="e">
        <f>IF(Table39[[#This Row],[CODE]]=18, Table39[ [#This Row],[Account Deposit Amount] ]-Table39[ [#This Row],[Account Withdrawl Amount] ], )</f>
        <v>#VALUE!</v>
      </c>
    </row>
    <row r="37" spans="21:22" ht="12.6" thickBot="1">
      <c r="U37" s="17" t="e">
        <f>IF(Table39[[#This Row],[CODE]]=17, Table39[ [#This Row],[Account Deposit Amount] ]-Table39[ [#This Row],[Account Withdrawl Amount] ], )</f>
        <v>#VALUE!</v>
      </c>
      <c r="V37" s="19" t="e">
        <f>IF(Table39[[#This Row],[CODE]]=18, Table39[ [#This Row],[Account Deposit Amount] ]-Table39[ [#This Row],[Account Withdrawl Amount] ], )</f>
        <v>#VALUE!</v>
      </c>
    </row>
    <row r="38" spans="21:22" ht="12.6" thickBot="1">
      <c r="U38" s="17" t="e">
        <f>IF(Table39[[#This Row],[CODE]]=17, Table39[ [#This Row],[Account Deposit Amount] ]-Table39[ [#This Row],[Account Withdrawl Amount] ], )</f>
        <v>#VALUE!</v>
      </c>
      <c r="V38" s="19" t="e">
        <f>IF(Table39[[#This Row],[CODE]]=18, Table39[ [#This Row],[Account Deposit Amount] ]-Table39[ [#This Row],[Account Withdrawl Amount] ], )</f>
        <v>#VALUE!</v>
      </c>
    </row>
    <row r="39" spans="21:22" ht="12.6" thickBot="1">
      <c r="U39" s="17" t="e">
        <f>IF(Table39[[#This Row],[CODE]]=17, Table39[ [#This Row],[Account Deposit Amount] ]-Table39[ [#This Row],[Account Withdrawl Amount] ], )</f>
        <v>#VALUE!</v>
      </c>
      <c r="V39" s="19" t="e">
        <f>IF(Table39[[#This Row],[CODE]]=18, Table39[ [#This Row],[Account Deposit Amount] ]-Table39[ [#This Row],[Account Withdrawl Amount] ], )</f>
        <v>#VALUE!</v>
      </c>
    </row>
    <row r="40" spans="21:22" ht="12.6" thickBot="1">
      <c r="U40" s="17" t="e">
        <f>IF(Table39[[#This Row],[CODE]]=17, Table39[ [#This Row],[Account Deposit Amount] ]-Table39[ [#This Row],[Account Withdrawl Amount] ], )</f>
        <v>#VALUE!</v>
      </c>
      <c r="V40" s="19" t="e">
        <f>IF(Table39[[#This Row],[CODE]]=18, Table39[ [#This Row],[Account Deposit Amount] ]-Table39[ [#This Row],[Account Withdrawl Amount] ], )</f>
        <v>#VALUE!</v>
      </c>
    </row>
    <row r="41" spans="21:22" ht="12.6" thickBot="1">
      <c r="U41" s="17" t="e">
        <f>IF(Table39[[#This Row],[CODE]]=17, Table39[ [#This Row],[Account Deposit Amount] ]-Table39[ [#This Row],[Account Withdrawl Amount] ], )</f>
        <v>#VALUE!</v>
      </c>
      <c r="V41" s="19" t="e">
        <f>IF(Table39[[#This Row],[CODE]]=18, Table39[ [#This Row],[Account Deposit Amount] ]-Table39[ [#This Row],[Account Withdrawl Amount] ], )</f>
        <v>#VALUE!</v>
      </c>
    </row>
    <row r="42" spans="21:22" ht="12.6" thickBot="1">
      <c r="U42" s="17" t="e">
        <f>IF(Table39[[#This Row],[CODE]]=17, Table39[ [#This Row],[Account Deposit Amount] ]-Table39[ [#This Row],[Account Withdrawl Amount] ], )</f>
        <v>#VALUE!</v>
      </c>
      <c r="V42" s="19" t="e">
        <f>IF(Table39[[#This Row],[CODE]]=18, Table39[ [#This Row],[Account Deposit Amount] ]-Table39[ [#This Row],[Account Withdrawl Amount] ], )</f>
        <v>#VALUE!</v>
      </c>
    </row>
    <row r="43" spans="21:22" ht="12.6" thickBot="1">
      <c r="U43" s="17" t="e">
        <f>IF(Table39[[#This Row],[CODE]]=17, Table39[ [#This Row],[Account Deposit Amount] ]-Table39[ [#This Row],[Account Withdrawl Amount] ], )</f>
        <v>#VALUE!</v>
      </c>
      <c r="V43" s="19" t="e">
        <f>IF(Table39[[#This Row],[CODE]]=18, Table39[ [#This Row],[Account Deposit Amount] ]-Table39[ [#This Row],[Account Withdrawl Amount] ], )</f>
        <v>#VALUE!</v>
      </c>
    </row>
    <row r="44" spans="21:22" ht="12.6" thickBot="1">
      <c r="U44" s="17" t="e">
        <f>IF(Table39[[#This Row],[CODE]]=17, Table39[ [#This Row],[Account Deposit Amount] ]-Table39[ [#This Row],[Account Withdrawl Amount] ], )</f>
        <v>#VALUE!</v>
      </c>
      <c r="V44" s="19" t="e">
        <f>IF(Table39[[#This Row],[CODE]]=18, Table39[ [#This Row],[Account Deposit Amount] ]-Table39[ [#This Row],[Account Withdrawl Amount] ], )</f>
        <v>#VALUE!</v>
      </c>
    </row>
    <row r="45" spans="21:22" ht="12.6" thickBot="1">
      <c r="U45" s="17" t="e">
        <f>IF(Table39[[#This Row],[CODE]]=17, Table39[ [#This Row],[Account Deposit Amount] ]-Table39[ [#This Row],[Account Withdrawl Amount] ], )</f>
        <v>#VALUE!</v>
      </c>
      <c r="V45" s="19" t="e">
        <f>IF(Table39[[#This Row],[CODE]]=18, Table39[ [#This Row],[Account Deposit Amount] ]-Table39[ [#This Row],[Account Withdrawl Amount] ], )</f>
        <v>#VALUE!</v>
      </c>
    </row>
    <row r="46" spans="21:22" ht="12.6" thickBot="1">
      <c r="U46" s="17" t="e">
        <f>IF(Table39[[#This Row],[CODE]]=17, Table39[ [#This Row],[Account Deposit Amount] ]-Table39[ [#This Row],[Account Withdrawl Amount] ], )</f>
        <v>#VALUE!</v>
      </c>
      <c r="V46" s="19" t="e">
        <f>IF(Table39[[#This Row],[CODE]]=18, Table39[ [#This Row],[Account Deposit Amount] ]-Table39[ [#This Row],[Account Withdrawl Amount] ], )</f>
        <v>#VALUE!</v>
      </c>
    </row>
    <row r="47" spans="21:22" ht="12.6" thickBot="1">
      <c r="U47" s="17" t="e">
        <f>IF(Table39[[#This Row],[CODE]]=17, Table39[ [#This Row],[Account Deposit Amount] ]-Table39[ [#This Row],[Account Withdrawl Amount] ], )</f>
        <v>#VALUE!</v>
      </c>
      <c r="V47" s="19" t="e">
        <f>IF(Table39[[#This Row],[CODE]]=18, Table39[ [#This Row],[Account Deposit Amount] ]-Table39[ [#This Row],[Account Withdrawl Amount] ], )</f>
        <v>#VALUE!</v>
      </c>
    </row>
    <row r="48" spans="21:22" ht="12.6" thickBot="1">
      <c r="U48" s="17" t="e">
        <f>IF(Table39[[#This Row],[CODE]]=17, Table39[ [#This Row],[Account Deposit Amount] ]-Table39[ [#This Row],[Account Withdrawl Amount] ], )</f>
        <v>#VALUE!</v>
      </c>
      <c r="V48" s="19" t="e">
        <f>IF(Table39[[#This Row],[CODE]]=18, Table39[ [#This Row],[Account Deposit Amount] ]-Table39[ [#This Row],[Account Withdrawl Amount] ], )</f>
        <v>#VALUE!</v>
      </c>
    </row>
    <row r="49" spans="21:22" ht="12.6" thickBot="1">
      <c r="U49" s="17" t="e">
        <f>IF(Table39[[#This Row],[CODE]]=17, Table39[ [#This Row],[Account Deposit Amount] ]-Table39[ [#This Row],[Account Withdrawl Amount] ], )</f>
        <v>#VALUE!</v>
      </c>
      <c r="V49" s="19" t="e">
        <f>IF(Table39[[#This Row],[CODE]]=18, Table39[ [#This Row],[Account Deposit Amount] ]-Table39[ [#This Row],[Account Withdrawl Amount] ], )</f>
        <v>#VALUE!</v>
      </c>
    </row>
    <row r="50" spans="21:22" ht="12.6" thickBot="1">
      <c r="U50" s="17" t="e">
        <f>IF(Table39[[#This Row],[CODE]]=17, Table39[ [#This Row],[Account Deposit Amount] ]-Table39[ [#This Row],[Account Withdrawl Amount] ], )</f>
        <v>#VALUE!</v>
      </c>
      <c r="V50" s="19" t="e">
        <f>IF(Table39[[#This Row],[CODE]]=18, Table39[ [#This Row],[Account Deposit Amount] ]-Table39[ [#This Row],[Account Withdrawl Amount] ], )</f>
        <v>#VALUE!</v>
      </c>
    </row>
    <row r="51" spans="21:22" ht="12.6" thickBot="1">
      <c r="U51" s="17" t="e">
        <f>IF(Table39[[#This Row],[CODE]]=17, Table39[ [#This Row],[Account Deposit Amount] ]-Table39[ [#This Row],[Account Withdrawl Amount] ], )</f>
        <v>#VALUE!</v>
      </c>
      <c r="V51" s="19" t="e">
        <f>IF(Table39[[#This Row],[CODE]]=18, Table39[ [#This Row],[Account Deposit Amount] ]-Table39[ [#This Row],[Account Withdrawl Amount] ], )</f>
        <v>#VALUE!</v>
      </c>
    </row>
    <row r="52" spans="21:22" ht="12.6" thickBot="1">
      <c r="U52" s="17" t="e">
        <f>IF(Table39[[#This Row],[CODE]]=17, Table39[ [#This Row],[Account Deposit Amount] ]-Table39[ [#This Row],[Account Withdrawl Amount] ], )</f>
        <v>#VALUE!</v>
      </c>
      <c r="V52" s="19" t="e">
        <f>IF(Table39[[#This Row],[CODE]]=18, Table39[ [#This Row],[Account Deposit Amount] ]-Table39[ [#This Row],[Account Withdrawl Amount] ], )</f>
        <v>#VALUE!</v>
      </c>
    </row>
    <row r="53" spans="21:22" ht="12.6" thickBot="1">
      <c r="U53" s="17" t="e">
        <f>IF(Table39[[#This Row],[CODE]]=17, Table39[ [#This Row],[Account Deposit Amount] ]-Table39[ [#This Row],[Account Withdrawl Amount] ], )</f>
        <v>#VALUE!</v>
      </c>
      <c r="V53" s="19" t="e">
        <f>IF(Table39[[#This Row],[CODE]]=18, Table39[ [#This Row],[Account Deposit Amount] ]-Table39[ [#This Row],[Account Withdrawl Amount] ], )</f>
        <v>#VALUE!</v>
      </c>
    </row>
    <row r="54" spans="21:22" ht="12.6" thickBot="1">
      <c r="U54" s="17" t="e">
        <f>IF(Table39[[#This Row],[CODE]]=17, Table39[ [#This Row],[Account Deposit Amount] ]-Table39[ [#This Row],[Account Withdrawl Amount] ], )</f>
        <v>#VALUE!</v>
      </c>
      <c r="V54" s="19" t="e">
        <f>IF(Table39[[#This Row],[CODE]]=18, Table39[ [#This Row],[Account Deposit Amount] ]-Table39[ [#This Row],[Account Withdrawl Amount] ], )</f>
        <v>#VALUE!</v>
      </c>
    </row>
    <row r="55" spans="21:22" ht="12.6" thickBot="1">
      <c r="U55" s="17" t="e">
        <f>IF(Table39[[#This Row],[CODE]]=17, Table39[ [#This Row],[Account Deposit Amount] ]-Table39[ [#This Row],[Account Withdrawl Amount] ], )</f>
        <v>#VALUE!</v>
      </c>
      <c r="V55" s="19" t="e">
        <f>IF(Table39[[#This Row],[CODE]]=18, Table39[ [#This Row],[Account Deposit Amount] ]-Table39[ [#This Row],[Account Withdrawl Amount] ], )</f>
        <v>#VALUE!</v>
      </c>
    </row>
    <row r="56" spans="21:22" ht="12.6" thickBot="1">
      <c r="U56" s="17" t="e">
        <f>IF(Table39[[#This Row],[CODE]]=17, Table39[ [#This Row],[Account Deposit Amount] ]-Table39[ [#This Row],[Account Withdrawl Amount] ], )</f>
        <v>#VALUE!</v>
      </c>
      <c r="V56" s="19" t="e">
        <f>IF(Table39[[#This Row],[CODE]]=18, Table39[ [#This Row],[Account Deposit Amount] ]-Table39[ [#This Row],[Account Withdrawl Amount] ], )</f>
        <v>#VALUE!</v>
      </c>
    </row>
    <row r="57" spans="21:22" ht="12.6" thickBot="1">
      <c r="U57" s="17" t="e">
        <f>IF(Table39[[#This Row],[CODE]]=17, Table39[ [#This Row],[Account Deposit Amount] ]-Table39[ [#This Row],[Account Withdrawl Amount] ], )</f>
        <v>#VALUE!</v>
      </c>
      <c r="V57" s="19" t="e">
        <f>IF(Table39[[#This Row],[CODE]]=18, Table39[ [#This Row],[Account Deposit Amount] ]-Table39[ [#This Row],[Account Withdrawl Amount] ], )</f>
        <v>#VALUE!</v>
      </c>
    </row>
    <row r="58" spans="21:22" ht="12.6" thickBot="1">
      <c r="U58" s="17" t="e">
        <f>IF(Table39[[#This Row],[CODE]]=17, Table39[ [#This Row],[Account Deposit Amount] ]-Table39[ [#This Row],[Account Withdrawl Amount] ], )</f>
        <v>#VALUE!</v>
      </c>
      <c r="V58" s="19" t="e">
        <f>IF(Table39[[#This Row],[CODE]]=18, Table39[ [#This Row],[Account Deposit Amount] ]-Table39[ [#This Row],[Account Withdrawl Amount] ], )</f>
        <v>#VALUE!</v>
      </c>
    </row>
    <row r="59" spans="21:22" ht="12.6" thickBot="1">
      <c r="U59" s="17" t="e">
        <f>IF(Table39[[#This Row],[CODE]]=17, Table39[ [#This Row],[Account Deposit Amount] ]-Table39[ [#This Row],[Account Withdrawl Amount] ], )</f>
        <v>#VALUE!</v>
      </c>
      <c r="V59" s="19" t="e">
        <f>IF(Table39[[#This Row],[CODE]]=18, Table39[ [#This Row],[Account Deposit Amount] ]-Table39[ [#This Row],[Account Withdrawl Amount] ], )</f>
        <v>#VALUE!</v>
      </c>
    </row>
    <row r="60" spans="21:22" ht="12.6" thickBot="1">
      <c r="U60" s="17" t="e">
        <f>IF(Table39[[#This Row],[CODE]]=17, Table39[ [#This Row],[Account Deposit Amount] ]-Table39[ [#This Row],[Account Withdrawl Amount] ], )</f>
        <v>#VALUE!</v>
      </c>
      <c r="V60" s="19" t="e">
        <f>IF(Table39[[#This Row],[CODE]]=18, Table39[ [#This Row],[Account Deposit Amount] ]-Table39[ [#This Row],[Account Withdrawl Amount] ], )</f>
        <v>#VALUE!</v>
      </c>
    </row>
    <row r="61" spans="21:22" ht="12.6" thickBot="1">
      <c r="U61" s="17" t="e">
        <f>IF(Table39[[#This Row],[CODE]]=17, Table39[ [#This Row],[Account Deposit Amount] ]-Table39[ [#This Row],[Account Withdrawl Amount] ], )</f>
        <v>#VALUE!</v>
      </c>
      <c r="V61" s="19" t="e">
        <f>IF(Table39[[#This Row],[CODE]]=18, Table39[ [#This Row],[Account Deposit Amount] ]-Table39[ [#This Row],[Account Withdrawl Amount] ], )</f>
        <v>#VALUE!</v>
      </c>
    </row>
    <row r="62" spans="21:22" ht="12.6" thickBot="1">
      <c r="U62" s="17" t="e">
        <f>IF(Table39[[#This Row],[CODE]]=17, Table39[ [#This Row],[Account Deposit Amount] ]-Table39[ [#This Row],[Account Withdrawl Amount] ], )</f>
        <v>#VALUE!</v>
      </c>
      <c r="V62" s="19" t="e">
        <f>IF(Table39[[#This Row],[CODE]]=18, Table39[ [#This Row],[Account Deposit Amount] ]-Table39[ [#This Row],[Account Withdrawl Amount] ], )</f>
        <v>#VALUE!</v>
      </c>
    </row>
    <row r="63" spans="21:22" ht="12.6" thickBot="1">
      <c r="U63" s="17" t="e">
        <f>IF(Table39[[#This Row],[CODE]]=17, Table39[ [#This Row],[Account Deposit Amount] ]-Table39[ [#This Row],[Account Withdrawl Amount] ], )</f>
        <v>#VALUE!</v>
      </c>
      <c r="V63" s="19" t="e">
        <f>IF(Table39[[#This Row],[CODE]]=18, Table39[ [#This Row],[Account Deposit Amount] ]-Table39[ [#This Row],[Account Withdrawl Amount] ], )</f>
        <v>#VALUE!</v>
      </c>
    </row>
    <row r="64" spans="21:22" ht="12.6" thickBot="1">
      <c r="U64" s="17" t="e">
        <f>IF(Table39[[#This Row],[CODE]]=17, Table39[ [#This Row],[Account Deposit Amount] ]-Table39[ [#This Row],[Account Withdrawl Amount] ], )</f>
        <v>#VALUE!</v>
      </c>
      <c r="V64" s="19" t="e">
        <f>IF(Table39[[#This Row],[CODE]]=18, Table39[ [#This Row],[Account Deposit Amount] ]-Table39[ [#This Row],[Account Withdrawl Amount] ], )</f>
        <v>#VALUE!</v>
      </c>
    </row>
    <row r="65" spans="21:22" ht="12.6" thickBot="1">
      <c r="U65" s="17" t="e">
        <f>IF(Table39[[#This Row],[CODE]]=17, Table39[ [#This Row],[Account Deposit Amount] ]-Table39[ [#This Row],[Account Withdrawl Amount] ], )</f>
        <v>#VALUE!</v>
      </c>
      <c r="V65" s="19" t="e">
        <f>IF(Table39[[#This Row],[CODE]]=18, Table39[ [#This Row],[Account Deposit Amount] ]-Table39[ [#This Row],[Account Withdrawl Amount] ], )</f>
        <v>#VALUE!</v>
      </c>
    </row>
    <row r="66" spans="21:22" ht="12.6" thickBot="1">
      <c r="U66" s="17" t="e">
        <f>IF(Table39[[#This Row],[CODE]]=17, Table39[ [#This Row],[Account Deposit Amount] ]-Table39[ [#This Row],[Account Withdrawl Amount] ], )</f>
        <v>#VALUE!</v>
      </c>
      <c r="V66" s="19" t="e">
        <f>IF(Table39[[#This Row],[CODE]]=18, Table39[ [#This Row],[Account Deposit Amount] ]-Table39[ [#This Row],[Account Withdrawl Amount] ], )</f>
        <v>#VALUE!</v>
      </c>
    </row>
    <row r="67" spans="21:22" ht="12.6" thickBot="1">
      <c r="U67" s="17" t="e">
        <f>IF(Table39[[#This Row],[CODE]]=17, Table39[ [#This Row],[Account Deposit Amount] ]-Table39[ [#This Row],[Account Withdrawl Amount] ], )</f>
        <v>#VALUE!</v>
      </c>
      <c r="V67" s="19" t="e">
        <f>IF(Table39[[#This Row],[CODE]]=18, Table39[ [#This Row],[Account Deposit Amount] ]-Table39[ [#This Row],[Account Withdrawl Amount] ], )</f>
        <v>#VALUE!</v>
      </c>
    </row>
    <row r="68" spans="21:22" ht="12.6" thickBot="1">
      <c r="U68" s="17" t="e">
        <f>IF(Table39[[#This Row],[CODE]]=17, Table39[ [#This Row],[Account Deposit Amount] ]-Table39[ [#This Row],[Account Withdrawl Amount] ], )</f>
        <v>#VALUE!</v>
      </c>
      <c r="V68" s="19" t="e">
        <f>IF(Table39[[#This Row],[CODE]]=18, Table39[ [#This Row],[Account Deposit Amount] ]-Table39[ [#This Row],[Account Withdrawl Amount] ], )</f>
        <v>#VALUE!</v>
      </c>
    </row>
    <row r="69" spans="21:22" ht="12.6" thickBot="1">
      <c r="U69" s="17" t="e">
        <f>IF(Table39[[#This Row],[CODE]]=17, Table39[ [#This Row],[Account Deposit Amount] ]-Table39[ [#This Row],[Account Withdrawl Amount] ], )</f>
        <v>#VALUE!</v>
      </c>
      <c r="V69" s="19" t="e">
        <f>IF(Table39[[#This Row],[CODE]]=18, Table39[ [#This Row],[Account Deposit Amount] ]-Table39[ [#This Row],[Account Withdrawl Amount] ], )</f>
        <v>#VALUE!</v>
      </c>
    </row>
    <row r="70" spans="21:22" ht="12.6" thickBot="1">
      <c r="U70" s="17" t="e">
        <f>IF(Table39[[#This Row],[CODE]]=17, Table39[ [#This Row],[Account Deposit Amount] ]-Table39[ [#This Row],[Account Withdrawl Amount] ], )</f>
        <v>#VALUE!</v>
      </c>
      <c r="V70" s="19" t="e">
        <f>IF(Table39[[#This Row],[CODE]]=18, Table39[ [#This Row],[Account Deposit Amount] ]-Table39[ [#This Row],[Account Withdrawl Amount] ], )</f>
        <v>#VALUE!</v>
      </c>
    </row>
    <row r="71" spans="21:22" ht="12.6" thickBot="1">
      <c r="U71" s="17" t="e">
        <f>IF(Table39[[#This Row],[CODE]]=17, Table39[ [#This Row],[Account Deposit Amount] ]-Table39[ [#This Row],[Account Withdrawl Amount] ], )</f>
        <v>#VALUE!</v>
      </c>
      <c r="V71" s="19" t="e">
        <f>IF(Table39[[#This Row],[CODE]]=18, Table39[ [#This Row],[Account Deposit Amount] ]-Table39[ [#This Row],[Account Withdrawl Amount] ], )</f>
        <v>#VALUE!</v>
      </c>
    </row>
    <row r="72" spans="21:22" ht="12.6" thickBot="1">
      <c r="U72" s="17" t="e">
        <f>IF(Table39[[#This Row],[CODE]]=17, Table39[ [#This Row],[Account Deposit Amount] ]-Table39[ [#This Row],[Account Withdrawl Amount] ], )</f>
        <v>#VALUE!</v>
      </c>
      <c r="V72" s="19" t="e">
        <f>IF(Table39[[#This Row],[CODE]]=18, Table39[ [#This Row],[Account Deposit Amount] ]-Table39[ [#This Row],[Account Withdrawl Amount] ], )</f>
        <v>#VALUE!</v>
      </c>
    </row>
    <row r="73" spans="21:22" ht="12.6" thickBot="1">
      <c r="U73" s="17" t="e">
        <f>IF(Table39[[#This Row],[CODE]]=17, Table39[ [#This Row],[Account Deposit Amount] ]-Table39[ [#This Row],[Account Withdrawl Amount] ], )</f>
        <v>#VALUE!</v>
      </c>
      <c r="V73" s="19" t="e">
        <f>IF(Table39[[#This Row],[CODE]]=18, Table39[ [#This Row],[Account Deposit Amount] ]-Table39[ [#This Row],[Account Withdrawl Amount] ], )</f>
        <v>#VALUE!</v>
      </c>
    </row>
    <row r="74" spans="21:22" ht="12.6" thickBot="1">
      <c r="U74" s="17" t="e">
        <f>IF(Table39[[#This Row],[CODE]]=17, Table39[ [#This Row],[Account Deposit Amount] ]-Table39[ [#This Row],[Account Withdrawl Amount] ], )</f>
        <v>#VALUE!</v>
      </c>
      <c r="V74" s="19" t="e">
        <f>IF(Table39[[#This Row],[CODE]]=18, Table39[ [#This Row],[Account Deposit Amount] ]-Table39[ [#This Row],[Account Withdrawl Amount] ], )</f>
        <v>#VALUE!</v>
      </c>
    </row>
    <row r="75" spans="21:22" ht="12.6" thickBot="1">
      <c r="U75" s="17" t="e">
        <f>IF(Table39[[#This Row],[CODE]]=17, Table39[ [#This Row],[Account Deposit Amount] ]-Table39[ [#This Row],[Account Withdrawl Amount] ], )</f>
        <v>#VALUE!</v>
      </c>
      <c r="V75" s="19" t="e">
        <f>IF(Table39[[#This Row],[CODE]]=18, Table39[ [#This Row],[Account Deposit Amount] ]-Table39[ [#This Row],[Account Withdrawl Amount] ], )</f>
        <v>#VALUE!</v>
      </c>
    </row>
    <row r="76" spans="21:22" ht="12.6" thickBot="1">
      <c r="U76" s="17" t="e">
        <f>IF(Table39[[#This Row],[CODE]]=17, Table39[ [#This Row],[Account Deposit Amount] ]-Table39[ [#This Row],[Account Withdrawl Amount] ], )</f>
        <v>#VALUE!</v>
      </c>
      <c r="V76" s="19" t="e">
        <f>IF(Table39[[#This Row],[CODE]]=18, Table39[ [#This Row],[Account Deposit Amount] ]-Table39[ [#This Row],[Account Withdrawl Amount] ], )</f>
        <v>#VALUE!</v>
      </c>
    </row>
    <row r="77" spans="21:22" ht="12.6" thickBot="1">
      <c r="U77" s="17" t="e">
        <f>IF(Table39[[#This Row],[CODE]]=17, Table39[ [#This Row],[Account Deposit Amount] ]-Table39[ [#This Row],[Account Withdrawl Amount] ], )</f>
        <v>#VALUE!</v>
      </c>
      <c r="V77" s="19" t="e">
        <f>IF(Table39[[#This Row],[CODE]]=18, Table39[ [#This Row],[Account Deposit Amount] ]-Table39[ [#This Row],[Account Withdrawl Amount] ], )</f>
        <v>#VALUE!</v>
      </c>
    </row>
    <row r="78" spans="21:22" ht="12.6" thickBot="1">
      <c r="U78" s="17" t="e">
        <f>IF(Table39[[#This Row],[CODE]]=17, Table39[ [#This Row],[Account Deposit Amount] ]-Table39[ [#This Row],[Account Withdrawl Amount] ], )</f>
        <v>#VALUE!</v>
      </c>
      <c r="V78" s="19" t="e">
        <f>IF(Table39[[#This Row],[CODE]]=18, Table39[ [#This Row],[Account Deposit Amount] ]-Table39[ [#This Row],[Account Withdrawl Amount] ], )</f>
        <v>#VALUE!</v>
      </c>
    </row>
    <row r="79" spans="21:22" ht="12.6" thickBot="1">
      <c r="U79" s="17" t="e">
        <f>IF(Table39[[#This Row],[CODE]]=17, Table39[ [#This Row],[Account Deposit Amount] ]-Table39[ [#This Row],[Account Withdrawl Amount] ], )</f>
        <v>#VALUE!</v>
      </c>
      <c r="V79" s="19" t="e">
        <f>IF(Table39[[#This Row],[CODE]]=18, Table39[ [#This Row],[Account Deposit Amount] ]-Table39[ [#This Row],[Account Withdrawl Amount] ], )</f>
        <v>#VALUE!</v>
      </c>
    </row>
    <row r="80" spans="21:22" ht="12.6" thickBot="1">
      <c r="U80" s="17" t="e">
        <f>IF(Table39[[#This Row],[CODE]]=17, Table39[ [#This Row],[Account Deposit Amount] ]-Table39[ [#This Row],[Account Withdrawl Amount] ], )</f>
        <v>#VALUE!</v>
      </c>
      <c r="V80" s="19" t="e">
        <f>IF(Table39[[#This Row],[CODE]]=18, Table39[ [#This Row],[Account Deposit Amount] ]-Table39[ [#This Row],[Account Withdrawl Amount] ], )</f>
        <v>#VALUE!</v>
      </c>
    </row>
    <row r="81" spans="21:22" ht="12.6" thickBot="1">
      <c r="U81" s="17" t="e">
        <f>IF(Table39[[#This Row],[CODE]]=17, Table39[ [#This Row],[Account Deposit Amount] ]-Table39[ [#This Row],[Account Withdrawl Amount] ], )</f>
        <v>#VALUE!</v>
      </c>
      <c r="V81" s="19" t="e">
        <f>IF(Table39[[#This Row],[CODE]]=18, Table39[ [#This Row],[Account Deposit Amount] ]-Table39[ [#This Row],[Account Withdrawl Amount] ], )</f>
        <v>#VALUE!</v>
      </c>
    </row>
    <row r="82" spans="21:22" ht="12.6" thickBot="1">
      <c r="U82" s="17" t="e">
        <f>IF(Table39[[#This Row],[CODE]]=17, Table39[ [#This Row],[Account Deposit Amount] ]-Table39[ [#This Row],[Account Withdrawl Amount] ], )</f>
        <v>#VALUE!</v>
      </c>
      <c r="V82" s="19" t="e">
        <f>IF(Table39[[#This Row],[CODE]]=18, Table39[ [#This Row],[Account Deposit Amount] ]-Table39[ [#This Row],[Account Withdrawl Amount] ], )</f>
        <v>#VALUE!</v>
      </c>
    </row>
    <row r="83" spans="21:22" ht="12.6" thickBot="1">
      <c r="U83" s="17" t="e">
        <f>IF(Table39[[#This Row],[CODE]]=17, Table39[ [#This Row],[Account Deposit Amount] ]-Table39[ [#This Row],[Account Withdrawl Amount] ], )</f>
        <v>#VALUE!</v>
      </c>
      <c r="V83" s="19" t="e">
        <f>IF(Table39[[#This Row],[CODE]]=18, Table39[ [#This Row],[Account Deposit Amount] ]-Table39[ [#This Row],[Account Withdrawl Amount] ], )</f>
        <v>#VALUE!</v>
      </c>
    </row>
    <row r="84" spans="21:22" ht="12.6" thickBot="1">
      <c r="U84" s="17" t="e">
        <f>IF(Table39[[#This Row],[CODE]]=17, Table39[ [#This Row],[Account Deposit Amount] ]-Table39[ [#This Row],[Account Withdrawl Amount] ], )</f>
        <v>#VALUE!</v>
      </c>
      <c r="V84" s="19" t="e">
        <f>IF(Table39[[#This Row],[CODE]]=18, Table39[ [#This Row],[Account Deposit Amount] ]-Table39[ [#This Row],[Account Withdrawl Amount] ], )</f>
        <v>#VALUE!</v>
      </c>
    </row>
    <row r="85" spans="21:22" ht="12.6" thickBot="1">
      <c r="U85" s="17" t="e">
        <f>IF(Table39[[#This Row],[CODE]]=17, Table39[ [#This Row],[Account Deposit Amount] ]-Table39[ [#This Row],[Account Withdrawl Amount] ], )</f>
        <v>#VALUE!</v>
      </c>
      <c r="V85" s="19" t="e">
        <f>IF(Table39[[#This Row],[CODE]]=18, Table39[ [#This Row],[Account Deposit Amount] ]-Table39[ [#This Row],[Account Withdrawl Amount] ], )</f>
        <v>#VALUE!</v>
      </c>
    </row>
    <row r="86" spans="21:22" ht="12.6" thickBot="1">
      <c r="U86" s="17" t="e">
        <f>IF(Table39[[#This Row],[CODE]]=17, Table39[ [#This Row],[Account Deposit Amount] ]-Table39[ [#This Row],[Account Withdrawl Amount] ], )</f>
        <v>#VALUE!</v>
      </c>
      <c r="V86" s="19" t="e">
        <f>IF(Table39[[#This Row],[CODE]]=18, Table39[ [#This Row],[Account Deposit Amount] ]-Table39[ [#This Row],[Account Withdrawl Amount] ], )</f>
        <v>#VALUE!</v>
      </c>
    </row>
    <row r="87" spans="21:22" ht="12.6" thickBot="1">
      <c r="U87" s="17" t="e">
        <f>IF(Table39[[#This Row],[CODE]]=17, Table39[ [#This Row],[Account Deposit Amount] ]-Table39[ [#This Row],[Account Withdrawl Amount] ], )</f>
        <v>#VALUE!</v>
      </c>
      <c r="V87" s="19" t="e">
        <f>IF(Table39[[#This Row],[CODE]]=18, Table39[ [#This Row],[Account Deposit Amount] ]-Table39[ [#This Row],[Account Withdrawl Amount] ], )</f>
        <v>#VALUE!</v>
      </c>
    </row>
    <row r="88" spans="21:22" ht="12.6" thickBot="1">
      <c r="U88" s="17" t="e">
        <f>IF(Table39[[#This Row],[CODE]]=17, Table39[ [#This Row],[Account Deposit Amount] ]-Table39[ [#This Row],[Account Withdrawl Amount] ], )</f>
        <v>#VALUE!</v>
      </c>
      <c r="V88" s="19" t="e">
        <f>IF(Table39[[#This Row],[CODE]]=18, Table39[ [#This Row],[Account Deposit Amount] ]-Table39[ [#This Row],[Account Withdrawl Amount] ], )</f>
        <v>#VALUE!</v>
      </c>
    </row>
    <row r="89" spans="21:22" ht="12.6" thickBot="1">
      <c r="U89" s="17" t="e">
        <f>IF(Table39[[#This Row],[CODE]]=17, Table39[ [#This Row],[Account Deposit Amount] ]-Table39[ [#This Row],[Account Withdrawl Amount] ], )</f>
        <v>#VALUE!</v>
      </c>
      <c r="V89" s="19" t="e">
        <f>IF(Table39[[#This Row],[CODE]]=18, Table39[ [#This Row],[Account Deposit Amount] ]-Table39[ [#This Row],[Account Withdrawl Amount] ], )</f>
        <v>#VALUE!</v>
      </c>
    </row>
    <row r="90" spans="21:22" ht="12.6" thickBot="1">
      <c r="U90" s="17" t="e">
        <f>IF(Table39[[#This Row],[CODE]]=17, Table39[ [#This Row],[Account Deposit Amount] ]-Table39[ [#This Row],[Account Withdrawl Amount] ], )</f>
        <v>#VALUE!</v>
      </c>
      <c r="V90" s="19" t="e">
        <f>IF(Table39[[#This Row],[CODE]]=18, Table39[ [#This Row],[Account Deposit Amount] ]-Table39[ [#This Row],[Account Withdrawl Amount] ], )</f>
        <v>#VALUE!</v>
      </c>
    </row>
    <row r="91" spans="21:22" ht="12.6" thickBot="1">
      <c r="U91" s="17" t="e">
        <f>IF(Table39[[#This Row],[CODE]]=17, Table39[ [#This Row],[Account Deposit Amount] ]-Table39[ [#This Row],[Account Withdrawl Amount] ], )</f>
        <v>#VALUE!</v>
      </c>
      <c r="V91" s="19" t="e">
        <f>IF(Table39[[#This Row],[CODE]]=18, Table39[ [#This Row],[Account Deposit Amount] ]-Table39[ [#This Row],[Account Withdrawl Amount] ], )</f>
        <v>#VALUE!</v>
      </c>
    </row>
    <row r="92" spans="21:22" ht="12.6" thickBot="1">
      <c r="U92" s="17" t="e">
        <f>IF(Table39[[#This Row],[CODE]]=17, Table39[ [#This Row],[Account Deposit Amount] ]-Table39[ [#This Row],[Account Withdrawl Amount] ], )</f>
        <v>#VALUE!</v>
      </c>
      <c r="V92" s="19" t="e">
        <f>IF(Table39[[#This Row],[CODE]]=18, Table39[ [#This Row],[Account Deposit Amount] ]-Table39[ [#This Row],[Account Withdrawl Amount] ], )</f>
        <v>#VALUE!</v>
      </c>
    </row>
    <row r="93" spans="21:22" ht="12.6" thickBot="1">
      <c r="U93" s="17" t="e">
        <f>IF(Table39[[#This Row],[CODE]]=17, Table39[ [#This Row],[Account Deposit Amount] ]-Table39[ [#This Row],[Account Withdrawl Amount] ], )</f>
        <v>#VALUE!</v>
      </c>
      <c r="V93" s="19" t="e">
        <f>IF(Table39[[#This Row],[CODE]]=18, Table39[ [#This Row],[Account Deposit Amount] ]-Table39[ [#This Row],[Account Withdrawl Amount] ], )</f>
        <v>#VALUE!</v>
      </c>
    </row>
    <row r="94" spans="21:22" ht="12.6" thickBot="1">
      <c r="U94" s="17" t="e">
        <f>IF(Table39[[#This Row],[CODE]]=17, Table39[ [#This Row],[Account Deposit Amount] ]-Table39[ [#This Row],[Account Withdrawl Amount] ], )</f>
        <v>#VALUE!</v>
      </c>
      <c r="V94" s="19" t="e">
        <f>IF(Table39[[#This Row],[CODE]]=18, Table39[ [#This Row],[Account Deposit Amount] ]-Table39[ [#This Row],[Account Withdrawl Amount] ], )</f>
        <v>#VALUE!</v>
      </c>
    </row>
    <row r="95" spans="21:22" ht="12.6" thickBot="1">
      <c r="U95" s="17" t="e">
        <f>IF(Table39[[#This Row],[CODE]]=17, Table39[ [#This Row],[Account Deposit Amount] ]-Table39[ [#This Row],[Account Withdrawl Amount] ], )</f>
        <v>#VALUE!</v>
      </c>
      <c r="V95" s="19" t="e">
        <f>IF(Table39[[#This Row],[CODE]]=18, Table39[ [#This Row],[Account Deposit Amount] ]-Table39[ [#This Row],[Account Withdrawl Amount] ], )</f>
        <v>#VALUE!</v>
      </c>
    </row>
    <row r="96" spans="21:22" ht="12.6" thickBot="1">
      <c r="U96" s="17" t="e">
        <f>IF(Table39[[#This Row],[CODE]]=17, Table39[ [#This Row],[Account Deposit Amount] ]-Table39[ [#This Row],[Account Withdrawl Amount] ], )</f>
        <v>#VALUE!</v>
      </c>
      <c r="V96" s="19" t="e">
        <f>IF(Table39[[#This Row],[CODE]]=18, Table39[ [#This Row],[Account Deposit Amount] ]-Table39[ [#This Row],[Account Withdrawl Amount] ], )</f>
        <v>#VALUE!</v>
      </c>
    </row>
    <row r="97" spans="21:22" ht="12.6" thickBot="1">
      <c r="U97" s="17" t="e">
        <f>IF(Table39[[#This Row],[CODE]]=17, Table39[ [#This Row],[Account Deposit Amount] ]-Table39[ [#This Row],[Account Withdrawl Amount] ], )</f>
        <v>#VALUE!</v>
      </c>
      <c r="V97" s="19" t="e">
        <f>IF(Table39[[#This Row],[CODE]]=18, Table39[ [#This Row],[Account Deposit Amount] ]-Table39[ [#This Row],[Account Withdrawl Amount] ], )</f>
        <v>#VALUE!</v>
      </c>
    </row>
    <row r="98" spans="21:22" ht="12.6" thickBot="1">
      <c r="U98" s="17" t="e">
        <f>IF(Table39[[#This Row],[CODE]]=17, Table39[ [#This Row],[Account Deposit Amount] ]-Table39[ [#This Row],[Account Withdrawl Amount] ], )</f>
        <v>#VALUE!</v>
      </c>
      <c r="V98" s="19" t="e">
        <f>IF(Table39[[#This Row],[CODE]]=18, Table39[ [#This Row],[Account Deposit Amount] ]-Table39[ [#This Row],[Account Withdrawl Amount] ], )</f>
        <v>#VALUE!</v>
      </c>
    </row>
    <row r="99" spans="21:22" ht="12.6" thickBot="1">
      <c r="U99" s="17" t="e">
        <f>IF(Table39[[#This Row],[CODE]]=17, Table39[ [#This Row],[Account Deposit Amount] ]-Table39[ [#This Row],[Account Withdrawl Amount] ], )</f>
        <v>#VALUE!</v>
      </c>
      <c r="V99" s="19" t="e">
        <f>IF(Table39[[#This Row],[CODE]]=18, Table39[ [#This Row],[Account Deposit Amount] ]-Table39[ [#This Row],[Account Withdrawl Amount] ], )</f>
        <v>#VALUE!</v>
      </c>
    </row>
    <row r="100" spans="21:22" ht="12.6" thickBot="1">
      <c r="U100" s="17" t="e">
        <f>IF(Table39[[#This Row],[CODE]]=17, Table39[ [#This Row],[Account Deposit Amount] ]-Table39[ [#This Row],[Account Withdrawl Amount] ], )</f>
        <v>#VALUE!</v>
      </c>
      <c r="V100" s="19" t="e">
        <f>IF(Table39[[#This Row],[CODE]]=18, Table39[ [#This Row],[Account Deposit Amount] ]-Table39[ [#This Row],[Account Withdrawl Amount] ], )</f>
        <v>#VALUE!</v>
      </c>
    </row>
    <row r="101" spans="21:22" ht="12.6" thickBot="1">
      <c r="U101" s="17" t="e">
        <f>IF(Table39[[#This Row],[CODE]]=17, Table39[ [#This Row],[Account Deposit Amount] ]-Table39[ [#This Row],[Account Withdrawl Amount] ], )</f>
        <v>#VALUE!</v>
      </c>
      <c r="V101" s="19" t="e">
        <f>IF(Table39[[#This Row],[CODE]]=18, Table39[ [#This Row],[Account Deposit Amount] ]-Table39[ [#This Row],[Account Withdrawl Amount] ], )</f>
        <v>#VALUE!</v>
      </c>
    </row>
    <row r="102" spans="21:22" ht="12.6" thickBot="1">
      <c r="U102" s="17" t="e">
        <f>IF(Table39[[#This Row],[CODE]]=17, Table39[ [#This Row],[Account Deposit Amount] ]-Table39[ [#This Row],[Account Withdrawl Amount] ], )</f>
        <v>#VALUE!</v>
      </c>
      <c r="V102" s="19" t="e">
        <f>IF(Table39[[#This Row],[CODE]]=18, Table39[ [#This Row],[Account Deposit Amount] ]-Table39[ [#This Row],[Account Withdrawl Amount] ], )</f>
        <v>#VALUE!</v>
      </c>
    </row>
    <row r="103" spans="21:22" ht="12.6" thickBot="1">
      <c r="U103" s="17" t="e">
        <f>IF(Table39[[#This Row],[CODE]]=17, Table39[ [#This Row],[Account Deposit Amount] ]-Table39[ [#This Row],[Account Withdrawl Amount] ], )</f>
        <v>#VALUE!</v>
      </c>
      <c r="V103" s="19" t="e">
        <f>IF(Table39[[#This Row],[CODE]]=18, Table39[ [#This Row],[Account Deposit Amount] ]-Table39[ [#This Row],[Account Withdrawl Amount] ], )</f>
        <v>#VALUE!</v>
      </c>
    </row>
    <row r="104" spans="21:22" ht="12.6" thickBot="1">
      <c r="U104" s="17" t="e">
        <f>IF(Table39[[#This Row],[CODE]]=17, Table39[ [#This Row],[Account Deposit Amount] ]-Table39[ [#This Row],[Account Withdrawl Amount] ], )</f>
        <v>#VALUE!</v>
      </c>
      <c r="V104" s="19" t="e">
        <f>IF(Table39[[#This Row],[CODE]]=18, Table39[ [#This Row],[Account Deposit Amount] ]-Table39[ [#This Row],[Account Withdrawl Amount] ], )</f>
        <v>#VALUE!</v>
      </c>
    </row>
    <row r="105" spans="21:22" ht="12.6" thickBot="1">
      <c r="U105" s="17" t="e">
        <f>IF(Table39[[#This Row],[CODE]]=17, Table39[ [#This Row],[Account Deposit Amount] ]-Table39[ [#This Row],[Account Withdrawl Amount] ], )</f>
        <v>#VALUE!</v>
      </c>
      <c r="V105" s="19" t="e">
        <f>IF(Table39[[#This Row],[CODE]]=18, Table39[ [#This Row],[Account Deposit Amount] ]-Table39[ [#This Row],[Account Withdrawl Amount] ], )</f>
        <v>#VALUE!</v>
      </c>
    </row>
    <row r="106" spans="21:22" ht="12.6" thickBot="1">
      <c r="U106" s="17" t="e">
        <f>IF(Table39[[#This Row],[CODE]]=17, Table39[ [#This Row],[Account Deposit Amount] ]-Table39[ [#This Row],[Account Withdrawl Amount] ], )</f>
        <v>#VALUE!</v>
      </c>
      <c r="V106" s="19" t="e">
        <f>IF(Table39[[#This Row],[CODE]]=18, Table39[ [#This Row],[Account Deposit Amount] ]-Table39[ [#This Row],[Account Withdrawl Amount] ], )</f>
        <v>#VALUE!</v>
      </c>
    </row>
    <row r="107" spans="21:22" ht="12.6" thickBot="1">
      <c r="U107" s="17" t="e">
        <f>IF(Table39[[#This Row],[CODE]]=17, Table39[ [#This Row],[Account Deposit Amount] ]-Table39[ [#This Row],[Account Withdrawl Amount] ], )</f>
        <v>#VALUE!</v>
      </c>
      <c r="V107" s="19" t="e">
        <f>IF(Table39[[#This Row],[CODE]]=18, Table39[ [#This Row],[Account Deposit Amount] ]-Table39[ [#This Row],[Account Withdrawl Amount] ], )</f>
        <v>#VALUE!</v>
      </c>
    </row>
    <row r="108" spans="21:22" ht="12.6" thickBot="1">
      <c r="U108" s="17" t="e">
        <f>IF(Table39[[#This Row],[CODE]]=17, Table39[ [#This Row],[Account Deposit Amount] ]-Table39[ [#This Row],[Account Withdrawl Amount] ], )</f>
        <v>#VALUE!</v>
      </c>
      <c r="V108" s="19" t="e">
        <f>IF(Table39[[#This Row],[CODE]]=18, Table39[ [#This Row],[Account Deposit Amount] ]-Table39[ [#This Row],[Account Withdrawl Amount] ], )</f>
        <v>#VALUE!</v>
      </c>
    </row>
    <row r="109" spans="21:22" ht="12.6" thickBot="1">
      <c r="U109" s="17" t="e">
        <f>IF(Table39[[#This Row],[CODE]]=17, Table39[ [#This Row],[Account Deposit Amount] ]-Table39[ [#This Row],[Account Withdrawl Amount] ], )</f>
        <v>#VALUE!</v>
      </c>
      <c r="V109" s="19" t="e">
        <f>IF(Table39[[#This Row],[CODE]]=18, Table39[ [#This Row],[Account Deposit Amount] ]-Table39[ [#This Row],[Account Withdrawl Amount] ], )</f>
        <v>#VALUE!</v>
      </c>
    </row>
    <row r="110" spans="21:22" ht="12.6" thickBot="1">
      <c r="U110" s="17" t="e">
        <f>IF(Table39[[#This Row],[CODE]]=17, Table39[ [#This Row],[Account Deposit Amount] ]-Table39[ [#This Row],[Account Withdrawl Amount] ], )</f>
        <v>#VALUE!</v>
      </c>
      <c r="V110" s="19" t="e">
        <f>IF(Table39[[#This Row],[CODE]]=18, Table39[ [#This Row],[Account Deposit Amount] ]-Table39[ [#This Row],[Account Withdrawl Amount] ], )</f>
        <v>#VALUE!</v>
      </c>
    </row>
    <row r="111" spans="21:22" ht="12.6" thickBot="1">
      <c r="U111" s="17" t="e">
        <f>IF(Table39[[#This Row],[CODE]]=17, Table39[ [#This Row],[Account Deposit Amount] ]-Table39[ [#This Row],[Account Withdrawl Amount] ], )</f>
        <v>#VALUE!</v>
      </c>
      <c r="V111" s="19" t="e">
        <f>IF(Table39[[#This Row],[CODE]]=18, Table39[ [#This Row],[Account Deposit Amount] ]-Table39[ [#This Row],[Account Withdrawl Amount] ], )</f>
        <v>#VALUE!</v>
      </c>
    </row>
    <row r="112" spans="21:22" ht="12.6" thickBot="1">
      <c r="U112" s="17" t="e">
        <f>IF(Table39[[#This Row],[CODE]]=17, Table39[ [#This Row],[Account Deposit Amount] ]-Table39[ [#This Row],[Account Withdrawl Amount] ], )</f>
        <v>#VALUE!</v>
      </c>
      <c r="V112" s="19" t="e">
        <f>IF(Table39[[#This Row],[CODE]]=18, Table39[ [#This Row],[Account Deposit Amount] ]-Table39[ [#This Row],[Account Withdrawl Amount] ], )</f>
        <v>#VALUE!</v>
      </c>
    </row>
    <row r="113" spans="21:22" ht="12.6" thickBot="1">
      <c r="U113" s="17" t="e">
        <f>IF(Table39[[#This Row],[CODE]]=17, Table39[ [#This Row],[Account Deposit Amount] ]-Table39[ [#This Row],[Account Withdrawl Amount] ], )</f>
        <v>#VALUE!</v>
      </c>
      <c r="V113" s="19" t="e">
        <f>IF(Table39[[#This Row],[CODE]]=18, Table39[ [#This Row],[Account Deposit Amount] ]-Table39[ [#This Row],[Account Withdrawl Amount] ], )</f>
        <v>#VALUE!</v>
      </c>
    </row>
    <row r="114" spans="21:22" ht="12.6" thickBot="1">
      <c r="U114" s="17" t="e">
        <f>IF(Table39[[#This Row],[CODE]]=17, Table39[ [#This Row],[Account Deposit Amount] ]-Table39[ [#This Row],[Account Withdrawl Amount] ], )</f>
        <v>#VALUE!</v>
      </c>
      <c r="V114" s="19" t="e">
        <f>IF(Table39[[#This Row],[CODE]]=18, Table39[ [#This Row],[Account Deposit Amount] ]-Table39[ [#This Row],[Account Withdrawl Amount] ], )</f>
        <v>#VALUE!</v>
      </c>
    </row>
    <row r="115" spans="21:22" ht="12.6" thickBot="1">
      <c r="U115" s="17" t="e">
        <f>IF(Table39[[#This Row],[CODE]]=17, Table39[ [#This Row],[Account Deposit Amount] ]-Table39[ [#This Row],[Account Withdrawl Amount] ], )</f>
        <v>#VALUE!</v>
      </c>
      <c r="V115" s="19" t="e">
        <f>IF(Table39[[#This Row],[CODE]]=18, Table39[ [#This Row],[Account Deposit Amount] ]-Table39[ [#This Row],[Account Withdrawl Amount] ], )</f>
        <v>#VALUE!</v>
      </c>
    </row>
    <row r="116" spans="21:22" ht="12.6" thickBot="1">
      <c r="U116" s="17" t="e">
        <f>IF(Table39[[#This Row],[CODE]]=17, Table39[ [#This Row],[Account Deposit Amount] ]-Table39[ [#This Row],[Account Withdrawl Amount] ], )</f>
        <v>#VALUE!</v>
      </c>
      <c r="V116" s="19" t="e">
        <f>IF(Table39[[#This Row],[CODE]]=18, Table39[ [#This Row],[Account Deposit Amount] ]-Table39[ [#This Row],[Account Withdrawl Amount] ], )</f>
        <v>#VALUE!</v>
      </c>
    </row>
    <row r="117" spans="21:22" ht="12.6" thickBot="1">
      <c r="U117" s="17" t="e">
        <f>IF(Table39[[#This Row],[CODE]]=17, Table39[ [#This Row],[Account Deposit Amount] ]-Table39[ [#This Row],[Account Withdrawl Amount] ], )</f>
        <v>#VALUE!</v>
      </c>
      <c r="V117" s="19" t="e">
        <f>IF(Table39[[#This Row],[CODE]]=18, Table39[ [#This Row],[Account Deposit Amount] ]-Table39[ [#This Row],[Account Withdrawl Amount] ], )</f>
        <v>#VALUE!</v>
      </c>
    </row>
    <row r="118" spans="21:22" ht="12.6" thickBot="1">
      <c r="U118" s="17" t="e">
        <f>IF(Table39[[#This Row],[CODE]]=17, Table39[ [#This Row],[Account Deposit Amount] ]-Table39[ [#This Row],[Account Withdrawl Amount] ], )</f>
        <v>#VALUE!</v>
      </c>
      <c r="V118" s="19" t="e">
        <f>IF(Table39[[#This Row],[CODE]]=18, Table39[ [#This Row],[Account Deposit Amount] ]-Table39[ [#This Row],[Account Withdrawl Amount] ], )</f>
        <v>#VALUE!</v>
      </c>
    </row>
    <row r="119" spans="21:22" ht="12.6" thickBot="1">
      <c r="U119" s="17" t="e">
        <f>IF(Table39[[#This Row],[CODE]]=17, Table39[ [#This Row],[Account Deposit Amount] ]-Table39[ [#This Row],[Account Withdrawl Amount] ], )</f>
        <v>#VALUE!</v>
      </c>
      <c r="V119" s="19" t="e">
        <f>IF(Table39[[#This Row],[CODE]]=18, Table39[ [#This Row],[Account Deposit Amount] ]-Table39[ [#This Row],[Account Withdrawl Amount] ], )</f>
        <v>#VALUE!</v>
      </c>
    </row>
    <row r="120" spans="21:22" ht="12.6" thickBot="1">
      <c r="U120" s="17" t="e">
        <f>IF(Table39[[#This Row],[CODE]]=17, Table39[ [#This Row],[Account Deposit Amount] ]-Table39[ [#This Row],[Account Withdrawl Amount] ], )</f>
        <v>#VALUE!</v>
      </c>
      <c r="V120" s="19" t="e">
        <f>IF(Table39[[#This Row],[CODE]]=18, Table39[ [#This Row],[Account Deposit Amount] ]-Table39[ [#This Row],[Account Withdrawl Amount] ], )</f>
        <v>#VALUE!</v>
      </c>
    </row>
    <row r="121" spans="21:22" ht="12.6" thickBot="1">
      <c r="U121" s="17" t="e">
        <f>IF(Table39[[#This Row],[CODE]]=17, Table39[ [#This Row],[Account Deposit Amount] ]-Table39[ [#This Row],[Account Withdrawl Amount] ], )</f>
        <v>#VALUE!</v>
      </c>
      <c r="V121" s="19" t="e">
        <f>IF(Table39[[#This Row],[CODE]]=18, Table39[ [#This Row],[Account Deposit Amount] ]-Table39[ [#This Row],[Account Withdrawl Amount] ], )</f>
        <v>#VALUE!</v>
      </c>
    </row>
    <row r="122" spans="21:22" ht="12.6" thickBot="1">
      <c r="U122" s="17" t="e">
        <f>IF(Table39[[#This Row],[CODE]]=17, Table39[ [#This Row],[Account Deposit Amount] ]-Table39[ [#This Row],[Account Withdrawl Amount] ], )</f>
        <v>#VALUE!</v>
      </c>
      <c r="V122" s="19" t="e">
        <f>IF(Table39[[#This Row],[CODE]]=18, Table39[ [#This Row],[Account Deposit Amount] ]-Table39[ [#This Row],[Account Withdrawl Amount] ], )</f>
        <v>#VALUE!</v>
      </c>
    </row>
    <row r="123" spans="21:22" ht="12.6" thickBot="1">
      <c r="U123" s="17" t="e">
        <f>IF(Table39[[#This Row],[CODE]]=17, Table39[ [#This Row],[Account Deposit Amount] ]-Table39[ [#This Row],[Account Withdrawl Amount] ], )</f>
        <v>#VALUE!</v>
      </c>
      <c r="V123" s="19" t="e">
        <f>IF(Table39[[#This Row],[CODE]]=18, Table39[ [#This Row],[Account Deposit Amount] ]-Table39[ [#This Row],[Account Withdrawl Amount] ], )</f>
        <v>#VALUE!</v>
      </c>
    </row>
    <row r="124" spans="21:22" ht="12.6" thickBot="1">
      <c r="U124" s="17" t="e">
        <f>IF(Table39[[#This Row],[CODE]]=17, Table39[ [#This Row],[Account Deposit Amount] ]-Table39[ [#This Row],[Account Withdrawl Amount] ], )</f>
        <v>#VALUE!</v>
      </c>
      <c r="V124" s="19" t="e">
        <f>IF(Table39[[#This Row],[CODE]]=18, Table39[ [#This Row],[Account Deposit Amount] ]-Table39[ [#This Row],[Account Withdrawl Amount] ], )</f>
        <v>#VALUE!</v>
      </c>
    </row>
    <row r="125" spans="21:22" ht="12.6" thickBot="1">
      <c r="U125" s="17" t="e">
        <f>IF(Table39[[#This Row],[CODE]]=17, Table39[ [#This Row],[Account Deposit Amount] ]-Table39[ [#This Row],[Account Withdrawl Amount] ], )</f>
        <v>#VALUE!</v>
      </c>
      <c r="V125" s="19" t="e">
        <f>IF(Table39[[#This Row],[CODE]]=18, Table39[ [#This Row],[Account Deposit Amount] ]-Table39[ [#This Row],[Account Withdrawl Amount] ], )</f>
        <v>#VALUE!</v>
      </c>
    </row>
    <row r="126" spans="21:22" ht="12.6" thickBot="1">
      <c r="U126" s="17" t="e">
        <f>IF(Table39[[#This Row],[CODE]]=17, Table39[ [#This Row],[Account Deposit Amount] ]-Table39[ [#This Row],[Account Withdrawl Amount] ], )</f>
        <v>#VALUE!</v>
      </c>
      <c r="V126" s="19" t="e">
        <f>IF(Table39[[#This Row],[CODE]]=18, Table39[ [#This Row],[Account Deposit Amount] ]-Table39[ [#This Row],[Account Withdrawl Amount] ], )</f>
        <v>#VALUE!</v>
      </c>
    </row>
    <row r="127" spans="21:22" ht="12.6" thickBot="1">
      <c r="U127" s="17" t="e">
        <f>IF(Table39[[#This Row],[CODE]]=17, Table39[ [#This Row],[Account Deposit Amount] ]-Table39[ [#This Row],[Account Withdrawl Amount] ], )</f>
        <v>#VALUE!</v>
      </c>
      <c r="V127" s="19" t="e">
        <f>IF(Table39[[#This Row],[CODE]]=18, Table39[ [#This Row],[Account Deposit Amount] ]-Table39[ [#This Row],[Account Withdrawl Amount] ], )</f>
        <v>#VALUE!</v>
      </c>
    </row>
    <row r="128" spans="21:22" ht="12.6" thickBot="1">
      <c r="U128" s="17" t="e">
        <f>IF(Table39[[#This Row],[CODE]]=17, Table39[ [#This Row],[Account Deposit Amount] ]-Table39[ [#This Row],[Account Withdrawl Amount] ], )</f>
        <v>#VALUE!</v>
      </c>
      <c r="V128" s="19" t="e">
        <f>IF(Table39[[#This Row],[CODE]]=18, Table39[ [#This Row],[Account Deposit Amount] ]-Table39[ [#This Row],[Account Withdrawl Amount] ], )</f>
        <v>#VALUE!</v>
      </c>
    </row>
    <row r="129" spans="21:22" ht="12.6" thickBot="1">
      <c r="U129" s="17" t="e">
        <f>IF(Table39[[#This Row],[CODE]]=17, Table39[ [#This Row],[Account Deposit Amount] ]-Table39[ [#This Row],[Account Withdrawl Amount] ], )</f>
        <v>#VALUE!</v>
      </c>
      <c r="V129" s="19" t="e">
        <f>IF(Table39[[#This Row],[CODE]]=18, Table39[ [#This Row],[Account Deposit Amount] ]-Table39[ [#This Row],[Account Withdrawl Amount] ], )</f>
        <v>#VALUE!</v>
      </c>
    </row>
    <row r="130" spans="21:22" ht="12.6" thickBot="1">
      <c r="U130" s="17" t="e">
        <f>IF(Table39[[#This Row],[CODE]]=17, Table39[ [#This Row],[Account Deposit Amount] ]-Table39[ [#This Row],[Account Withdrawl Amount] ], )</f>
        <v>#VALUE!</v>
      </c>
      <c r="V130" s="19" t="e">
        <f>IF(Table39[[#This Row],[CODE]]=18, Table39[ [#This Row],[Account Deposit Amount] ]-Table39[ [#This Row],[Account Withdrawl Amount] ], )</f>
        <v>#VALUE!</v>
      </c>
    </row>
    <row r="131" spans="21:22" ht="12.6" thickBot="1">
      <c r="U131" s="17" t="e">
        <f>IF(Table39[[#This Row],[CODE]]=17, Table39[ [#This Row],[Account Deposit Amount] ]-Table39[ [#This Row],[Account Withdrawl Amount] ], )</f>
        <v>#VALUE!</v>
      </c>
      <c r="V131" s="19" t="e">
        <f>IF(Table39[[#This Row],[CODE]]=18, Table39[ [#This Row],[Account Deposit Amount] ]-Table39[ [#This Row],[Account Withdrawl Amount] ], )</f>
        <v>#VALUE!</v>
      </c>
    </row>
    <row r="132" spans="21:22" ht="12.6" thickBot="1">
      <c r="U132" s="17" t="e">
        <f>IF(Table39[[#This Row],[CODE]]=17, Table39[ [#This Row],[Account Deposit Amount] ]-Table39[ [#This Row],[Account Withdrawl Amount] ], )</f>
        <v>#VALUE!</v>
      </c>
      <c r="V132" s="19" t="e">
        <f>IF(Table39[[#This Row],[CODE]]=18, Table39[ [#This Row],[Account Deposit Amount] ]-Table39[ [#This Row],[Account Withdrawl Amount] ], )</f>
        <v>#VALUE!</v>
      </c>
    </row>
    <row r="133" spans="21:22" ht="12.6" thickBot="1">
      <c r="U133" s="17" t="e">
        <f>IF(Table39[[#This Row],[CODE]]=17, Table39[ [#This Row],[Account Deposit Amount] ]-Table39[ [#This Row],[Account Withdrawl Amount] ], )</f>
        <v>#VALUE!</v>
      </c>
      <c r="V133" s="19" t="e">
        <f>IF(Table39[[#This Row],[CODE]]=18, Table39[ [#This Row],[Account Deposit Amount] ]-Table39[ [#This Row],[Account Withdrawl Amount] ], )</f>
        <v>#VALUE!</v>
      </c>
    </row>
    <row r="134" spans="21:22" ht="12.6" thickBot="1">
      <c r="U134" s="17" t="e">
        <f>IF(Table39[[#This Row],[CODE]]=17, Table39[ [#This Row],[Account Deposit Amount] ]-Table39[ [#This Row],[Account Withdrawl Amount] ], )</f>
        <v>#VALUE!</v>
      </c>
      <c r="V134" s="19" t="e">
        <f>IF(Table39[[#This Row],[CODE]]=18, Table39[ [#This Row],[Account Deposit Amount] ]-Table39[ [#This Row],[Account Withdrawl Amount] ], )</f>
        <v>#VALUE!</v>
      </c>
    </row>
    <row r="135" spans="21:22" ht="12.6" thickBot="1">
      <c r="U135" s="17" t="e">
        <f>IF(Table39[[#This Row],[CODE]]=17, Table39[ [#This Row],[Account Deposit Amount] ]-Table39[ [#This Row],[Account Withdrawl Amount] ], )</f>
        <v>#VALUE!</v>
      </c>
      <c r="V135" s="19" t="e">
        <f>IF(Table39[[#This Row],[CODE]]=18, Table39[ [#This Row],[Account Deposit Amount] ]-Table39[ [#This Row],[Account Withdrawl Amount] ], )</f>
        <v>#VALUE!</v>
      </c>
    </row>
    <row r="136" spans="21:22" ht="12.6" thickBot="1">
      <c r="U136" s="17" t="e">
        <f>IF(Table39[[#This Row],[CODE]]=17, Table39[ [#This Row],[Account Deposit Amount] ]-Table39[ [#This Row],[Account Withdrawl Amount] ], )</f>
        <v>#VALUE!</v>
      </c>
      <c r="V136" s="19" t="e">
        <f>IF(Table39[[#This Row],[CODE]]=18, Table39[ [#This Row],[Account Deposit Amount] ]-Table39[ [#This Row],[Account Withdrawl Amount] ], )</f>
        <v>#VALUE!</v>
      </c>
    </row>
    <row r="137" spans="21:22" ht="12.6" thickBot="1">
      <c r="U137" s="17" t="e">
        <f>IF(Table39[[#This Row],[CODE]]=17, Table39[ [#This Row],[Account Deposit Amount] ]-Table39[ [#This Row],[Account Withdrawl Amount] ], )</f>
        <v>#VALUE!</v>
      </c>
      <c r="V137" s="19" t="e">
        <f>IF(Table39[[#This Row],[CODE]]=18, Table39[ [#This Row],[Account Deposit Amount] ]-Table39[ [#This Row],[Account Withdrawl Amount] ], )</f>
        <v>#VALUE!</v>
      </c>
    </row>
    <row r="138" spans="21:22" ht="12.6" thickBot="1">
      <c r="U138" s="17" t="e">
        <f>IF(Table39[[#This Row],[CODE]]=17, Table39[ [#This Row],[Account Deposit Amount] ]-Table39[ [#This Row],[Account Withdrawl Amount] ], )</f>
        <v>#VALUE!</v>
      </c>
      <c r="V138" s="19" t="e">
        <f>IF(Table39[[#This Row],[CODE]]=18, Table39[ [#This Row],[Account Deposit Amount] ]-Table39[ [#This Row],[Account Withdrawl Amount] ], )</f>
        <v>#VALUE!</v>
      </c>
    </row>
    <row r="139" spans="21:22" ht="12.6" thickBot="1">
      <c r="U139" s="17" t="e">
        <f>IF(Table39[[#This Row],[CODE]]=17, Table39[ [#This Row],[Account Deposit Amount] ]-Table39[ [#This Row],[Account Withdrawl Amount] ], )</f>
        <v>#VALUE!</v>
      </c>
      <c r="V139" s="19" t="e">
        <f>IF(Table39[[#This Row],[CODE]]=18, Table39[ [#This Row],[Account Deposit Amount] ]-Table39[ [#This Row],[Account Withdrawl Amount] ], )</f>
        <v>#VALUE!</v>
      </c>
    </row>
    <row r="140" spans="21:22" ht="12.6" thickBot="1">
      <c r="U140" s="17" t="e">
        <f>IF(Table39[[#This Row],[CODE]]=17, Table39[ [#This Row],[Account Deposit Amount] ]-Table39[ [#This Row],[Account Withdrawl Amount] ], )</f>
        <v>#VALUE!</v>
      </c>
      <c r="V140" s="19" t="e">
        <f>IF(Table39[[#This Row],[CODE]]=18, Table39[ [#This Row],[Account Deposit Amount] ]-Table39[ [#This Row],[Account Withdrawl Amount] ], )</f>
        <v>#VALUE!</v>
      </c>
    </row>
    <row r="141" spans="21:22" ht="12.6" thickBot="1">
      <c r="U141" s="17" t="e">
        <f>IF(Table39[[#This Row],[CODE]]=17, Table39[ [#This Row],[Account Deposit Amount] ]-Table39[ [#This Row],[Account Withdrawl Amount] ], )</f>
        <v>#VALUE!</v>
      </c>
      <c r="V141" s="19" t="e">
        <f>IF(Table39[[#This Row],[CODE]]=18, Table39[ [#This Row],[Account Deposit Amount] ]-Table39[ [#This Row],[Account Withdrawl Amount] ], )</f>
        <v>#VALUE!</v>
      </c>
    </row>
    <row r="142" spans="21:22" ht="12.6" thickBot="1">
      <c r="U142" s="17" t="e">
        <f>IF(Table39[[#This Row],[CODE]]=17, Table39[ [#This Row],[Account Deposit Amount] ]-Table39[ [#This Row],[Account Withdrawl Amount] ], )</f>
        <v>#VALUE!</v>
      </c>
      <c r="V142" s="19" t="e">
        <f>IF(Table39[[#This Row],[CODE]]=18, Table39[ [#This Row],[Account Deposit Amount] ]-Table39[ [#This Row],[Account Withdrawl Amount] ], )</f>
        <v>#VALUE!</v>
      </c>
    </row>
    <row r="143" spans="21:22" ht="12.6" thickBot="1">
      <c r="U143" s="17" t="e">
        <f>IF(Table39[[#This Row],[CODE]]=17, Table39[ [#This Row],[Account Deposit Amount] ]-Table39[ [#This Row],[Account Withdrawl Amount] ], )</f>
        <v>#VALUE!</v>
      </c>
      <c r="V143" s="19" t="e">
        <f>IF(Table39[[#This Row],[CODE]]=18, Table39[ [#This Row],[Account Deposit Amount] ]-Table39[ [#This Row],[Account Withdrawl Amount] ], )</f>
        <v>#VALUE!</v>
      </c>
    </row>
    <row r="144" spans="21:22" ht="12.6" thickBot="1">
      <c r="U144" s="17" t="e">
        <f>IF(Table39[[#This Row],[CODE]]=17, Table39[ [#This Row],[Account Deposit Amount] ]-Table39[ [#This Row],[Account Withdrawl Amount] ], )</f>
        <v>#VALUE!</v>
      </c>
      <c r="V144" s="19" t="e">
        <f>IF(Table39[[#This Row],[CODE]]=18, Table39[ [#This Row],[Account Deposit Amount] ]-Table39[ [#This Row],[Account Withdrawl Amount] ], )</f>
        <v>#VALUE!</v>
      </c>
    </row>
    <row r="145" spans="21:22" ht="12.6" thickBot="1">
      <c r="U145" s="17" t="e">
        <f>IF(Table39[[#This Row],[CODE]]=17, Table39[ [#This Row],[Account Deposit Amount] ]-Table39[ [#This Row],[Account Withdrawl Amount] ], )</f>
        <v>#VALUE!</v>
      </c>
      <c r="V145" s="19" t="e">
        <f>IF(Table39[[#This Row],[CODE]]=18, Table39[ [#This Row],[Account Deposit Amount] ]-Table39[ [#This Row],[Account Withdrawl Amount] ], )</f>
        <v>#VALUE!</v>
      </c>
    </row>
    <row r="146" spans="21:22" ht="12.6" thickBot="1">
      <c r="U146" s="17" t="e">
        <f>IF(Table39[[#This Row],[CODE]]=17, Table39[ [#This Row],[Account Deposit Amount] ]-Table39[ [#This Row],[Account Withdrawl Amount] ], )</f>
        <v>#VALUE!</v>
      </c>
      <c r="V146" s="19" t="e">
        <f>IF(Table39[[#This Row],[CODE]]=18, Table39[ [#This Row],[Account Deposit Amount] ]-Table39[ [#This Row],[Account Withdrawl Amount] ], )</f>
        <v>#VALUE!</v>
      </c>
    </row>
    <row r="147" spans="21:22" ht="12.6" thickBot="1">
      <c r="U147" s="17" t="e">
        <f>IF(Table39[[#This Row],[CODE]]=17, Table39[ [#This Row],[Account Deposit Amount] ]-Table39[ [#This Row],[Account Withdrawl Amount] ], )</f>
        <v>#VALUE!</v>
      </c>
      <c r="V147" s="19" t="e">
        <f>IF(Table39[[#This Row],[CODE]]=18, Table39[ [#This Row],[Account Deposit Amount] ]-Table39[ [#This Row],[Account Withdrawl Amount] ], )</f>
        <v>#VALUE!</v>
      </c>
    </row>
    <row r="148" spans="21:22" ht="12.6" thickBot="1">
      <c r="U148" s="17" t="e">
        <f>IF(Table39[[#This Row],[CODE]]=17, Table39[ [#This Row],[Account Deposit Amount] ]-Table39[ [#This Row],[Account Withdrawl Amount] ], )</f>
        <v>#VALUE!</v>
      </c>
      <c r="V148" s="19" t="e">
        <f>IF(Table39[[#This Row],[CODE]]=18, Table39[ [#This Row],[Account Deposit Amount] ]-Table39[ [#This Row],[Account Withdrawl Amount] ], )</f>
        <v>#VALUE!</v>
      </c>
    </row>
    <row r="149" spans="21:22" ht="12.6" thickBot="1">
      <c r="U149" s="17" t="e">
        <f>IF(Table39[[#This Row],[CODE]]=17, Table39[ [#This Row],[Account Deposit Amount] ]-Table39[ [#This Row],[Account Withdrawl Amount] ], )</f>
        <v>#VALUE!</v>
      </c>
      <c r="V149" s="19" t="e">
        <f>IF(Table39[[#This Row],[CODE]]=18, Table39[ [#This Row],[Account Deposit Amount] ]-Table39[ [#This Row],[Account Withdrawl Amount] ], )</f>
        <v>#VALUE!</v>
      </c>
    </row>
    <row r="150" spans="21:22" ht="12.6" thickBot="1">
      <c r="U150" s="17" t="e">
        <f>IF(Table39[[#This Row],[CODE]]=17, Table39[ [#This Row],[Account Deposit Amount] ]-Table39[ [#This Row],[Account Withdrawl Amount] ], )</f>
        <v>#VALUE!</v>
      </c>
      <c r="V150" s="19" t="e">
        <f>IF(Table39[[#This Row],[CODE]]=18, Table39[ [#This Row],[Account Deposit Amount] ]-Table39[ [#This Row],[Account Withdrawl Amount] ], )</f>
        <v>#VALUE!</v>
      </c>
    </row>
    <row r="151" spans="21:22" ht="12.6" thickBot="1">
      <c r="U151" s="17" t="e">
        <f>IF(Table39[[#This Row],[CODE]]=17, Table39[ [#This Row],[Account Deposit Amount] ]-Table39[ [#This Row],[Account Withdrawl Amount] ], )</f>
        <v>#VALUE!</v>
      </c>
      <c r="V151" s="19" t="e">
        <f>IF(Table39[[#This Row],[CODE]]=18, Table39[ [#This Row],[Account Deposit Amount] ]-Table39[ [#This Row],[Account Withdrawl Amount] ], )</f>
        <v>#VALUE!</v>
      </c>
    </row>
    <row r="152" spans="21:22" ht="12.6" thickBot="1">
      <c r="U152" s="17" t="e">
        <f>IF(Table39[[#This Row],[CODE]]=17, Table39[ [#This Row],[Account Deposit Amount] ]-Table39[ [#This Row],[Account Withdrawl Amount] ], )</f>
        <v>#VALUE!</v>
      </c>
      <c r="V152" s="19" t="e">
        <f>IF(Table39[[#This Row],[CODE]]=18, Table39[ [#This Row],[Account Deposit Amount] ]-Table39[ [#This Row],[Account Withdrawl Amount] ], )</f>
        <v>#VALUE!</v>
      </c>
    </row>
    <row r="153" spans="21:22" ht="12.6" thickBot="1">
      <c r="U153" s="17" t="e">
        <f>IF(Table39[[#This Row],[CODE]]=17, Table39[ [#This Row],[Account Deposit Amount] ]-Table39[ [#This Row],[Account Withdrawl Amount] ], )</f>
        <v>#VALUE!</v>
      </c>
      <c r="V153" s="19" t="e">
        <f>IF(Table39[[#This Row],[CODE]]=18, Table39[ [#This Row],[Account Deposit Amount] ]-Table39[ [#This Row],[Account Withdrawl Amount] ], )</f>
        <v>#VALUE!</v>
      </c>
    </row>
    <row r="154" spans="21:22" ht="12.6" thickBot="1">
      <c r="U154" s="17" t="e">
        <f>IF(Table39[[#This Row],[CODE]]=17, Table39[ [#This Row],[Account Deposit Amount] ]-Table39[ [#This Row],[Account Withdrawl Amount] ], )</f>
        <v>#VALUE!</v>
      </c>
      <c r="V154" s="19" t="e">
        <f>IF(Table39[[#This Row],[CODE]]=18, Table39[ [#This Row],[Account Deposit Amount] ]-Table39[ [#This Row],[Account Withdrawl Amount] ], )</f>
        <v>#VALUE!</v>
      </c>
    </row>
    <row r="155" spans="21:22" ht="12.6" thickBot="1">
      <c r="U155" s="17" t="e">
        <f>IF(Table39[[#This Row],[CODE]]=17, Table39[ [#This Row],[Account Deposit Amount] ]-Table39[ [#This Row],[Account Withdrawl Amount] ], )</f>
        <v>#VALUE!</v>
      </c>
      <c r="V155" s="19" t="e">
        <f>IF(Table39[[#This Row],[CODE]]=18, Table39[ [#This Row],[Account Deposit Amount] ]-Table39[ [#This Row],[Account Withdrawl Amount] ], )</f>
        <v>#VALUE!</v>
      </c>
    </row>
    <row r="156" spans="21:22" ht="12.6" thickBot="1">
      <c r="U156" s="17" t="e">
        <f>IF(Table39[[#This Row],[CODE]]=17, Table39[ [#This Row],[Account Deposit Amount] ]-Table39[ [#This Row],[Account Withdrawl Amount] ], )</f>
        <v>#VALUE!</v>
      </c>
      <c r="V156" s="19" t="e">
        <f>IF(Table39[[#This Row],[CODE]]=18, Table39[ [#This Row],[Account Deposit Amount] ]-Table39[ [#This Row],[Account Withdrawl Amount] ], )</f>
        <v>#VALUE!</v>
      </c>
    </row>
    <row r="157" spans="21:22" ht="12.6" thickBot="1">
      <c r="U157" s="17" t="e">
        <f>IF(Table39[[#This Row],[CODE]]=17, Table39[ [#This Row],[Account Deposit Amount] ]-Table39[ [#This Row],[Account Withdrawl Amount] ], )</f>
        <v>#VALUE!</v>
      </c>
      <c r="V157" s="19" t="e">
        <f>IF(Table39[[#This Row],[CODE]]=18, Table39[ [#This Row],[Account Deposit Amount] ]-Table39[ [#This Row],[Account Withdrawl Amount] ], )</f>
        <v>#VALUE!</v>
      </c>
    </row>
    <row r="158" spans="21:22" ht="12.6" thickBot="1">
      <c r="U158" s="17" t="e">
        <f>IF(Table39[[#This Row],[CODE]]=17, Table39[ [#This Row],[Account Deposit Amount] ]-Table39[ [#This Row],[Account Withdrawl Amount] ], )</f>
        <v>#VALUE!</v>
      </c>
      <c r="V158" s="19" t="e">
        <f>IF(Table39[[#This Row],[CODE]]=18, Table39[ [#This Row],[Account Deposit Amount] ]-Table39[ [#This Row],[Account Withdrawl Amount] ], )</f>
        <v>#VALUE!</v>
      </c>
    </row>
    <row r="159" spans="21:22" ht="12.6" thickBot="1">
      <c r="U159" s="17" t="e">
        <f>IF(Table39[[#This Row],[CODE]]=17, Table39[ [#This Row],[Account Deposit Amount] ]-Table39[ [#This Row],[Account Withdrawl Amount] ], )</f>
        <v>#VALUE!</v>
      </c>
      <c r="V159" s="19" t="e">
        <f>IF(Table39[[#This Row],[CODE]]=18, Table39[ [#This Row],[Account Deposit Amount] ]-Table39[ [#This Row],[Account Withdrawl Amount] ], )</f>
        <v>#VALUE!</v>
      </c>
    </row>
    <row r="160" spans="21:22" ht="12.6" thickBot="1">
      <c r="U160" s="17" t="e">
        <f>IF(Table39[[#This Row],[CODE]]=17, Table39[ [#This Row],[Account Deposit Amount] ]-Table39[ [#This Row],[Account Withdrawl Amount] ], )</f>
        <v>#VALUE!</v>
      </c>
      <c r="V160" s="19" t="e">
        <f>IF(Table39[[#This Row],[CODE]]=18, Table39[ [#This Row],[Account Deposit Amount] ]-Table39[ [#This Row],[Account Withdrawl Amount] ], )</f>
        <v>#VALUE!</v>
      </c>
    </row>
    <row r="161" spans="21:22" ht="12.6" thickBot="1">
      <c r="U161" s="17" t="e">
        <f>IF(Table39[[#This Row],[CODE]]=17, Table39[ [#This Row],[Account Deposit Amount] ]-Table39[ [#This Row],[Account Withdrawl Amount] ], )</f>
        <v>#VALUE!</v>
      </c>
      <c r="V161" s="19" t="e">
        <f>IF(Table39[[#This Row],[CODE]]=18, Table39[ [#This Row],[Account Deposit Amount] ]-Table39[ [#This Row],[Account Withdrawl Amount] ], )</f>
        <v>#VALUE!</v>
      </c>
    </row>
    <row r="162" spans="21:22" ht="12.6" thickBot="1">
      <c r="U162" s="17" t="e">
        <f>IF(Table39[[#This Row],[CODE]]=17, Table39[ [#This Row],[Account Deposit Amount] ]-Table39[ [#This Row],[Account Withdrawl Amount] ], )</f>
        <v>#VALUE!</v>
      </c>
      <c r="V162" s="19" t="e">
        <f>IF(Table39[[#This Row],[CODE]]=18, Table39[ [#This Row],[Account Deposit Amount] ]-Table39[ [#This Row],[Account Withdrawl Amount] ], )</f>
        <v>#VALUE!</v>
      </c>
    </row>
    <row r="163" spans="21:22" ht="12.6" thickBot="1">
      <c r="U163" s="17" t="e">
        <f>IF(Table39[[#This Row],[CODE]]=17, Table39[ [#This Row],[Account Deposit Amount] ]-Table39[ [#This Row],[Account Withdrawl Amount] ], )</f>
        <v>#VALUE!</v>
      </c>
      <c r="V163" s="19" t="e">
        <f>IF(Table39[[#This Row],[CODE]]=18, Table39[ [#This Row],[Account Deposit Amount] ]-Table39[ [#This Row],[Account Withdrawl Amount] ], )</f>
        <v>#VALUE!</v>
      </c>
    </row>
    <row r="164" spans="21:22" ht="12.6" thickBot="1">
      <c r="U164" s="17" t="e">
        <f>IF(Table39[[#This Row],[CODE]]=17, Table39[ [#This Row],[Account Deposit Amount] ]-Table39[ [#This Row],[Account Withdrawl Amount] ], )</f>
        <v>#VALUE!</v>
      </c>
      <c r="V164" s="19" t="e">
        <f>IF(Table39[[#This Row],[CODE]]=18, Table39[ [#This Row],[Account Deposit Amount] ]-Table39[ [#This Row],[Account Withdrawl Amount] ], )</f>
        <v>#VALUE!</v>
      </c>
    </row>
    <row r="165" spans="21:22" ht="12.6" thickBot="1">
      <c r="U165" s="17" t="e">
        <f>IF(Table39[[#This Row],[CODE]]=17, Table39[ [#This Row],[Account Deposit Amount] ]-Table39[ [#This Row],[Account Withdrawl Amount] ], )</f>
        <v>#VALUE!</v>
      </c>
      <c r="V165" s="19" t="e">
        <f>IF(Table39[[#This Row],[CODE]]=18, Table39[ [#This Row],[Account Deposit Amount] ]-Table39[ [#This Row],[Account Withdrawl Amount] ], )</f>
        <v>#VALUE!</v>
      </c>
    </row>
    <row r="166" spans="21:22" ht="12.6" thickBot="1">
      <c r="U166" s="17" t="e">
        <f>IF(Table39[[#This Row],[CODE]]=17, Table39[ [#This Row],[Account Deposit Amount] ]-Table39[ [#This Row],[Account Withdrawl Amount] ], )</f>
        <v>#VALUE!</v>
      </c>
      <c r="V166" s="19" t="e">
        <f>IF(Table39[[#This Row],[CODE]]=18, Table39[ [#This Row],[Account Deposit Amount] ]-Table39[ [#This Row],[Account Withdrawl Amount] ], )</f>
        <v>#VALUE!</v>
      </c>
    </row>
    <row r="167" spans="21:22" ht="12.6" thickBot="1">
      <c r="U167" s="17" t="e">
        <f>IF(Table39[[#This Row],[CODE]]=17, Table39[ [#This Row],[Account Deposit Amount] ]-Table39[ [#This Row],[Account Withdrawl Amount] ], )</f>
        <v>#VALUE!</v>
      </c>
      <c r="V167" s="19" t="e">
        <f>IF(Table39[[#This Row],[CODE]]=18, Table39[ [#This Row],[Account Deposit Amount] ]-Table39[ [#This Row],[Account Withdrawl Amount] ], )</f>
        <v>#VALUE!</v>
      </c>
    </row>
    <row r="168" spans="21:22" ht="12.6" thickBot="1">
      <c r="U168" s="17" t="e">
        <f>IF(Table39[[#This Row],[CODE]]=17, Table39[ [#This Row],[Account Deposit Amount] ]-Table39[ [#This Row],[Account Withdrawl Amount] ], )</f>
        <v>#VALUE!</v>
      </c>
      <c r="V168" s="19" t="e">
        <f>IF(Table39[[#This Row],[CODE]]=18, Table39[ [#This Row],[Account Deposit Amount] ]-Table39[ [#This Row],[Account Withdrawl Amount] ], )</f>
        <v>#VALUE!</v>
      </c>
    </row>
    <row r="169" spans="21:22" ht="12.6" thickBot="1">
      <c r="U169" s="17" t="e">
        <f>IF(Table39[[#This Row],[CODE]]=17, Table39[ [#This Row],[Account Deposit Amount] ]-Table39[ [#This Row],[Account Withdrawl Amount] ], )</f>
        <v>#VALUE!</v>
      </c>
      <c r="V169" s="19" t="e">
        <f>IF(Table39[[#This Row],[CODE]]=18, Table39[ [#This Row],[Account Deposit Amount] ]-Table39[ [#This Row],[Account Withdrawl Amount] ], )</f>
        <v>#VALUE!</v>
      </c>
    </row>
    <row r="170" spans="21:22" ht="12.6" thickBot="1">
      <c r="U170" s="17" t="e">
        <f>IF(Table39[[#This Row],[CODE]]=17, Table39[ [#This Row],[Account Deposit Amount] ]-Table39[ [#This Row],[Account Withdrawl Amount] ], )</f>
        <v>#VALUE!</v>
      </c>
      <c r="V170" s="19" t="e">
        <f>IF(Table39[[#This Row],[CODE]]=18, Table39[ [#This Row],[Account Deposit Amount] ]-Table39[ [#This Row],[Account Withdrawl Amount] ], )</f>
        <v>#VALUE!</v>
      </c>
    </row>
    <row r="171" spans="21:22" ht="12.6" thickBot="1">
      <c r="U171" s="17" t="e">
        <f>IF(Table39[[#This Row],[CODE]]=17, Table39[ [#This Row],[Account Deposit Amount] ]-Table39[ [#This Row],[Account Withdrawl Amount] ], )</f>
        <v>#VALUE!</v>
      </c>
      <c r="V171" s="19" t="e">
        <f>IF(Table39[[#This Row],[CODE]]=18, Table39[ [#This Row],[Account Deposit Amount] ]-Table39[ [#This Row],[Account Withdrawl Amount] ], )</f>
        <v>#VALUE!</v>
      </c>
    </row>
    <row r="172" spans="21:22" ht="12.6" thickBot="1">
      <c r="U172" s="17" t="e">
        <f>IF(Table39[[#This Row],[CODE]]=17, Table39[ [#This Row],[Account Deposit Amount] ]-Table39[ [#This Row],[Account Withdrawl Amount] ], )</f>
        <v>#VALUE!</v>
      </c>
      <c r="V172" s="19" t="e">
        <f>IF(Table39[[#This Row],[CODE]]=18, Table39[ [#This Row],[Account Deposit Amount] ]-Table39[ [#This Row],[Account Withdrawl Amount] ], )</f>
        <v>#VALUE!</v>
      </c>
    </row>
    <row r="173" spans="21:22" ht="12.6" thickBot="1">
      <c r="U173" s="17" t="e">
        <f>IF(Table39[[#This Row],[CODE]]=17, Table39[ [#This Row],[Account Deposit Amount] ]-Table39[ [#This Row],[Account Withdrawl Amount] ], )</f>
        <v>#VALUE!</v>
      </c>
      <c r="V173" s="19" t="e">
        <f>IF(Table39[[#This Row],[CODE]]=18, Table39[ [#This Row],[Account Deposit Amount] ]-Table39[ [#This Row],[Account Withdrawl Amount] ], )</f>
        <v>#VALUE!</v>
      </c>
    </row>
    <row r="174" spans="21:22" ht="12.6" thickBot="1">
      <c r="U174" s="17" t="e">
        <f>IF(Table39[[#This Row],[CODE]]=17, Table39[ [#This Row],[Account Deposit Amount] ]-Table39[ [#This Row],[Account Withdrawl Amount] ], )</f>
        <v>#VALUE!</v>
      </c>
      <c r="V174" s="19" t="e">
        <f>IF(Table39[[#This Row],[CODE]]=18, Table39[ [#This Row],[Account Deposit Amount] ]-Table39[ [#This Row],[Account Withdrawl Amount] ], )</f>
        <v>#VALUE!</v>
      </c>
    </row>
    <row r="175" spans="21:22" ht="12.6" thickBot="1">
      <c r="U175" s="17" t="e">
        <f>IF(Table39[[#This Row],[CODE]]=17, Table39[ [#This Row],[Account Deposit Amount] ]-Table39[ [#This Row],[Account Withdrawl Amount] ], )</f>
        <v>#VALUE!</v>
      </c>
      <c r="V175" s="19" t="e">
        <f>IF(Table39[[#This Row],[CODE]]=18, Table39[ [#This Row],[Account Deposit Amount] ]-Table39[ [#This Row],[Account Withdrawl Amount] ], )</f>
        <v>#VALUE!</v>
      </c>
    </row>
    <row r="176" spans="21:22" ht="12.6" thickBot="1">
      <c r="U176" s="17" t="e">
        <f>IF(Table39[[#This Row],[CODE]]=17, Table39[ [#This Row],[Account Deposit Amount] ]-Table39[ [#This Row],[Account Withdrawl Amount] ], )</f>
        <v>#VALUE!</v>
      </c>
      <c r="V176" s="19" t="e">
        <f>IF(Table39[[#This Row],[CODE]]=18, Table39[ [#This Row],[Account Deposit Amount] ]-Table39[ [#This Row],[Account Withdrawl Amount] ], )</f>
        <v>#VALUE!</v>
      </c>
    </row>
    <row r="177" spans="21:22" ht="12.6" thickBot="1">
      <c r="U177" s="17" t="e">
        <f>IF(Table39[[#This Row],[CODE]]=17, Table39[ [#This Row],[Account Deposit Amount] ]-Table39[ [#This Row],[Account Withdrawl Amount] ], )</f>
        <v>#VALUE!</v>
      </c>
      <c r="V177" s="19" t="e">
        <f>IF(Table39[[#This Row],[CODE]]=18, Table39[ [#This Row],[Account Deposit Amount] ]-Table39[ [#This Row],[Account Withdrawl Amount] ], )</f>
        <v>#VALUE!</v>
      </c>
    </row>
    <row r="178" spans="21:22" ht="12.6" thickBot="1">
      <c r="U178" s="17" t="e">
        <f>IF(Table39[[#This Row],[CODE]]=17, Table39[ [#This Row],[Account Deposit Amount] ]-Table39[ [#This Row],[Account Withdrawl Amount] ], )</f>
        <v>#VALUE!</v>
      </c>
      <c r="V178" s="19" t="e">
        <f>IF(Table39[[#This Row],[CODE]]=18, Table39[ [#This Row],[Account Deposit Amount] ]-Table39[ [#This Row],[Account Withdrawl Amount] ], )</f>
        <v>#VALUE!</v>
      </c>
    </row>
    <row r="179" spans="21:22" ht="12.6" thickBot="1">
      <c r="U179" s="17" t="e">
        <f>IF(Table39[[#This Row],[CODE]]=17, Table39[ [#This Row],[Account Deposit Amount] ]-Table39[ [#This Row],[Account Withdrawl Amount] ], )</f>
        <v>#VALUE!</v>
      </c>
      <c r="V179" s="19" t="e">
        <f>IF(Table39[[#This Row],[CODE]]=18, Table39[ [#This Row],[Account Deposit Amount] ]-Table39[ [#This Row],[Account Withdrawl Amount] ], )</f>
        <v>#VALUE!</v>
      </c>
    </row>
    <row r="180" spans="21:22" ht="12.6" thickBot="1">
      <c r="U180" s="17" t="e">
        <f>IF(Table39[[#This Row],[CODE]]=17, Table39[ [#This Row],[Account Deposit Amount] ]-Table39[ [#This Row],[Account Withdrawl Amount] ], )</f>
        <v>#VALUE!</v>
      </c>
      <c r="V180" s="19" t="e">
        <f>IF(Table39[[#This Row],[CODE]]=18, Table39[ [#This Row],[Account Deposit Amount] ]-Table39[ [#This Row],[Account Withdrawl Amount] ], )</f>
        <v>#VALUE!</v>
      </c>
    </row>
    <row r="181" spans="21:22" ht="12.6" thickBot="1">
      <c r="U181" s="17" t="e">
        <f>IF(Table39[[#This Row],[CODE]]=17, Table39[ [#This Row],[Account Deposit Amount] ]-Table39[ [#This Row],[Account Withdrawl Amount] ], )</f>
        <v>#VALUE!</v>
      </c>
      <c r="V181" s="19" t="e">
        <f>IF(Table39[[#This Row],[CODE]]=18, Table39[ [#This Row],[Account Deposit Amount] ]-Table39[ [#This Row],[Account Withdrawl Amount] ], )</f>
        <v>#VALUE!</v>
      </c>
    </row>
    <row r="182" spans="21:22" ht="12.6" thickBot="1">
      <c r="U182" s="17" t="e">
        <f>IF(Table39[[#This Row],[CODE]]=17, Table39[ [#This Row],[Account Deposit Amount] ]-Table39[ [#This Row],[Account Withdrawl Amount] ], )</f>
        <v>#VALUE!</v>
      </c>
      <c r="V182" s="19" t="e">
        <f>IF(Table39[[#This Row],[CODE]]=18, Table39[ [#This Row],[Account Deposit Amount] ]-Table39[ [#This Row],[Account Withdrawl Amount] ], )</f>
        <v>#VALUE!</v>
      </c>
    </row>
    <row r="183" spans="21:22" ht="12.6" thickBot="1">
      <c r="U183" s="17" t="e">
        <f>IF(Table39[[#This Row],[CODE]]=17, Table39[ [#This Row],[Account Deposit Amount] ]-Table39[ [#This Row],[Account Withdrawl Amount] ], )</f>
        <v>#VALUE!</v>
      </c>
      <c r="V183" s="19" t="e">
        <f>IF(Table39[[#This Row],[CODE]]=18, Table39[ [#This Row],[Account Deposit Amount] ]-Table39[ [#This Row],[Account Withdrawl Amount] ], )</f>
        <v>#VALUE!</v>
      </c>
    </row>
    <row r="184" spans="21:22" ht="12.6" thickBot="1">
      <c r="U184" s="17" t="e">
        <f>IF(Table39[[#This Row],[CODE]]=17, Table39[ [#This Row],[Account Deposit Amount] ]-Table39[ [#This Row],[Account Withdrawl Amount] ], )</f>
        <v>#VALUE!</v>
      </c>
      <c r="V184" s="19" t="e">
        <f>IF(Table39[[#This Row],[CODE]]=18, Table39[ [#This Row],[Account Deposit Amount] ]-Table39[ [#This Row],[Account Withdrawl Amount] ], )</f>
        <v>#VALUE!</v>
      </c>
    </row>
    <row r="185" spans="21:22" ht="12.6" thickBot="1">
      <c r="U185" s="17" t="e">
        <f>IF(Table39[[#This Row],[CODE]]=17, Table39[ [#This Row],[Account Deposit Amount] ]-Table39[ [#This Row],[Account Withdrawl Amount] ], )</f>
        <v>#VALUE!</v>
      </c>
      <c r="V185" s="19" t="e">
        <f>IF(Table39[[#This Row],[CODE]]=18, Table39[ [#This Row],[Account Deposit Amount] ]-Table39[ [#This Row],[Account Withdrawl Amount] ], )</f>
        <v>#VALUE!</v>
      </c>
    </row>
    <row r="186" spans="21:22" ht="12.6" thickBot="1">
      <c r="U186" s="17" t="e">
        <f>IF(Table39[[#This Row],[CODE]]=17, Table39[ [#This Row],[Account Deposit Amount] ]-Table39[ [#This Row],[Account Withdrawl Amount] ], )</f>
        <v>#VALUE!</v>
      </c>
      <c r="V186" s="19" t="e">
        <f>IF(Table39[[#This Row],[CODE]]=18, Table39[ [#This Row],[Account Deposit Amount] ]-Table39[ [#This Row],[Account Withdrawl Amount] ], )</f>
        <v>#VALUE!</v>
      </c>
    </row>
    <row r="187" spans="21:22" ht="12.6" thickBot="1">
      <c r="U187" s="17" t="e">
        <f>IF(Table39[[#This Row],[CODE]]=17, Table39[ [#This Row],[Account Deposit Amount] ]-Table39[ [#This Row],[Account Withdrawl Amount] ], )</f>
        <v>#VALUE!</v>
      </c>
      <c r="V187" s="19" t="e">
        <f>IF(Table39[[#This Row],[CODE]]=18, Table39[ [#This Row],[Account Deposit Amount] ]-Table39[ [#This Row],[Account Withdrawl Amount] ], )</f>
        <v>#VALUE!</v>
      </c>
    </row>
    <row r="188" spans="21:22" ht="12.6" thickBot="1">
      <c r="U188" s="17" t="e">
        <f>IF(Table39[[#This Row],[CODE]]=17, Table39[ [#This Row],[Account Deposit Amount] ]-Table39[ [#This Row],[Account Withdrawl Amount] ], )</f>
        <v>#VALUE!</v>
      </c>
      <c r="V188" s="19" t="e">
        <f>IF(Table39[[#This Row],[CODE]]=18, Table39[ [#This Row],[Account Deposit Amount] ]-Table39[ [#This Row],[Account Withdrawl Amount] ], )</f>
        <v>#VALUE!</v>
      </c>
    </row>
    <row r="189" spans="21:22" ht="12.6" thickBot="1">
      <c r="U189" s="17" t="e">
        <f>IF(Table39[[#This Row],[CODE]]=17, Table39[ [#This Row],[Account Deposit Amount] ]-Table39[ [#This Row],[Account Withdrawl Amount] ], )</f>
        <v>#VALUE!</v>
      </c>
      <c r="V189" s="19" t="e">
        <f>IF(Table39[[#This Row],[CODE]]=18, Table39[ [#This Row],[Account Deposit Amount] ]-Table39[ [#This Row],[Account Withdrawl Amount] ], )</f>
        <v>#VALUE!</v>
      </c>
    </row>
    <row r="190" spans="21:22" ht="12.6" thickBot="1">
      <c r="U190" s="17" t="e">
        <f>IF(Table39[[#This Row],[CODE]]=17, Table39[ [#This Row],[Account Deposit Amount] ]-Table39[ [#This Row],[Account Withdrawl Amount] ], )</f>
        <v>#VALUE!</v>
      </c>
      <c r="V190" s="19" t="e">
        <f>IF(Table39[[#This Row],[CODE]]=18, Table39[ [#This Row],[Account Deposit Amount] ]-Table39[ [#This Row],[Account Withdrawl Amount] ], )</f>
        <v>#VALUE!</v>
      </c>
    </row>
    <row r="191" spans="21:22" ht="12.6" thickBot="1">
      <c r="U191" s="17" t="e">
        <f>IF(Table39[[#This Row],[CODE]]=17, Table39[ [#This Row],[Account Deposit Amount] ]-Table39[ [#This Row],[Account Withdrawl Amount] ], )</f>
        <v>#VALUE!</v>
      </c>
      <c r="V191" s="19" t="e">
        <f>IF(Table39[[#This Row],[CODE]]=18, Table39[ [#This Row],[Account Deposit Amount] ]-Table39[ [#This Row],[Account Withdrawl Amount] ], )</f>
        <v>#VALUE!</v>
      </c>
    </row>
    <row r="192" spans="21:22" ht="12.6" thickBot="1">
      <c r="U192" s="17" t="e">
        <f>IF(Table39[[#This Row],[CODE]]=17, Table39[ [#This Row],[Account Deposit Amount] ]-Table39[ [#This Row],[Account Withdrawl Amount] ], )</f>
        <v>#VALUE!</v>
      </c>
      <c r="V192" s="19" t="e">
        <f>IF(Table39[[#This Row],[CODE]]=18, Table39[ [#This Row],[Account Deposit Amount] ]-Table39[ [#This Row],[Account Withdrawl Amount] ], )</f>
        <v>#VALUE!</v>
      </c>
    </row>
    <row r="193" spans="21:22" ht="12.6" thickBot="1">
      <c r="U193" s="17" t="e">
        <f>IF(Table39[[#This Row],[CODE]]=17, Table39[ [#This Row],[Account Deposit Amount] ]-Table39[ [#This Row],[Account Withdrawl Amount] ], )</f>
        <v>#VALUE!</v>
      </c>
      <c r="V193" s="19" t="e">
        <f>IF(Table39[[#This Row],[CODE]]=18, Table39[ [#This Row],[Account Deposit Amount] ]-Table39[ [#This Row],[Account Withdrawl Amount] ], )</f>
        <v>#VALUE!</v>
      </c>
    </row>
    <row r="194" spans="21:22" ht="12.6" thickBot="1">
      <c r="U194" s="17" t="e">
        <f>IF(Table39[[#This Row],[CODE]]=17, Table39[ [#This Row],[Account Deposit Amount] ]-Table39[ [#This Row],[Account Withdrawl Amount] ], )</f>
        <v>#VALUE!</v>
      </c>
      <c r="V194" s="19" t="e">
        <f>IF(Table39[[#This Row],[CODE]]=18, Table39[ [#This Row],[Account Deposit Amount] ]-Table39[ [#This Row],[Account Withdrawl Amount] ], )</f>
        <v>#VALUE!</v>
      </c>
    </row>
    <row r="195" spans="21:22" ht="12.6" thickBot="1">
      <c r="U195" s="17" t="e">
        <f>IF(Table39[[#This Row],[CODE]]=17, Table39[ [#This Row],[Account Deposit Amount] ]-Table39[ [#This Row],[Account Withdrawl Amount] ], )</f>
        <v>#VALUE!</v>
      </c>
      <c r="V195" s="19" t="e">
        <f>IF(Table39[[#This Row],[CODE]]=18, Table39[ [#This Row],[Account Deposit Amount] ]-Table39[ [#This Row],[Account Withdrawl Amount] ], )</f>
        <v>#VALUE!</v>
      </c>
    </row>
    <row r="196" spans="21:22" ht="12.6" thickBot="1">
      <c r="U196" s="17" t="e">
        <f>IF(Table39[[#This Row],[CODE]]=17, Table39[ [#This Row],[Account Deposit Amount] ]-Table39[ [#This Row],[Account Withdrawl Amount] ], )</f>
        <v>#VALUE!</v>
      </c>
      <c r="V196" s="19" t="e">
        <f>IF(Table39[[#This Row],[CODE]]=18, Table39[ [#This Row],[Account Deposit Amount] ]-Table39[ [#This Row],[Account Withdrawl Amount] ], )</f>
        <v>#VALUE!</v>
      </c>
    </row>
    <row r="197" spans="21:22" ht="12.6" thickBot="1">
      <c r="U197" s="17" t="e">
        <f>IF(Table39[[#This Row],[CODE]]=17, Table39[ [#This Row],[Account Deposit Amount] ]-Table39[ [#This Row],[Account Withdrawl Amount] ], )</f>
        <v>#VALUE!</v>
      </c>
      <c r="V197" s="19" t="e">
        <f>IF(Table39[[#This Row],[CODE]]=18, Table39[ [#This Row],[Account Deposit Amount] ]-Table39[ [#This Row],[Account Withdrawl Amount] ], )</f>
        <v>#VALUE!</v>
      </c>
    </row>
    <row r="198" spans="21:22" ht="12.6" thickBot="1">
      <c r="U198" s="17" t="e">
        <f>IF(Table39[[#This Row],[CODE]]=17, Table39[ [#This Row],[Account Deposit Amount] ]-Table39[ [#This Row],[Account Withdrawl Amount] ], )</f>
        <v>#VALUE!</v>
      </c>
      <c r="V198" s="19" t="e">
        <f>IF(Table39[[#This Row],[CODE]]=18, Table39[ [#This Row],[Account Deposit Amount] ]-Table39[ [#This Row],[Account Withdrawl Amount] ], )</f>
        <v>#VALUE!</v>
      </c>
    </row>
    <row r="199" spans="21:22" ht="12.6" thickBot="1">
      <c r="U199" s="17" t="e">
        <f>IF(Table39[[#This Row],[CODE]]=17, Table39[ [#This Row],[Account Deposit Amount] ]-Table39[ [#This Row],[Account Withdrawl Amount] ], )</f>
        <v>#VALUE!</v>
      </c>
      <c r="V199" s="19" t="e">
        <f>IF(Table39[[#This Row],[CODE]]=18, Table39[ [#This Row],[Account Deposit Amount] ]-Table39[ [#This Row],[Account Withdrawl Amount] ], )</f>
        <v>#VALUE!</v>
      </c>
    </row>
    <row r="200" spans="21:22" ht="12.6" thickBot="1">
      <c r="U200" s="17" t="e">
        <f>IF(Table39[[#This Row],[CODE]]=17, Table39[ [#This Row],[Account Deposit Amount] ]-Table39[ [#This Row],[Account Withdrawl Amount] ], )</f>
        <v>#VALUE!</v>
      </c>
      <c r="V200" s="19" t="e">
        <f>IF(Table39[[#This Row],[CODE]]=18, Table39[ [#This Row],[Account Deposit Amount] ]-Table39[ [#This Row],[Account Withdrawl Amount] ], )</f>
        <v>#VALUE!</v>
      </c>
    </row>
    <row r="201" spans="21:22" ht="12.6" thickBot="1">
      <c r="U201" s="17" t="e">
        <f>IF(Table39[[#This Row],[CODE]]=17, Table39[ [#This Row],[Account Deposit Amount] ]-Table39[ [#This Row],[Account Withdrawl Amount] ], )</f>
        <v>#VALUE!</v>
      </c>
      <c r="V201" s="19" t="e">
        <f>IF(Table39[[#This Row],[CODE]]=18, Table39[ [#This Row],[Account Deposit Amount] ]-Table39[ [#This Row],[Account Withdrawl Amount] ], )</f>
        <v>#VALUE!</v>
      </c>
    </row>
    <row r="202" spans="21:22" ht="12.6" thickBot="1">
      <c r="U202" s="17" t="e">
        <f>IF(Table39[[#This Row],[CODE]]=17, Table39[ [#This Row],[Account Deposit Amount] ]-Table39[ [#This Row],[Account Withdrawl Amount] ], )</f>
        <v>#VALUE!</v>
      </c>
      <c r="V202" s="19" t="e">
        <f>IF(Table39[[#This Row],[CODE]]=18, Table39[ [#This Row],[Account Deposit Amount] ]-Table39[ [#This Row],[Account Withdrawl Amount] ], )</f>
        <v>#VALUE!</v>
      </c>
    </row>
    <row r="203" spans="21:22" ht="12.6" thickBot="1">
      <c r="U203" s="17" t="e">
        <f>IF(Table39[[#This Row],[CODE]]=17, Table39[ [#This Row],[Account Deposit Amount] ]-Table39[ [#This Row],[Account Withdrawl Amount] ], )</f>
        <v>#VALUE!</v>
      </c>
      <c r="V203" s="19" t="e">
        <f>IF(Table39[[#This Row],[CODE]]=18, Table39[ [#This Row],[Account Deposit Amount] ]-Table39[ [#This Row],[Account Withdrawl Amount] ], )</f>
        <v>#VALUE!</v>
      </c>
    </row>
    <row r="204" spans="21:22" ht="12.6" thickBot="1">
      <c r="U204" s="17" t="e">
        <f>IF(Table39[[#This Row],[CODE]]=17, Table39[ [#This Row],[Account Deposit Amount] ]-Table39[ [#This Row],[Account Withdrawl Amount] ], )</f>
        <v>#VALUE!</v>
      </c>
      <c r="V204" s="19" t="e">
        <f>IF(Table39[[#This Row],[CODE]]=18, Table39[ [#This Row],[Account Deposit Amount] ]-Table39[ [#This Row],[Account Withdrawl Amount] ], )</f>
        <v>#VALUE!</v>
      </c>
    </row>
    <row r="205" spans="21:22" ht="12.6" thickBot="1">
      <c r="U205" s="17" t="e">
        <f>IF(Table39[[#This Row],[CODE]]=17, Table39[ [#This Row],[Account Deposit Amount] ]-Table39[ [#This Row],[Account Withdrawl Amount] ], )</f>
        <v>#VALUE!</v>
      </c>
      <c r="V205" s="19" t="e">
        <f>IF(Table39[[#This Row],[CODE]]=18, Table39[ [#This Row],[Account Deposit Amount] ]-Table39[ [#This Row],[Account Withdrawl Amount] ], )</f>
        <v>#VALUE!</v>
      </c>
    </row>
    <row r="206" spans="21:22" ht="12.6" thickBot="1">
      <c r="U206" s="17" t="e">
        <f>IF(Table39[[#This Row],[CODE]]=17, Table39[ [#This Row],[Account Deposit Amount] ]-Table39[ [#This Row],[Account Withdrawl Amount] ], )</f>
        <v>#VALUE!</v>
      </c>
      <c r="V206" s="19" t="e">
        <f>IF(Table39[[#This Row],[CODE]]=18, Table39[ [#This Row],[Account Deposit Amount] ]-Table39[ [#This Row],[Account Withdrawl Amount] ], )</f>
        <v>#VALUE!</v>
      </c>
    </row>
    <row r="207" spans="21:22" ht="12.6" thickBot="1">
      <c r="U207" s="17" t="e">
        <f>IF(Table39[[#This Row],[CODE]]=17, Table39[ [#This Row],[Account Deposit Amount] ]-Table39[ [#This Row],[Account Withdrawl Amount] ], )</f>
        <v>#VALUE!</v>
      </c>
      <c r="V207" s="19" t="e">
        <f>IF(Table39[[#This Row],[CODE]]=18, Table39[ [#This Row],[Account Deposit Amount] ]-Table39[ [#This Row],[Account Withdrawl Amount] ], )</f>
        <v>#VALUE!</v>
      </c>
    </row>
    <row r="208" spans="21:22" ht="12.6" thickBot="1">
      <c r="U208" s="17" t="e">
        <f>IF(Table39[[#This Row],[CODE]]=17, Table39[ [#This Row],[Account Deposit Amount] ]-Table39[ [#This Row],[Account Withdrawl Amount] ], )</f>
        <v>#VALUE!</v>
      </c>
      <c r="V208" s="19" t="e">
        <f>IF(Table39[[#This Row],[CODE]]=18, Table39[ [#This Row],[Account Deposit Amount] ]-Table39[ [#This Row],[Account Withdrawl Amount] ], )</f>
        <v>#VALUE!</v>
      </c>
    </row>
    <row r="209" spans="21:22" ht="12.6" thickBot="1">
      <c r="U209" s="17" t="e">
        <f>IF(Table39[[#This Row],[CODE]]=17, Table39[ [#This Row],[Account Deposit Amount] ]-Table39[ [#This Row],[Account Withdrawl Amount] ], )</f>
        <v>#VALUE!</v>
      </c>
      <c r="V209" s="19" t="e">
        <f>IF(Table39[[#This Row],[CODE]]=18, Table39[ [#This Row],[Account Deposit Amount] ]-Table39[ [#This Row],[Account Withdrawl Amount] ], )</f>
        <v>#VALUE!</v>
      </c>
    </row>
    <row r="210" spans="21:22" ht="12.6" thickBot="1">
      <c r="U210" s="17" t="e">
        <f>IF(Table39[[#This Row],[CODE]]=17, Table39[ [#This Row],[Account Deposit Amount] ]-Table39[ [#This Row],[Account Withdrawl Amount] ], )</f>
        <v>#VALUE!</v>
      </c>
      <c r="V210" s="19" t="e">
        <f>IF(Table39[[#This Row],[CODE]]=18, Table39[ [#This Row],[Account Deposit Amount] ]-Table39[ [#This Row],[Account Withdrawl Amount] ], )</f>
        <v>#VALUE!</v>
      </c>
    </row>
    <row r="211" spans="21:22" ht="12.6" thickBot="1">
      <c r="U211" s="17" t="e">
        <f>IF(Table39[[#This Row],[CODE]]=17, Table39[ [#This Row],[Account Deposit Amount] ]-Table39[ [#This Row],[Account Withdrawl Amount] ], )</f>
        <v>#VALUE!</v>
      </c>
      <c r="V211" s="19" t="e">
        <f>IF(Table39[[#This Row],[CODE]]=18, Table39[ [#This Row],[Account Deposit Amount] ]-Table39[ [#This Row],[Account Withdrawl Amount] ], )</f>
        <v>#VALUE!</v>
      </c>
    </row>
    <row r="212" spans="21:22" ht="12.6" thickBot="1">
      <c r="U212" s="17" t="e">
        <f>IF(Table39[[#This Row],[CODE]]=17, Table39[ [#This Row],[Account Deposit Amount] ]-Table39[ [#This Row],[Account Withdrawl Amount] ], )</f>
        <v>#VALUE!</v>
      </c>
      <c r="V212" s="19" t="e">
        <f>IF(Table39[[#This Row],[CODE]]=18, Table39[ [#This Row],[Account Deposit Amount] ]-Table39[ [#This Row],[Account Withdrawl Amount] ], )</f>
        <v>#VALUE!</v>
      </c>
    </row>
    <row r="213" spans="21:22" ht="12.6" thickBot="1">
      <c r="U213" s="17" t="e">
        <f>IF(Table39[[#This Row],[CODE]]=17, Table39[ [#This Row],[Account Deposit Amount] ]-Table39[ [#This Row],[Account Withdrawl Amount] ], )</f>
        <v>#VALUE!</v>
      </c>
      <c r="V213" s="19" t="e">
        <f>IF(Table39[[#This Row],[CODE]]=18, Table39[ [#This Row],[Account Deposit Amount] ]-Table39[ [#This Row],[Account Withdrawl Amount] ], )</f>
        <v>#VALUE!</v>
      </c>
    </row>
    <row r="214" spans="21:22" ht="12.6" thickBot="1">
      <c r="U214" s="17" t="e">
        <f>IF(Table39[[#This Row],[CODE]]=17, Table39[ [#This Row],[Account Deposit Amount] ]-Table39[ [#This Row],[Account Withdrawl Amount] ], )</f>
        <v>#VALUE!</v>
      </c>
      <c r="V214" s="19" t="e">
        <f>IF(Table39[[#This Row],[CODE]]=18, Table39[ [#This Row],[Account Deposit Amount] ]-Table39[ [#This Row],[Account Withdrawl Amount] ], )</f>
        <v>#VALUE!</v>
      </c>
    </row>
    <row r="215" spans="21:22" ht="12.6" thickBot="1">
      <c r="U215" s="17" t="e">
        <f>IF(Table39[[#This Row],[CODE]]=17, Table39[ [#This Row],[Account Deposit Amount] ]-Table39[ [#This Row],[Account Withdrawl Amount] ], )</f>
        <v>#VALUE!</v>
      </c>
      <c r="V215" s="19" t="e">
        <f>IF(Table39[[#This Row],[CODE]]=18, Table39[ [#This Row],[Account Deposit Amount] ]-Table39[ [#This Row],[Account Withdrawl Amount] ], )</f>
        <v>#VALUE!</v>
      </c>
    </row>
    <row r="216" spans="21:22" ht="12.6" thickBot="1">
      <c r="U216" s="17" t="e">
        <f>IF(Table39[[#This Row],[CODE]]=17, Table39[ [#This Row],[Account Deposit Amount] ]-Table39[ [#This Row],[Account Withdrawl Amount] ], )</f>
        <v>#VALUE!</v>
      </c>
      <c r="V216" s="19" t="e">
        <f>IF(Table39[[#This Row],[CODE]]=18, Table39[ [#This Row],[Account Deposit Amount] ]-Table39[ [#This Row],[Account Withdrawl Amount] ], )</f>
        <v>#VALUE!</v>
      </c>
    </row>
    <row r="217" spans="21:22" ht="12.6" thickBot="1">
      <c r="U217" s="17" t="e">
        <f>IF(Table39[[#This Row],[CODE]]=17, Table39[ [#This Row],[Account Deposit Amount] ]-Table39[ [#This Row],[Account Withdrawl Amount] ], )</f>
        <v>#VALUE!</v>
      </c>
      <c r="V217" s="19" t="e">
        <f>IF(Table39[[#This Row],[CODE]]=18, Table39[ [#This Row],[Account Deposit Amount] ]-Table39[ [#This Row],[Account Withdrawl Amount] ], )</f>
        <v>#VALUE!</v>
      </c>
    </row>
    <row r="218" spans="21:22" ht="12.6" thickBot="1">
      <c r="U218" s="17" t="e">
        <f>IF(Table39[[#This Row],[CODE]]=17, Table39[ [#This Row],[Account Deposit Amount] ]-Table39[ [#This Row],[Account Withdrawl Amount] ], )</f>
        <v>#VALUE!</v>
      </c>
      <c r="V218" s="19" t="e">
        <f>IF(Table39[[#This Row],[CODE]]=18, Table39[ [#This Row],[Account Deposit Amount] ]-Table39[ [#This Row],[Account Withdrawl Amount] ], )</f>
        <v>#VALUE!</v>
      </c>
    </row>
    <row r="219" spans="21:22" ht="12.6" thickBot="1">
      <c r="U219" s="17" t="e">
        <f>IF(Table39[[#This Row],[CODE]]=17, Table39[ [#This Row],[Account Deposit Amount] ]-Table39[ [#This Row],[Account Withdrawl Amount] ], )</f>
        <v>#VALUE!</v>
      </c>
      <c r="V219" s="19" t="e">
        <f>IF(Table39[[#This Row],[CODE]]=18, Table39[ [#This Row],[Account Deposit Amount] ]-Table39[ [#This Row],[Account Withdrawl Amount] ], )</f>
        <v>#VALUE!</v>
      </c>
    </row>
    <row r="220" spans="21:22" ht="12.6" thickBot="1">
      <c r="U220" s="17" t="e">
        <f>IF(Table39[[#This Row],[CODE]]=17, Table39[ [#This Row],[Account Deposit Amount] ]-Table39[ [#This Row],[Account Withdrawl Amount] ], )</f>
        <v>#VALUE!</v>
      </c>
      <c r="V220" s="19" t="e">
        <f>IF(Table39[[#This Row],[CODE]]=18, Table39[ [#This Row],[Account Deposit Amount] ]-Table39[ [#This Row],[Account Withdrawl Amount] ], )</f>
        <v>#VALUE!</v>
      </c>
    </row>
    <row r="221" spans="21:22" ht="12.6" thickBot="1">
      <c r="U221" s="17" t="e">
        <f>IF(Table39[[#This Row],[CODE]]=17, Table39[ [#This Row],[Account Deposit Amount] ]-Table39[ [#This Row],[Account Withdrawl Amount] ], )</f>
        <v>#VALUE!</v>
      </c>
      <c r="V221" s="19" t="e">
        <f>IF(Table39[[#This Row],[CODE]]=18, Table39[ [#This Row],[Account Deposit Amount] ]-Table39[ [#This Row],[Account Withdrawl Amount] ], )</f>
        <v>#VALUE!</v>
      </c>
    </row>
    <row r="222" spans="21:22" ht="12.6" thickBot="1">
      <c r="U222" s="17" t="e">
        <f>IF(Table39[[#This Row],[CODE]]=17, Table39[ [#This Row],[Account Deposit Amount] ]-Table39[ [#This Row],[Account Withdrawl Amount] ], )</f>
        <v>#VALUE!</v>
      </c>
      <c r="V222" s="19" t="e">
        <f>IF(Table39[[#This Row],[CODE]]=18, Table39[ [#This Row],[Account Deposit Amount] ]-Table39[ [#This Row],[Account Withdrawl Amount] ], )</f>
        <v>#VALUE!</v>
      </c>
    </row>
    <row r="223" spans="21:22" ht="12.6" thickBot="1">
      <c r="U223" s="17" t="e">
        <f>IF(Table39[[#This Row],[CODE]]=17, Table39[ [#This Row],[Account Deposit Amount] ]-Table39[ [#This Row],[Account Withdrawl Amount] ], )</f>
        <v>#VALUE!</v>
      </c>
      <c r="V223" s="19" t="e">
        <f>IF(Table39[[#This Row],[CODE]]=18, Table39[ [#This Row],[Account Deposit Amount] ]-Table39[ [#This Row],[Account Withdrawl Amount] ], )</f>
        <v>#VALUE!</v>
      </c>
    </row>
    <row r="224" spans="21:22" ht="12.6" thickBot="1">
      <c r="U224" s="17" t="e">
        <f>IF(Table39[[#This Row],[CODE]]=17, Table39[ [#This Row],[Account Deposit Amount] ]-Table39[ [#This Row],[Account Withdrawl Amount] ], )</f>
        <v>#VALUE!</v>
      </c>
      <c r="V224" s="19" t="e">
        <f>IF(Table39[[#This Row],[CODE]]=18, Table39[ [#This Row],[Account Deposit Amount] ]-Table39[ [#This Row],[Account Withdrawl Amount] ], )</f>
        <v>#VALUE!</v>
      </c>
    </row>
    <row r="225" spans="21:22" ht="12.6" thickBot="1">
      <c r="U225" s="17" t="e">
        <f>IF(Table39[[#This Row],[CODE]]=17, Table39[ [#This Row],[Account Deposit Amount] ]-Table39[ [#This Row],[Account Withdrawl Amount] ], )</f>
        <v>#VALUE!</v>
      </c>
      <c r="V225" s="19" t="e">
        <f>IF(Table39[[#This Row],[CODE]]=18, Table39[ [#This Row],[Account Deposit Amount] ]-Table39[ [#This Row],[Account Withdrawl Amount] ], )</f>
        <v>#VALUE!</v>
      </c>
    </row>
    <row r="226" spans="21:22" ht="12.6" thickBot="1">
      <c r="U226" s="17" t="e">
        <f>IF(Table39[[#This Row],[CODE]]=17, Table39[ [#This Row],[Account Deposit Amount] ]-Table39[ [#This Row],[Account Withdrawl Amount] ], )</f>
        <v>#VALUE!</v>
      </c>
      <c r="V226" s="19" t="e">
        <f>IF(Table39[[#This Row],[CODE]]=18, Table39[ [#This Row],[Account Deposit Amount] ]-Table39[ [#This Row],[Account Withdrawl Amount] ], )</f>
        <v>#VALUE!</v>
      </c>
    </row>
    <row r="227" spans="21:22" ht="12.6" thickBot="1">
      <c r="U227" s="17" t="e">
        <f>IF(Table39[[#This Row],[CODE]]=17, Table39[ [#This Row],[Account Deposit Amount] ]-Table39[ [#This Row],[Account Withdrawl Amount] ], )</f>
        <v>#VALUE!</v>
      </c>
      <c r="V227" s="19" t="e">
        <f>IF(Table39[[#This Row],[CODE]]=18, Table39[ [#This Row],[Account Deposit Amount] ]-Table39[ [#This Row],[Account Withdrawl Amount] ], )</f>
        <v>#VALUE!</v>
      </c>
    </row>
    <row r="228" spans="21:22" ht="12.6" thickBot="1">
      <c r="U228" s="17" t="e">
        <f>IF(Table39[[#This Row],[CODE]]=17, Table39[ [#This Row],[Account Deposit Amount] ]-Table39[ [#This Row],[Account Withdrawl Amount] ], )</f>
        <v>#VALUE!</v>
      </c>
      <c r="V228" s="19" t="e">
        <f>IF(Table39[[#This Row],[CODE]]=18, Table39[ [#This Row],[Account Deposit Amount] ]-Table39[ [#This Row],[Account Withdrawl Amount] ], )</f>
        <v>#VALUE!</v>
      </c>
    </row>
    <row r="229" spans="21:22" ht="12.6" thickBot="1">
      <c r="U229" s="17" t="e">
        <f>IF(Table39[[#This Row],[CODE]]=17, Table39[ [#This Row],[Account Deposit Amount] ]-Table39[ [#This Row],[Account Withdrawl Amount] ], )</f>
        <v>#VALUE!</v>
      </c>
      <c r="V229" s="19" t="e">
        <f>IF(Table39[[#This Row],[CODE]]=18, Table39[ [#This Row],[Account Deposit Amount] ]-Table39[ [#This Row],[Account Withdrawl Amount] ], )</f>
        <v>#VALUE!</v>
      </c>
    </row>
    <row r="230" spans="21:22" ht="12.6" thickBot="1">
      <c r="U230" s="17" t="e">
        <f>IF(Table39[[#This Row],[CODE]]=17, Table39[ [#This Row],[Account Deposit Amount] ]-Table39[ [#This Row],[Account Withdrawl Amount] ], )</f>
        <v>#VALUE!</v>
      </c>
      <c r="V230" s="19" t="e">
        <f>IF(Table39[[#This Row],[CODE]]=18, Table39[ [#This Row],[Account Deposit Amount] ]-Table39[ [#This Row],[Account Withdrawl Amount] ], )</f>
        <v>#VALUE!</v>
      </c>
    </row>
    <row r="231" spans="21:22" ht="12.6" thickBot="1">
      <c r="U231" s="17" t="e">
        <f>IF(Table39[[#This Row],[CODE]]=17, Table39[ [#This Row],[Account Deposit Amount] ]-Table39[ [#This Row],[Account Withdrawl Amount] ], )</f>
        <v>#VALUE!</v>
      </c>
      <c r="V231" s="19" t="e">
        <f>IF(Table39[[#This Row],[CODE]]=18, Table39[ [#This Row],[Account Deposit Amount] ]-Table39[ [#This Row],[Account Withdrawl Amount] ], )</f>
        <v>#VALUE!</v>
      </c>
    </row>
    <row r="232" spans="21:22" ht="12.6" thickBot="1">
      <c r="U232" s="17" t="e">
        <f>IF(Table39[[#This Row],[CODE]]=17, Table39[ [#This Row],[Account Deposit Amount] ]-Table39[ [#This Row],[Account Withdrawl Amount] ], )</f>
        <v>#VALUE!</v>
      </c>
      <c r="V232" s="19" t="e">
        <f>IF(Table39[[#This Row],[CODE]]=18, Table39[ [#This Row],[Account Deposit Amount] ]-Table39[ [#This Row],[Account Withdrawl Amount] ], )</f>
        <v>#VALUE!</v>
      </c>
    </row>
    <row r="233" spans="21:22" ht="12.6" thickBot="1">
      <c r="U233" s="17" t="e">
        <f>IF(Table39[[#This Row],[CODE]]=17, Table39[ [#This Row],[Account Deposit Amount] ]-Table39[ [#This Row],[Account Withdrawl Amount] ], )</f>
        <v>#VALUE!</v>
      </c>
      <c r="V233" s="19" t="e">
        <f>IF(Table39[[#This Row],[CODE]]=18, Table39[ [#This Row],[Account Deposit Amount] ]-Table39[ [#This Row],[Account Withdrawl Amount] ], )</f>
        <v>#VALUE!</v>
      </c>
    </row>
    <row r="234" spans="21:22" ht="12.6" thickBot="1">
      <c r="U234" s="17" t="e">
        <f>IF(Table39[[#This Row],[CODE]]=17, Table39[ [#This Row],[Account Deposit Amount] ]-Table39[ [#This Row],[Account Withdrawl Amount] ], )</f>
        <v>#VALUE!</v>
      </c>
      <c r="V234" s="19" t="e">
        <f>IF(Table39[[#This Row],[CODE]]=18, Table39[ [#This Row],[Account Deposit Amount] ]-Table39[ [#This Row],[Account Withdrawl Amount] ], )</f>
        <v>#VALUE!</v>
      </c>
    </row>
    <row r="235" spans="21:22" ht="12.6" thickBot="1">
      <c r="U235" s="17" t="e">
        <f>IF(Table39[[#This Row],[CODE]]=17, Table39[ [#This Row],[Account Deposit Amount] ]-Table39[ [#This Row],[Account Withdrawl Amount] ], )</f>
        <v>#VALUE!</v>
      </c>
      <c r="V235" s="19" t="e">
        <f>IF(Table39[[#This Row],[CODE]]=18, Table39[ [#This Row],[Account Deposit Amount] ]-Table39[ [#This Row],[Account Withdrawl Amount] ], )</f>
        <v>#VALUE!</v>
      </c>
    </row>
    <row r="236" spans="21:22" ht="12.6" thickBot="1">
      <c r="U236" s="17" t="e">
        <f>IF(Table39[[#This Row],[CODE]]=17, Table39[ [#This Row],[Account Deposit Amount] ]-Table39[ [#This Row],[Account Withdrawl Amount] ], )</f>
        <v>#VALUE!</v>
      </c>
      <c r="V236" s="19" t="e">
        <f>IF(Table39[[#This Row],[CODE]]=18, Table39[ [#This Row],[Account Deposit Amount] ]-Table39[ [#This Row],[Account Withdrawl Amount] ], )</f>
        <v>#VALUE!</v>
      </c>
    </row>
    <row r="237" spans="21:22" ht="12.6" thickBot="1">
      <c r="U237" s="17" t="e">
        <f>IF(Table39[[#This Row],[CODE]]=17, Table39[ [#This Row],[Account Deposit Amount] ]-Table39[ [#This Row],[Account Withdrawl Amount] ], )</f>
        <v>#VALUE!</v>
      </c>
      <c r="V237" s="19" t="e">
        <f>IF(Table39[[#This Row],[CODE]]=18, Table39[ [#This Row],[Account Deposit Amount] ]-Table39[ [#This Row],[Account Withdrawl Amount] ], )</f>
        <v>#VALUE!</v>
      </c>
    </row>
    <row r="238" spans="21:22" ht="12.6" thickBot="1">
      <c r="U238" s="17" t="e">
        <f>IF(Table39[[#This Row],[CODE]]=17, Table39[ [#This Row],[Account Deposit Amount] ]-Table39[ [#This Row],[Account Withdrawl Amount] ], )</f>
        <v>#VALUE!</v>
      </c>
      <c r="V238" s="19" t="e">
        <f>IF(Table39[[#This Row],[CODE]]=18, Table39[ [#This Row],[Account Deposit Amount] ]-Table39[ [#This Row],[Account Withdrawl Amount] ], )</f>
        <v>#VALUE!</v>
      </c>
    </row>
    <row r="239" spans="21:22" ht="12.6" thickBot="1">
      <c r="U239" s="17" t="e">
        <f>IF(Table39[[#This Row],[CODE]]=17, Table39[ [#This Row],[Account Deposit Amount] ]-Table39[ [#This Row],[Account Withdrawl Amount] ], )</f>
        <v>#VALUE!</v>
      </c>
      <c r="V239" s="19" t="e">
        <f>IF(Table39[[#This Row],[CODE]]=18, Table39[ [#This Row],[Account Deposit Amount] ]-Table39[ [#This Row],[Account Withdrawl Amount] ], )</f>
        <v>#VALUE!</v>
      </c>
    </row>
    <row r="240" spans="21:22" ht="12.6" thickBot="1">
      <c r="U240" s="17" t="e">
        <f>IF(Table39[[#This Row],[CODE]]=17, Table39[ [#This Row],[Account Deposit Amount] ]-Table39[ [#This Row],[Account Withdrawl Amount] ], )</f>
        <v>#VALUE!</v>
      </c>
      <c r="V240" s="19" t="e">
        <f>IF(Table39[[#This Row],[CODE]]=18, Table39[ [#This Row],[Account Deposit Amount] ]-Table39[ [#This Row],[Account Withdrawl Amount] ], )</f>
        <v>#VALUE!</v>
      </c>
    </row>
    <row r="241" spans="21:22" ht="12.6" thickBot="1">
      <c r="U241" s="17" t="e">
        <f>IF(Table39[[#This Row],[CODE]]=17, Table39[ [#This Row],[Account Deposit Amount] ]-Table39[ [#This Row],[Account Withdrawl Amount] ], )</f>
        <v>#VALUE!</v>
      </c>
      <c r="V241" s="19" t="e">
        <f>IF(Table39[[#This Row],[CODE]]=18, Table39[ [#This Row],[Account Deposit Amount] ]-Table39[ [#This Row],[Account Withdrawl Amount] ], )</f>
        <v>#VALUE!</v>
      </c>
    </row>
    <row r="242" spans="21:22" ht="12.6" thickBot="1">
      <c r="U242" s="17" t="e">
        <f>IF(Table39[[#This Row],[CODE]]=17, Table39[ [#This Row],[Account Deposit Amount] ]-Table39[ [#This Row],[Account Withdrawl Amount] ], )</f>
        <v>#VALUE!</v>
      </c>
      <c r="V242" s="19" t="e">
        <f>IF(Table39[[#This Row],[CODE]]=18, Table39[ [#This Row],[Account Deposit Amount] ]-Table39[ [#This Row],[Account Withdrawl Amount] ], )</f>
        <v>#VALUE!</v>
      </c>
    </row>
    <row r="243" spans="21:22" ht="12.6" thickBot="1">
      <c r="U243" s="17" t="e">
        <f>IF(Table39[[#This Row],[CODE]]=17, Table39[ [#This Row],[Account Deposit Amount] ]-Table39[ [#This Row],[Account Withdrawl Amount] ], )</f>
        <v>#VALUE!</v>
      </c>
      <c r="V243" s="19" t="e">
        <f>IF(Table39[[#This Row],[CODE]]=18, Table39[ [#This Row],[Account Deposit Amount] ]-Table39[ [#This Row],[Account Withdrawl Amount] ], )</f>
        <v>#VALUE!</v>
      </c>
    </row>
    <row r="244" spans="21:22" ht="12.6" thickBot="1">
      <c r="U244" s="17" t="e">
        <f>IF(Table39[[#This Row],[CODE]]=17, Table39[ [#This Row],[Account Deposit Amount] ]-Table39[ [#This Row],[Account Withdrawl Amount] ], )</f>
        <v>#VALUE!</v>
      </c>
      <c r="V244" s="19" t="e">
        <f>IF(Table39[[#This Row],[CODE]]=18, Table39[ [#This Row],[Account Deposit Amount] ]-Table39[ [#This Row],[Account Withdrawl Amount] ], )</f>
        <v>#VALUE!</v>
      </c>
    </row>
    <row r="245" spans="21:22" ht="12.6" thickBot="1">
      <c r="U245" s="17" t="e">
        <f>IF(Table39[[#This Row],[CODE]]=17, Table39[ [#This Row],[Account Deposit Amount] ]-Table39[ [#This Row],[Account Withdrawl Amount] ], )</f>
        <v>#VALUE!</v>
      </c>
      <c r="V245" s="19" t="e">
        <f>IF(Table39[[#This Row],[CODE]]=18, Table39[ [#This Row],[Account Deposit Amount] ]-Table39[ [#This Row],[Account Withdrawl Amount] ], )</f>
        <v>#VALUE!</v>
      </c>
    </row>
    <row r="246" spans="21:22" ht="12.6" thickBot="1">
      <c r="U246" s="17" t="e">
        <f>IF(Table39[[#This Row],[CODE]]=17, Table39[ [#This Row],[Account Deposit Amount] ]-Table39[ [#This Row],[Account Withdrawl Amount] ], )</f>
        <v>#VALUE!</v>
      </c>
      <c r="V246" s="19" t="e">
        <f>IF(Table39[[#This Row],[CODE]]=18, Table39[ [#This Row],[Account Deposit Amount] ]-Table39[ [#This Row],[Account Withdrawl Amount] ], )</f>
        <v>#VALUE!</v>
      </c>
    </row>
    <row r="247" spans="21:22" ht="12.6" thickBot="1">
      <c r="U247" s="17" t="e">
        <f>IF(Table39[[#This Row],[CODE]]=17, Table39[ [#This Row],[Account Deposit Amount] ]-Table39[ [#This Row],[Account Withdrawl Amount] ], )</f>
        <v>#VALUE!</v>
      </c>
      <c r="V247" s="19" t="e">
        <f>IF(Table39[[#This Row],[CODE]]=18, Table39[ [#This Row],[Account Deposit Amount] ]-Table39[ [#This Row],[Account Withdrawl Amount] ], )</f>
        <v>#VALUE!</v>
      </c>
    </row>
    <row r="248" spans="21:22" ht="12.6" thickBot="1">
      <c r="U248" s="17" t="e">
        <f>IF(Table39[[#This Row],[CODE]]=17, Table39[ [#This Row],[Account Deposit Amount] ]-Table39[ [#This Row],[Account Withdrawl Amount] ], )</f>
        <v>#VALUE!</v>
      </c>
      <c r="V248" s="19" t="e">
        <f>IF(Table39[[#This Row],[CODE]]=18, Table39[ [#This Row],[Account Deposit Amount] ]-Table39[ [#This Row],[Account Withdrawl Amount] ], )</f>
        <v>#VALUE!</v>
      </c>
    </row>
    <row r="249" spans="21:22" ht="12.6" thickBot="1">
      <c r="U249" s="17" t="e">
        <f>IF(Table39[[#This Row],[CODE]]=17, Table39[ [#This Row],[Account Deposit Amount] ]-Table39[ [#This Row],[Account Withdrawl Amount] ], )</f>
        <v>#VALUE!</v>
      </c>
      <c r="V249" s="19" t="e">
        <f>IF(Table39[[#This Row],[CODE]]=18, Table39[ [#This Row],[Account Deposit Amount] ]-Table39[ [#This Row],[Account Withdrawl Amount] ], )</f>
        <v>#VALUE!</v>
      </c>
    </row>
    <row r="250" spans="21:22" ht="12.6" thickBot="1">
      <c r="U250" s="17" t="e">
        <f>IF(Table39[[#This Row],[CODE]]=17, Table39[ [#This Row],[Account Deposit Amount] ]-Table39[ [#This Row],[Account Withdrawl Amount] ], )</f>
        <v>#VALUE!</v>
      </c>
      <c r="V250" s="19" t="e">
        <f>IF(Table39[[#This Row],[CODE]]=18, Table39[ [#This Row],[Account Deposit Amount] ]-Table39[ [#This Row],[Account Withdrawl Amount] ], )</f>
        <v>#VALUE!</v>
      </c>
    </row>
    <row r="251" spans="21:22" ht="12.6" thickBot="1">
      <c r="U251" s="17" t="e">
        <f>IF(Table39[[#This Row],[CODE]]=17, Table39[ [#This Row],[Account Deposit Amount] ]-Table39[ [#This Row],[Account Withdrawl Amount] ], )</f>
        <v>#VALUE!</v>
      </c>
      <c r="V251" s="19" t="e">
        <f>IF(Table39[[#This Row],[CODE]]=18, Table39[ [#This Row],[Account Deposit Amount] ]-Table39[ [#This Row],[Account Withdrawl Amount] ], )</f>
        <v>#VALUE!</v>
      </c>
    </row>
    <row r="252" spans="21:22" ht="12.6" thickBot="1">
      <c r="U252" s="17" t="e">
        <f>IF(Table39[[#This Row],[CODE]]=17, Table39[ [#This Row],[Account Deposit Amount] ]-Table39[ [#This Row],[Account Withdrawl Amount] ], )</f>
        <v>#VALUE!</v>
      </c>
      <c r="V252" s="19" t="e">
        <f>IF(Table39[[#This Row],[CODE]]=18, Table39[ [#This Row],[Account Deposit Amount] ]-Table39[ [#This Row],[Account Withdrawl Amount] ], )</f>
        <v>#VALUE!</v>
      </c>
    </row>
    <row r="253" spans="21:22" ht="12.6" thickBot="1">
      <c r="U253" s="17" t="e">
        <f>IF(Table39[[#This Row],[CODE]]=17, Table39[ [#This Row],[Account Deposit Amount] ]-Table39[ [#This Row],[Account Withdrawl Amount] ], )</f>
        <v>#VALUE!</v>
      </c>
      <c r="V253" s="19" t="e">
        <f>IF(Table39[[#This Row],[CODE]]=18, Table39[ [#This Row],[Account Deposit Amount] ]-Table39[ [#This Row],[Account Withdrawl Amount] ], )</f>
        <v>#VALUE!</v>
      </c>
    </row>
    <row r="254" spans="21:22" ht="12.6" thickBot="1">
      <c r="U254" s="17" t="e">
        <f>IF(Table39[[#This Row],[CODE]]=17, Table39[ [#This Row],[Account Deposit Amount] ]-Table39[ [#This Row],[Account Withdrawl Amount] ], )</f>
        <v>#VALUE!</v>
      </c>
      <c r="V254" s="19" t="e">
        <f>IF(Table39[[#This Row],[CODE]]=18, Table39[ [#This Row],[Account Deposit Amount] ]-Table39[ [#This Row],[Account Withdrawl Amount] ], )</f>
        <v>#VALUE!</v>
      </c>
    </row>
    <row r="255" spans="21:22" ht="12.6" thickBot="1">
      <c r="U255" s="17" t="e">
        <f>IF(Table39[[#This Row],[CODE]]=17, Table39[ [#This Row],[Account Deposit Amount] ]-Table39[ [#This Row],[Account Withdrawl Amount] ], )</f>
        <v>#VALUE!</v>
      </c>
      <c r="V255" s="19" t="e">
        <f>IF(Table39[[#This Row],[CODE]]=18, Table39[ [#This Row],[Account Deposit Amount] ]-Table39[ [#This Row],[Account Withdrawl Amount] ], )</f>
        <v>#VALUE!</v>
      </c>
    </row>
    <row r="256" spans="21:22" ht="12.6" thickBot="1">
      <c r="U256" s="17" t="e">
        <f>IF(Table39[[#This Row],[CODE]]=17, Table39[ [#This Row],[Account Deposit Amount] ]-Table39[ [#This Row],[Account Withdrawl Amount] ], )</f>
        <v>#VALUE!</v>
      </c>
      <c r="V256" s="19" t="e">
        <f>IF(Table39[[#This Row],[CODE]]=18, Table39[ [#This Row],[Account Deposit Amount] ]-Table39[ [#This Row],[Account Withdrawl Amount] ], )</f>
        <v>#VALUE!</v>
      </c>
    </row>
    <row r="257" spans="21:22" ht="12.6" thickBot="1">
      <c r="U257" s="17" t="e">
        <f>IF(Table39[[#This Row],[CODE]]=17, Table39[ [#This Row],[Account Deposit Amount] ]-Table39[ [#This Row],[Account Withdrawl Amount] ], )</f>
        <v>#VALUE!</v>
      </c>
      <c r="V257" s="19" t="e">
        <f>IF(Table39[[#This Row],[CODE]]=18, Table39[ [#This Row],[Account Deposit Amount] ]-Table39[ [#This Row],[Account Withdrawl Amount] ], )</f>
        <v>#VALUE!</v>
      </c>
    </row>
    <row r="258" spans="21:22" ht="12.6" thickBot="1">
      <c r="U258" s="17" t="e">
        <f>IF(Table39[[#This Row],[CODE]]=17, Table39[ [#This Row],[Account Deposit Amount] ]-Table39[ [#This Row],[Account Withdrawl Amount] ], )</f>
        <v>#VALUE!</v>
      </c>
      <c r="V258" s="19" t="e">
        <f>IF(Table39[[#This Row],[CODE]]=18, Table39[ [#This Row],[Account Deposit Amount] ]-Table39[ [#This Row],[Account Withdrawl Amount] ], )</f>
        <v>#VALUE!</v>
      </c>
    </row>
    <row r="259" spans="21:22" ht="12.6" thickBot="1">
      <c r="U259" s="17" t="e">
        <f>IF(Table39[[#This Row],[CODE]]=17, Table39[ [#This Row],[Account Deposit Amount] ]-Table39[ [#This Row],[Account Withdrawl Amount] ], )</f>
        <v>#VALUE!</v>
      </c>
      <c r="V259" s="19" t="e">
        <f>IF(Table39[[#This Row],[CODE]]=18, Table39[ [#This Row],[Account Deposit Amount] ]-Table39[ [#This Row],[Account Withdrawl Amount] ], )</f>
        <v>#VALUE!</v>
      </c>
    </row>
    <row r="260" spans="21:22" ht="12.6" thickBot="1">
      <c r="U260" s="17" t="e">
        <f>IF(Table39[[#This Row],[CODE]]=17, Table39[ [#This Row],[Account Deposit Amount] ]-Table39[ [#This Row],[Account Withdrawl Amount] ], )</f>
        <v>#VALUE!</v>
      </c>
      <c r="V260" s="19" t="e">
        <f>IF(Table39[[#This Row],[CODE]]=18, Table39[ [#This Row],[Account Deposit Amount] ]-Table39[ [#This Row],[Account Withdrawl Amount] ], )</f>
        <v>#VALUE!</v>
      </c>
    </row>
    <row r="261" spans="21:22" ht="12.6" thickBot="1">
      <c r="U261" s="17" t="e">
        <f>IF(Table39[[#This Row],[CODE]]=17, Table39[ [#This Row],[Account Deposit Amount] ]-Table39[ [#This Row],[Account Withdrawl Amount] ], )</f>
        <v>#VALUE!</v>
      </c>
      <c r="V261" s="19" t="e">
        <f>IF(Table39[[#This Row],[CODE]]=18, Table39[ [#This Row],[Account Deposit Amount] ]-Table39[ [#This Row],[Account Withdrawl Amount] ], )</f>
        <v>#VALUE!</v>
      </c>
    </row>
    <row r="262" spans="21:22" ht="12.6" thickBot="1">
      <c r="U262" s="17" t="e">
        <f>IF(Table39[[#This Row],[CODE]]=17, Table39[ [#This Row],[Account Deposit Amount] ]-Table39[ [#This Row],[Account Withdrawl Amount] ], )</f>
        <v>#VALUE!</v>
      </c>
      <c r="V262" s="19" t="e">
        <f>IF(Table39[[#This Row],[CODE]]=18, Table39[ [#This Row],[Account Deposit Amount] ]-Table39[ [#This Row],[Account Withdrawl Amount] ], )</f>
        <v>#VALUE!</v>
      </c>
    </row>
    <row r="263" spans="21:22" ht="12.6" thickBot="1">
      <c r="U263" s="17" t="e">
        <f>IF(Table39[[#This Row],[CODE]]=17, Table39[ [#This Row],[Account Deposit Amount] ]-Table39[ [#This Row],[Account Withdrawl Amount] ], )</f>
        <v>#VALUE!</v>
      </c>
      <c r="V263" s="19" t="e">
        <f>IF(Table39[[#This Row],[CODE]]=18, Table39[ [#This Row],[Account Deposit Amount] ]-Table39[ [#This Row],[Account Withdrawl Amount] ], )</f>
        <v>#VALUE!</v>
      </c>
    </row>
    <row r="264" spans="21:22" ht="12.6" thickBot="1">
      <c r="U264" s="17" t="e">
        <f>IF(Table39[[#This Row],[CODE]]=17, Table39[ [#This Row],[Account Deposit Amount] ]-Table39[ [#This Row],[Account Withdrawl Amount] ], )</f>
        <v>#VALUE!</v>
      </c>
      <c r="V264" s="19" t="e">
        <f>IF(Table39[[#This Row],[CODE]]=18, Table39[ [#This Row],[Account Deposit Amount] ]-Table39[ [#This Row],[Account Withdrawl Amount] ], )</f>
        <v>#VALUE!</v>
      </c>
    </row>
    <row r="265" spans="21:22" ht="12.6" thickBot="1">
      <c r="U265" s="17" t="e">
        <f>IF(Table39[[#This Row],[CODE]]=17, Table39[ [#This Row],[Account Deposit Amount] ]-Table39[ [#This Row],[Account Withdrawl Amount] ], )</f>
        <v>#VALUE!</v>
      </c>
      <c r="V265" s="19" t="e">
        <f>IF(Table39[[#This Row],[CODE]]=18, Table39[ [#This Row],[Account Deposit Amount] ]-Table39[ [#This Row],[Account Withdrawl Amount] ], )</f>
        <v>#VALUE!</v>
      </c>
    </row>
    <row r="266" spans="21:22" ht="12.6" thickBot="1">
      <c r="U266" s="17" t="e">
        <f>IF(Table39[[#This Row],[CODE]]=17, Table39[ [#This Row],[Account Deposit Amount] ]-Table39[ [#This Row],[Account Withdrawl Amount] ], )</f>
        <v>#VALUE!</v>
      </c>
      <c r="V266" s="19" t="e">
        <f>IF(Table39[[#This Row],[CODE]]=18, Table39[ [#This Row],[Account Deposit Amount] ]-Table39[ [#This Row],[Account Withdrawl Amount] ], )</f>
        <v>#VALUE!</v>
      </c>
    </row>
    <row r="267" spans="21:22" ht="12.6" thickBot="1">
      <c r="U267" s="17" t="e">
        <f>IF(Table39[[#This Row],[CODE]]=17, Table39[ [#This Row],[Account Deposit Amount] ]-Table39[ [#This Row],[Account Withdrawl Amount] ], )</f>
        <v>#VALUE!</v>
      </c>
      <c r="V267" s="19" t="e">
        <f>IF(Table39[[#This Row],[CODE]]=18, Table39[ [#This Row],[Account Deposit Amount] ]-Table39[ [#This Row],[Account Withdrawl Amount] ], )</f>
        <v>#VALUE!</v>
      </c>
    </row>
    <row r="268" spans="21:22" ht="12.6" thickBot="1">
      <c r="U268" s="17" t="e">
        <f>IF(Table39[[#This Row],[CODE]]=17, Table39[ [#This Row],[Account Deposit Amount] ]-Table39[ [#This Row],[Account Withdrawl Amount] ], )</f>
        <v>#VALUE!</v>
      </c>
      <c r="V268" s="19" t="e">
        <f>IF(Table39[[#This Row],[CODE]]=18, Table39[ [#This Row],[Account Deposit Amount] ]-Table39[ [#This Row],[Account Withdrawl Amount] ], )</f>
        <v>#VALUE!</v>
      </c>
    </row>
    <row r="269" spans="21:22" ht="12.6" thickBot="1">
      <c r="U269" s="17" t="e">
        <f>IF(Table39[[#This Row],[CODE]]=17, Table39[ [#This Row],[Account Deposit Amount] ]-Table39[ [#This Row],[Account Withdrawl Amount] ], )</f>
        <v>#VALUE!</v>
      </c>
      <c r="V269" s="19" t="e">
        <f>IF(Table39[[#This Row],[CODE]]=18, Table39[ [#This Row],[Account Deposit Amount] ]-Table39[ [#This Row],[Account Withdrawl Amount] ], )</f>
        <v>#VALUE!</v>
      </c>
    </row>
    <row r="270" spans="21:22" ht="12.6" thickBot="1">
      <c r="U270" s="17">
        <v>235</v>
      </c>
      <c r="V270" s="19" t="e">
        <f>IF(Table39[[#This Row],[CODE]]=18, Table39[ [#This Row],[Account Deposit Amount] ]-Table39[ [#This Row],[Account Withdrawl Amount] ], )</f>
        <v>#VALUE!</v>
      </c>
    </row>
    <row r="271" spans="21:22" ht="12.6" thickBot="1">
      <c r="U271" s="17" t="e">
        <f>IF(Table39[[#This Row],[CODE]]=17, Table39[ [#This Row],[Account Deposit Amount] ]-Table39[ [#This Row],[Account Withdrawl Amount] ], )</f>
        <v>#VALUE!</v>
      </c>
      <c r="V271" s="19" t="e">
        <f>IF(Table39[[#This Row],[CODE]]=18, Table39[ [#This Row],[Account Deposit Amount] ]-Table39[ [#This Row],[Account Withdrawl Amount] ], )</f>
        <v>#VALUE!</v>
      </c>
    </row>
    <row r="272" spans="21:22" ht="12.6" thickBot="1">
      <c r="U272" s="17" t="e">
        <f>IF(Table39[[#This Row],[CODE]]=17, Table39[ [#This Row],[Account Deposit Amount] ]-Table39[ [#This Row],[Account Withdrawl Amount] ], )</f>
        <v>#VALUE!</v>
      </c>
      <c r="V272" s="19" t="e">
        <f>IF(Table39[[#This Row],[CODE]]=18, Table39[ [#This Row],[Account Deposit Amount] ]-Table39[ [#This Row],[Account Withdrawl Amount] ], )</f>
        <v>#VALUE!</v>
      </c>
    </row>
    <row r="273" spans="21:22" ht="12.6" thickBot="1">
      <c r="U273" s="17" t="e">
        <f>IF(Table39[[#This Row],[CODE]]=17, Table39[ [#This Row],[Account Deposit Amount] ]-Table39[ [#This Row],[Account Withdrawl Amount] ], )</f>
        <v>#VALUE!</v>
      </c>
      <c r="V273" s="19" t="e">
        <f>IF(Table39[[#This Row],[CODE]]=18, Table39[ [#This Row],[Account Deposit Amount] ]-Table39[ [#This Row],[Account Withdrawl Amount] ], )</f>
        <v>#VALUE!</v>
      </c>
    </row>
  </sheetData>
  <sheetProtection formatCells="0" formatColumns="0" formatRows="0" insertColumns="0" insertRows="0" selectLockedCells="1" sort="0" autoFilter="0"/>
  <mergeCells count="4">
    <mergeCell ref="I1:L1"/>
    <mergeCell ref="M1:N1"/>
    <mergeCell ref="O1:T1"/>
    <mergeCell ref="U1:V1"/>
  </mergeCells>
  <pageMargins left="0.7" right="0.7" top="0.75" bottom="0.75" header="0.3" footer="0.3"/>
  <pageSetup orientation="portrait" r:id="rId1"/>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CEB5-5E63-43A0-B990-4A407DA23D1C}">
  <dimension ref="A1:AA273"/>
  <sheetViews>
    <sheetView zoomScale="70" zoomScaleNormal="70" workbookViewId="0">
      <selection activeCell="C14" sqref="C14"/>
    </sheetView>
  </sheetViews>
  <sheetFormatPr defaultColWidth="12.44140625" defaultRowHeight="15.6"/>
  <cols>
    <col min="1" max="2" width="12.44140625" style="126"/>
    <col min="3" max="3" width="24" style="126" customWidth="1"/>
    <col min="4" max="4" width="26.6640625" style="126" customWidth="1"/>
    <col min="5" max="21" width="12.44140625" style="126"/>
    <col min="22" max="22" width="12.44140625" style="4"/>
    <col min="23" max="16384" width="12.44140625" style="126"/>
  </cols>
  <sheetData>
    <row r="1" spans="1:27" s="4" customFormat="1" ht="15.75" customHeight="1" thickBot="1">
      <c r="A1" s="16"/>
      <c r="B1" s="2"/>
      <c r="C1" s="1"/>
      <c r="D1" s="1"/>
      <c r="E1" s="29"/>
      <c r="F1" s="30"/>
      <c r="G1" s="3" t="s">
        <v>180</v>
      </c>
      <c r="H1" s="3"/>
      <c r="I1" s="338" t="s">
        <v>49</v>
      </c>
      <c r="J1" s="339"/>
      <c r="K1" s="339"/>
      <c r="L1" s="339"/>
      <c r="M1" s="340">
        <f>SUM(I2:N2)</f>
        <v>188.6</v>
      </c>
      <c r="N1" s="340"/>
      <c r="O1" s="344" t="s">
        <v>50</v>
      </c>
      <c r="P1" s="344"/>
      <c r="Q1" s="344"/>
      <c r="R1" s="344"/>
      <c r="S1" s="344"/>
      <c r="T1" s="344"/>
      <c r="U1" s="342" t="e">
        <f>SUM(O2:V2)</f>
        <v>#VALUE!</v>
      </c>
      <c r="V1" s="343"/>
      <c r="W1" s="1"/>
      <c r="X1" s="1"/>
      <c r="Y1" s="1"/>
      <c r="Z1" s="1"/>
    </row>
    <row r="2" spans="1:27" s="4" customFormat="1" ht="12.6" thickBot="1">
      <c r="A2" s="1"/>
      <c r="B2" s="2"/>
      <c r="C2" s="1"/>
      <c r="D2" s="1" t="s">
        <v>51</v>
      </c>
      <c r="E2" s="5">
        <f>SUM(E4:E1173)</f>
        <v>188.6</v>
      </c>
      <c r="F2" s="5">
        <f>SUM(F4:F1173)</f>
        <v>1155.72</v>
      </c>
      <c r="G2" s="6">
        <f>G4+E2-F2</f>
        <v>18348.999999999993</v>
      </c>
      <c r="H2" s="81"/>
      <c r="I2" s="7">
        <f t="shared" ref="I2:T2" si="0">SUM(I4:I1173)</f>
        <v>0</v>
      </c>
      <c r="J2" s="8">
        <f t="shared" si="0"/>
        <v>0</v>
      </c>
      <c r="K2" s="8">
        <f t="shared" si="0"/>
        <v>0</v>
      </c>
      <c r="L2" s="7">
        <f t="shared" si="0"/>
        <v>0</v>
      </c>
      <c r="M2" s="7">
        <f t="shared" si="0"/>
        <v>0</v>
      </c>
      <c r="N2" s="7">
        <f t="shared" si="0"/>
        <v>188.6</v>
      </c>
      <c r="O2" s="9">
        <f t="shared" si="0"/>
        <v>0</v>
      </c>
      <c r="P2" s="9">
        <f t="shared" si="0"/>
        <v>-250.9</v>
      </c>
      <c r="Q2" s="9">
        <f t="shared" si="0"/>
        <v>-75.790000000000006</v>
      </c>
      <c r="R2" s="9">
        <f t="shared" si="0"/>
        <v>0</v>
      </c>
      <c r="S2" s="9">
        <f t="shared" si="0"/>
        <v>0</v>
      </c>
      <c r="T2" s="9">
        <f t="shared" si="0"/>
        <v>-829.03</v>
      </c>
      <c r="U2" s="9">
        <f t="shared" ref="U2:V2" si="1">SUM(U4:U1006)</f>
        <v>0</v>
      </c>
      <c r="V2" s="9" t="e">
        <f t="shared" si="1"/>
        <v>#VALUE!</v>
      </c>
      <c r="W2" s="1"/>
      <c r="X2" s="1"/>
      <c r="Y2" s="1"/>
      <c r="Z2" s="1"/>
    </row>
    <row r="3" spans="1:27"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5" t="s">
        <v>198</v>
      </c>
      <c r="W3" s="14"/>
      <c r="X3" s="14"/>
      <c r="Y3" s="14"/>
      <c r="Z3" s="14"/>
      <c r="AA3" s="14"/>
    </row>
    <row r="4" spans="1:27" ht="16.2" thickBot="1">
      <c r="A4" s="138"/>
      <c r="B4" s="139">
        <v>44774</v>
      </c>
      <c r="C4" s="146" t="s">
        <v>339</v>
      </c>
      <c r="D4" s="138"/>
      <c r="E4" s="145"/>
      <c r="F4" s="144"/>
      <c r="G4" s="143">
        <f>July!G2</f>
        <v>19316.119999999995</v>
      </c>
      <c r="H4" s="155"/>
      <c r="I4" s="127">
        <f>IF(Table40[[#This Row],[CODE]]=1, Table40[ [#This Row],[Account Deposit Amount] ]-Table40[ [#This Row],[Account Withdrawl Amount] ], )</f>
        <v>0</v>
      </c>
      <c r="J4" s="142">
        <f>IF(Table40[[#This Row],[CODE]]=2, Table40[ [#This Row],[Account Deposit Amount] ]-Table40[ [#This Row],[Account Withdrawl Amount] ], )</f>
        <v>0</v>
      </c>
      <c r="K4" s="142">
        <f>IF(Table40[[#This Row],[CODE]]=3, Table40[ [#This Row],[Account Deposit Amount] ]-Table40[ [#This Row],[Account Withdrawl Amount] ], )</f>
        <v>0</v>
      </c>
      <c r="L4" s="141">
        <f>IF(Table40[[#This Row],[CODE]]=4, Table40[ [#This Row],[Account Deposit Amount] ]-Table40[ [#This Row],[Account Withdrawl Amount] ], )</f>
        <v>0</v>
      </c>
      <c r="M4" s="141">
        <f>IF(Table40[[#This Row],[CODE]]=5, Table40[ [#This Row],[Account Deposit Amount] ]-Table40[ [#This Row],[Account Withdrawl Amount] ], )</f>
        <v>0</v>
      </c>
      <c r="N4" s="141">
        <f>IF(Table40[[#This Row],[CODE]]=6, Table40[ [#This Row],[Account Deposit Amount] ]-Table40[ [#This Row],[Account Withdrawl Amount] ], )</f>
        <v>0</v>
      </c>
      <c r="O4" s="141">
        <f>IF(Table40[[#This Row],[CODE]]=11, Table40[ [#This Row],[Account Deposit Amount] ]-Table40[ [#This Row],[Account Withdrawl Amount] ], )</f>
        <v>0</v>
      </c>
      <c r="P4" s="141">
        <f>IF(Table40[[#This Row],[CODE]]=12, Table40[ [#This Row],[Account Deposit Amount] ]-Table40[ [#This Row],[Account Withdrawl Amount] ], )</f>
        <v>0</v>
      </c>
      <c r="Q4" s="141">
        <f>IF(Table40[[#This Row],[CODE]]=13, Table40[ [#This Row],[Account Deposit Amount] ]-Table40[ [#This Row],[Account Withdrawl Amount] ], )</f>
        <v>0</v>
      </c>
      <c r="R4" s="141">
        <f>IF(Table40[[#This Row],[CODE]]=14, Table40[ [#This Row],[Account Deposit Amount] ]-Table40[ [#This Row],[Account Withdrawl Amount] ], )</f>
        <v>0</v>
      </c>
      <c r="S4" s="141">
        <f>IF(Table40[[#This Row],[CODE]]=15, Table40[ [#This Row],[Account Deposit Amount] ]-Table40[ [#This Row],[Account Withdrawl Amount] ], )</f>
        <v>0</v>
      </c>
      <c r="T4" s="141">
        <f>IF(Table40[[#This Row],[CODE]]=16, Table40[ [#This Row],[Account Deposit Amount] ]-Table40[ [#This Row],[Account Withdrawl Amount] ], )</f>
        <v>0</v>
      </c>
      <c r="U4" s="141">
        <f>IF(Table40[[#This Row],[CODE]]=17, Table40[ [#This Row],[Account Deposit Amount] ]-Table40[ [#This Row],[Account Withdrawl Amount] ], )</f>
        <v>0</v>
      </c>
      <c r="V4" s="141">
        <f>IF(Table40[[#This Row],[CODE]]=17, Table40[ [#This Row],[Account Deposit Amount] ]-Table40[ [#This Row],[Account Withdrawl Amount] ], )</f>
        <v>0</v>
      </c>
    </row>
    <row r="5" spans="1:27" ht="16.2" thickBot="1">
      <c r="A5" s="140" t="s">
        <v>340</v>
      </c>
      <c r="B5" s="139">
        <v>45147</v>
      </c>
      <c r="C5" s="138" t="s">
        <v>330</v>
      </c>
      <c r="D5" s="138" t="s">
        <v>341</v>
      </c>
      <c r="E5" s="136"/>
      <c r="F5" s="136">
        <v>829.03</v>
      </c>
      <c r="G5" s="134">
        <f t="shared" ref="G5:G36" si="2">G4+E5-F5</f>
        <v>18487.089999999997</v>
      </c>
      <c r="H5" s="138">
        <v>16</v>
      </c>
      <c r="I5" s="127">
        <f>IF(Table40[[#This Row],[CODE]]=1, Table40[ [#This Row],[Account Deposit Amount] ]-Table40[ [#This Row],[Account Withdrawl Amount] ], )</f>
        <v>0</v>
      </c>
      <c r="J5" s="137">
        <f>IF(Table40[[#This Row],[CODE]]=2, Table40[ [#This Row],[Account Deposit Amount] ]-Table40[ [#This Row],[Account Withdrawl Amount] ], )</f>
        <v>0</v>
      </c>
      <c r="K5" s="137">
        <f>IF(Table40[[#This Row],[CODE]]=3, Table40[ [#This Row],[Account Deposit Amount] ]-Table40[ [#This Row],[Account Withdrawl Amount] ], )</f>
        <v>0</v>
      </c>
      <c r="L5" s="136">
        <f>IF(Table40[[#This Row],[CODE]]=4, Table40[ [#This Row],[Account Deposit Amount] ]-Table40[ [#This Row],[Account Withdrawl Amount] ], )</f>
        <v>0</v>
      </c>
      <c r="M5" s="136">
        <f>IF(Table40[[#This Row],[CODE]]=5, Table40[ [#This Row],[Account Deposit Amount] ]-Table40[ [#This Row],[Account Withdrawl Amount] ], )</f>
        <v>0</v>
      </c>
      <c r="N5" s="136">
        <f>IF(Table40[[#This Row],[CODE]]=6, Table40[ [#This Row],[Account Deposit Amount] ]-Table40[ [#This Row],[Account Withdrawl Amount] ], )</f>
        <v>0</v>
      </c>
      <c r="O5" s="136">
        <f>IF(Table40[[#This Row],[CODE]]=11, Table40[ [#This Row],[Account Deposit Amount] ]-Table40[ [#This Row],[Account Withdrawl Amount] ], )</f>
        <v>0</v>
      </c>
      <c r="P5" s="136">
        <f>IF(Table40[[#This Row],[CODE]]=12, Table40[ [#This Row],[Account Deposit Amount] ]-Table40[ [#This Row],[Account Withdrawl Amount] ], )</f>
        <v>0</v>
      </c>
      <c r="Q5" s="136">
        <f>IF(Table40[[#This Row],[CODE]]=13, Table40[ [#This Row],[Account Deposit Amount] ]-Table40[ [#This Row],[Account Withdrawl Amount] ], )</f>
        <v>0</v>
      </c>
      <c r="R5" s="136">
        <f>IF(Table40[[#This Row],[CODE]]=14, Table40[ [#This Row],[Account Deposit Amount] ]-Table40[ [#This Row],[Account Withdrawl Amount] ], )</f>
        <v>0</v>
      </c>
      <c r="S5" s="136">
        <f>IF(Table40[[#This Row],[CODE]]=15, Table40[ [#This Row],[Account Deposit Amount] ]-Table40[ [#This Row],[Account Withdrawl Amount] ], )</f>
        <v>0</v>
      </c>
      <c r="T5" s="136">
        <f>IF(Table40[[#This Row],[CODE]]=16, Table40[ [#This Row],[Account Deposit Amount] ]-Table40[ [#This Row],[Account Withdrawl Amount] ], )</f>
        <v>-829.03</v>
      </c>
      <c r="U5" s="135">
        <f>IF(Table40[[#This Row],[CODE]]=17, Table40[ [#This Row],[Account Deposit Amount] ]-Table40[ [#This Row],[Account Withdrawl Amount] ], )</f>
        <v>0</v>
      </c>
      <c r="V5" s="135">
        <f>IF(Table40[[#This Row],[CODE]]=17, Table40[ [#This Row],[Account Deposit Amount] ]-Table40[ [#This Row],[Account Withdrawl Amount] ], )</f>
        <v>0</v>
      </c>
    </row>
    <row r="6" spans="1:27" ht="16.2" thickBot="1">
      <c r="A6" s="130" t="s">
        <v>241</v>
      </c>
      <c r="B6" s="133">
        <v>45148</v>
      </c>
      <c r="C6" s="130" t="s">
        <v>342</v>
      </c>
      <c r="D6" s="132" t="s">
        <v>343</v>
      </c>
      <c r="E6" s="128"/>
      <c r="F6" s="128">
        <v>75.790000000000006</v>
      </c>
      <c r="G6" s="134">
        <f t="shared" si="2"/>
        <v>18411.299999999996</v>
      </c>
      <c r="H6" s="130">
        <v>13</v>
      </c>
      <c r="I6" s="127">
        <f>IF(Table40[[#This Row],[CODE]]=1, Table40[ [#This Row],[Account Deposit Amount] ]-Table40[ [#This Row],[Account Withdrawl Amount] ], )</f>
        <v>0</v>
      </c>
      <c r="J6" s="129">
        <f>IF(Table40[[#This Row],[CODE]]=2, Table40[ [#This Row],[Account Deposit Amount] ]-Table40[ [#This Row],[Account Withdrawl Amount] ], )</f>
        <v>0</v>
      </c>
      <c r="K6" s="129">
        <f>IF(Table40[[#This Row],[CODE]]=3, Table40[ [#This Row],[Account Deposit Amount] ]-Table40[ [#This Row],[Account Withdrawl Amount] ], )</f>
        <v>0</v>
      </c>
      <c r="L6" s="128">
        <f>IF(Table40[[#This Row],[CODE]]=4, Table40[ [#This Row],[Account Deposit Amount] ]-Table40[ [#This Row],[Account Withdrawl Amount] ], )</f>
        <v>0</v>
      </c>
      <c r="M6" s="128">
        <f>IF(Table40[[#This Row],[CODE]]=5, Table40[ [#This Row],[Account Deposit Amount] ]-Table40[ [#This Row],[Account Withdrawl Amount] ], )</f>
        <v>0</v>
      </c>
      <c r="N6" s="128">
        <f>IF(Table40[[#This Row],[CODE]]=6, Table40[ [#This Row],[Account Deposit Amount] ]-Table40[ [#This Row],[Account Withdrawl Amount] ], )</f>
        <v>0</v>
      </c>
      <c r="O6" s="128">
        <f>IF(Table40[[#This Row],[CODE]]=11, Table40[ [#This Row],[Account Deposit Amount] ]-Table40[ [#This Row],[Account Withdrawl Amount] ], )</f>
        <v>0</v>
      </c>
      <c r="P6" s="128">
        <f>IF(Table40[[#This Row],[CODE]]=12, Table40[ [#This Row],[Account Deposit Amount] ]-Table40[ [#This Row],[Account Withdrawl Amount] ], )</f>
        <v>0</v>
      </c>
      <c r="Q6" s="128">
        <f>IF(Table40[[#This Row],[CODE]]=13, Table40[ [#This Row],[Account Deposit Amount] ]-Table40[ [#This Row],[Account Withdrawl Amount] ], )</f>
        <v>-75.790000000000006</v>
      </c>
      <c r="R6" s="128">
        <f>IF(Table40[[#This Row],[CODE]]=14, Table40[ [#This Row],[Account Deposit Amount] ]-Table40[ [#This Row],[Account Withdrawl Amount] ], )</f>
        <v>0</v>
      </c>
      <c r="S6" s="128">
        <f>IF(Table40[[#This Row],[CODE]]=15, Table40[ [#This Row],[Account Deposit Amount] ]-Table40[ [#This Row],[Account Withdrawl Amount] ], )</f>
        <v>0</v>
      </c>
      <c r="T6" s="128">
        <f>IF(Table40[[#This Row],[CODE]]=16, Table40[ [#This Row],[Account Deposit Amount] ]-Table40[ [#This Row],[Account Withdrawl Amount] ], )</f>
        <v>0</v>
      </c>
      <c r="U6" s="127">
        <f>IF(Table40[[#This Row],[CODE]]=17, Table40[ [#This Row],[Account Deposit Amount] ]-Table40[ [#This Row],[Account Withdrawl Amount] ], )</f>
        <v>0</v>
      </c>
      <c r="V6" s="127">
        <f>IF(Table40[[#This Row],[CODE]]=17, Table40[ [#This Row],[Account Deposit Amount] ]-Table40[ [#This Row],[Account Withdrawl Amount] ], )</f>
        <v>0</v>
      </c>
    </row>
    <row r="7" spans="1:27" ht="16.2" thickBot="1">
      <c r="A7" s="130" t="s">
        <v>241</v>
      </c>
      <c r="B7" s="133">
        <v>45150</v>
      </c>
      <c r="C7" s="130" t="s">
        <v>201</v>
      </c>
      <c r="D7" s="132" t="s">
        <v>67</v>
      </c>
      <c r="E7" s="128"/>
      <c r="F7" s="128">
        <v>250.9</v>
      </c>
      <c r="G7" s="134">
        <f t="shared" si="2"/>
        <v>18160.399999999994</v>
      </c>
      <c r="H7" s="130">
        <v>12</v>
      </c>
      <c r="I7" s="127">
        <f>IF(Table40[[#This Row],[CODE]]=1, Table40[ [#This Row],[Account Deposit Amount] ]-Table40[ [#This Row],[Account Withdrawl Amount] ], )</f>
        <v>0</v>
      </c>
      <c r="J7" s="129">
        <f>IF(Table40[[#This Row],[CODE]]=2, Table40[ [#This Row],[Account Deposit Amount] ]-Table40[ [#This Row],[Account Withdrawl Amount] ], )</f>
        <v>0</v>
      </c>
      <c r="K7" s="129">
        <f>IF(Table40[[#This Row],[CODE]]=3, Table40[ [#This Row],[Account Deposit Amount] ]-Table40[ [#This Row],[Account Withdrawl Amount] ], )</f>
        <v>0</v>
      </c>
      <c r="L7" s="128">
        <f>IF(Table40[[#This Row],[CODE]]=4, Table40[ [#This Row],[Account Deposit Amount] ]-Table40[ [#This Row],[Account Withdrawl Amount] ], )</f>
        <v>0</v>
      </c>
      <c r="M7" s="128">
        <f>IF(Table40[[#This Row],[CODE]]=5, Table40[ [#This Row],[Account Deposit Amount] ]-Table40[ [#This Row],[Account Withdrawl Amount] ], )</f>
        <v>0</v>
      </c>
      <c r="N7" s="128">
        <f>IF(Table40[[#This Row],[CODE]]=6, Table40[ [#This Row],[Account Deposit Amount] ]-Table40[ [#This Row],[Account Withdrawl Amount] ], )</f>
        <v>0</v>
      </c>
      <c r="O7" s="128">
        <f>IF(Table40[[#This Row],[CODE]]=11, Table40[ [#This Row],[Account Deposit Amount] ]-Table40[ [#This Row],[Account Withdrawl Amount] ], )</f>
        <v>0</v>
      </c>
      <c r="P7" s="128">
        <f>IF(Table40[[#This Row],[CODE]]=12, Table40[ [#This Row],[Account Deposit Amount] ]-Table40[ [#This Row],[Account Withdrawl Amount] ], )</f>
        <v>-250.9</v>
      </c>
      <c r="Q7" s="128">
        <f>IF(Table40[[#This Row],[CODE]]=13, Table40[ [#This Row],[Account Deposit Amount] ]-Table40[ [#This Row],[Account Withdrawl Amount] ], )</f>
        <v>0</v>
      </c>
      <c r="R7" s="128">
        <f>IF(Table40[[#This Row],[CODE]]=14, Table40[ [#This Row],[Account Deposit Amount] ]-Table40[ [#This Row],[Account Withdrawl Amount] ], )</f>
        <v>0</v>
      </c>
      <c r="S7" s="128">
        <f>IF(Table40[[#This Row],[CODE]]=15, Table40[ [#This Row],[Account Deposit Amount] ]-Table40[ [#This Row],[Account Withdrawl Amount] ], )</f>
        <v>0</v>
      </c>
      <c r="T7" s="128">
        <f>IF(Table40[[#This Row],[CODE]]=16, Table40[ [#This Row],[Account Deposit Amount] ]-Table40[ [#This Row],[Account Withdrawl Amount] ], )</f>
        <v>0</v>
      </c>
      <c r="U7" s="127">
        <f>IF(Table40[[#This Row],[CODE]]=17, Table40[ [#This Row],[Account Deposit Amount] ]-Table40[ [#This Row],[Account Withdrawl Amount] ], )</f>
        <v>0</v>
      </c>
      <c r="V7" s="127">
        <f>IF(Table40[[#This Row],[CODE]]=17, Table40[ [#This Row],[Account Deposit Amount] ]-Table40[ [#This Row],[Account Withdrawl Amount] ], )</f>
        <v>0</v>
      </c>
    </row>
    <row r="8" spans="1:27" ht="16.2" thickBot="1">
      <c r="A8" s="130" t="s">
        <v>238</v>
      </c>
      <c r="B8" s="133">
        <v>45161</v>
      </c>
      <c r="C8" s="130" t="s">
        <v>344</v>
      </c>
      <c r="D8" s="132" t="s">
        <v>345</v>
      </c>
      <c r="E8" s="128">
        <v>188.6</v>
      </c>
      <c r="F8" s="128"/>
      <c r="G8" s="134">
        <f t="shared" si="2"/>
        <v>18348.999999999993</v>
      </c>
      <c r="H8" s="130">
        <v>6</v>
      </c>
      <c r="I8" s="127">
        <f>IF(Table40[[#This Row],[CODE]]=1, Table40[ [#This Row],[Account Deposit Amount] ]-Table40[ [#This Row],[Account Withdrawl Amount] ], )</f>
        <v>0</v>
      </c>
      <c r="J8" s="129">
        <f>IF(Table40[[#This Row],[CODE]]=2, Table40[ [#This Row],[Account Deposit Amount] ]-Table40[ [#This Row],[Account Withdrawl Amount] ], )</f>
        <v>0</v>
      </c>
      <c r="K8" s="129">
        <f>IF(Table40[[#This Row],[CODE]]=3, Table40[ [#This Row],[Account Deposit Amount] ]-Table40[ [#This Row],[Account Withdrawl Amount] ], )</f>
        <v>0</v>
      </c>
      <c r="L8" s="128">
        <f>IF(Table40[[#This Row],[CODE]]=4, Table40[ [#This Row],[Account Deposit Amount] ]-Table40[ [#This Row],[Account Withdrawl Amount] ], )</f>
        <v>0</v>
      </c>
      <c r="M8" s="128">
        <f>IF(Table40[[#This Row],[CODE]]=5, Table40[ [#This Row],[Account Deposit Amount] ]-Table40[ [#This Row],[Account Withdrawl Amount] ], )</f>
        <v>0</v>
      </c>
      <c r="N8" s="128">
        <f>IF(Table40[[#This Row],[CODE]]=6, Table40[ [#This Row],[Account Deposit Amount] ]-Table40[ [#This Row],[Account Withdrawl Amount] ], )</f>
        <v>188.6</v>
      </c>
      <c r="O8" s="128">
        <f>IF(Table40[[#This Row],[CODE]]=11, Table40[ [#This Row],[Account Deposit Amount] ]-Table40[ [#This Row],[Account Withdrawl Amount] ], )</f>
        <v>0</v>
      </c>
      <c r="P8" s="128">
        <f>IF(Table40[[#This Row],[CODE]]=12, Table40[ [#This Row],[Account Deposit Amount] ]-Table40[ [#This Row],[Account Withdrawl Amount] ], )</f>
        <v>0</v>
      </c>
      <c r="Q8" s="128">
        <f>IF(Table40[[#This Row],[CODE]]=13, Table40[ [#This Row],[Account Deposit Amount] ]-Table40[ [#This Row],[Account Withdrawl Amount] ], )</f>
        <v>0</v>
      </c>
      <c r="R8" s="128">
        <f>IF(Table40[[#This Row],[CODE]]=14, Table40[ [#This Row],[Account Deposit Amount] ]-Table40[ [#This Row],[Account Withdrawl Amount] ], )</f>
        <v>0</v>
      </c>
      <c r="S8" s="128">
        <f>IF(Table40[[#This Row],[CODE]]=15, Table40[ [#This Row],[Account Deposit Amount] ]-Table40[ [#This Row],[Account Withdrawl Amount] ], )</f>
        <v>0</v>
      </c>
      <c r="T8" s="128">
        <f>IF(Table40[[#This Row],[CODE]]=16, Table40[ [#This Row],[Account Deposit Amount] ]-Table40[ [#This Row],[Account Withdrawl Amount] ], )</f>
        <v>0</v>
      </c>
      <c r="U8" s="127">
        <f>IF(Table40[[#This Row],[CODE]]=17, Table40[ [#This Row],[Account Deposit Amount] ]-Table40[ [#This Row],[Account Withdrawl Amount] ], )</f>
        <v>0</v>
      </c>
      <c r="V8" s="127">
        <f>IF(Table40[[#This Row],[CODE]]=17, Table40[ [#This Row],[Account Deposit Amount] ]-Table40[ [#This Row],[Account Withdrawl Amount] ], )</f>
        <v>0</v>
      </c>
    </row>
    <row r="9" spans="1:27" ht="16.2" thickBot="1">
      <c r="A9" s="130"/>
      <c r="B9" s="133"/>
      <c r="C9" s="130"/>
      <c r="D9" s="132"/>
      <c r="E9" s="128"/>
      <c r="F9" s="128"/>
      <c r="G9" s="134">
        <f t="shared" si="2"/>
        <v>18348.999999999993</v>
      </c>
      <c r="H9" s="156"/>
      <c r="I9" s="127">
        <f>IF(Table40[[#This Row],[CODE]]=1, Table40[ [#This Row],[Account Deposit Amount] ]-Table40[ [#This Row],[Account Withdrawl Amount] ], )</f>
        <v>0</v>
      </c>
      <c r="J9" s="129">
        <f>IF(Table40[[#This Row],[CODE]]=2, Table40[ [#This Row],[Account Deposit Amount] ]-Table40[ [#This Row],[Account Withdrawl Amount] ], )</f>
        <v>0</v>
      </c>
      <c r="K9" s="129">
        <f>IF(Table40[[#This Row],[CODE]]=3, Table40[ [#This Row],[Account Deposit Amount] ]-Table40[ [#This Row],[Account Withdrawl Amount] ], )</f>
        <v>0</v>
      </c>
      <c r="L9" s="128">
        <f>IF(Table40[[#This Row],[CODE]]=4, Table40[ [#This Row],[Account Deposit Amount] ]-Table40[ [#This Row],[Account Withdrawl Amount] ], )</f>
        <v>0</v>
      </c>
      <c r="M9" s="128">
        <f>IF(Table40[[#This Row],[CODE]]=5, Table40[ [#This Row],[Account Deposit Amount] ]-Table40[ [#This Row],[Account Withdrawl Amount] ], )</f>
        <v>0</v>
      </c>
      <c r="N9" s="128">
        <f>IF(Table40[[#This Row],[CODE]]=6, Table40[ [#This Row],[Account Deposit Amount] ]-Table40[ [#This Row],[Account Withdrawl Amount] ], )</f>
        <v>0</v>
      </c>
      <c r="O9" s="128">
        <f>IF(Table40[[#This Row],[CODE]]=11, Table40[ [#This Row],[Account Deposit Amount] ]-Table40[ [#This Row],[Account Withdrawl Amount] ], )</f>
        <v>0</v>
      </c>
      <c r="P9" s="128">
        <f>IF(Table40[[#This Row],[CODE]]=12, Table40[ [#This Row],[Account Deposit Amount] ]-Table40[ [#This Row],[Account Withdrawl Amount] ], )</f>
        <v>0</v>
      </c>
      <c r="Q9" s="128">
        <f>IF(Table40[[#This Row],[CODE]]=13, Table40[ [#This Row],[Account Deposit Amount] ]-Table40[ [#This Row],[Account Withdrawl Amount] ], )</f>
        <v>0</v>
      </c>
      <c r="R9" s="128">
        <f>IF(Table40[[#This Row],[CODE]]=14, Table40[ [#This Row],[Account Deposit Amount] ]-Table40[ [#This Row],[Account Withdrawl Amount] ], )</f>
        <v>0</v>
      </c>
      <c r="S9" s="128">
        <f>IF(Table40[[#This Row],[CODE]]=15, Table40[ [#This Row],[Account Deposit Amount] ]-Table40[ [#This Row],[Account Withdrawl Amount] ], )</f>
        <v>0</v>
      </c>
      <c r="T9" s="128">
        <f>IF(Table40[[#This Row],[CODE]]=16, Table40[ [#This Row],[Account Deposit Amount] ]-Table40[ [#This Row],[Account Withdrawl Amount] ], )</f>
        <v>0</v>
      </c>
      <c r="U9" s="127">
        <f>IF(Table40[[#This Row],[CODE]]=17, Table40[ [#This Row],[Account Deposit Amount] ]-Table40[ [#This Row],[Account Withdrawl Amount] ], )</f>
        <v>0</v>
      </c>
      <c r="V9" s="127">
        <f>IF(Table40[[#This Row],[CODE]]=17, Table40[ [#This Row],[Account Deposit Amount] ]-Table40[ [#This Row],[Account Withdrawl Amount] ], )</f>
        <v>0</v>
      </c>
    </row>
    <row r="10" spans="1:27" ht="16.2" thickBot="1">
      <c r="A10" s="130"/>
      <c r="B10" s="133"/>
      <c r="C10" s="130"/>
      <c r="D10" s="132"/>
      <c r="E10" s="128"/>
      <c r="F10" s="128"/>
      <c r="G10" s="134">
        <f t="shared" si="2"/>
        <v>18348.999999999993</v>
      </c>
      <c r="H10" s="130"/>
      <c r="I10" s="127">
        <f>IF(Table40[[#This Row],[CODE]]=1, Table40[ [#This Row],[Account Deposit Amount] ]-Table40[ [#This Row],[Account Withdrawl Amount] ], )</f>
        <v>0</v>
      </c>
      <c r="J10" s="129">
        <f>IF(Table40[[#This Row],[CODE]]=2, Table40[ [#This Row],[Account Deposit Amount] ]-Table40[ [#This Row],[Account Withdrawl Amount] ], )</f>
        <v>0</v>
      </c>
      <c r="K10" s="129">
        <f>IF(Table40[[#This Row],[CODE]]=3, Table40[ [#This Row],[Account Deposit Amount] ]-Table40[ [#This Row],[Account Withdrawl Amount] ], )</f>
        <v>0</v>
      </c>
      <c r="L10" s="128">
        <f>IF(Table40[[#This Row],[CODE]]=4, Table40[ [#This Row],[Account Deposit Amount] ]-Table40[ [#This Row],[Account Withdrawl Amount] ], )</f>
        <v>0</v>
      </c>
      <c r="M10" s="128">
        <f>IF(Table40[[#This Row],[CODE]]=5, Table40[ [#This Row],[Account Deposit Amount] ]-Table40[ [#This Row],[Account Withdrawl Amount] ], )</f>
        <v>0</v>
      </c>
      <c r="N10" s="128">
        <f>IF(Table40[[#This Row],[CODE]]=6, Table40[ [#This Row],[Account Deposit Amount] ]-Table40[ [#This Row],[Account Withdrawl Amount] ], )</f>
        <v>0</v>
      </c>
      <c r="O10" s="128">
        <f>IF(Table40[[#This Row],[CODE]]=11, Table40[ [#This Row],[Account Deposit Amount] ]-Table40[ [#This Row],[Account Withdrawl Amount] ], )</f>
        <v>0</v>
      </c>
      <c r="P10" s="128">
        <f>IF(Table40[[#This Row],[CODE]]=12, Table40[ [#This Row],[Account Deposit Amount] ]-Table40[ [#This Row],[Account Withdrawl Amount] ], )</f>
        <v>0</v>
      </c>
      <c r="Q10" s="128">
        <f>IF(Table40[[#This Row],[CODE]]=13, Table40[ [#This Row],[Account Deposit Amount] ]-Table40[ [#This Row],[Account Withdrawl Amount] ], )</f>
        <v>0</v>
      </c>
      <c r="R10" s="128">
        <f>IF(Table40[[#This Row],[CODE]]=14, Table40[ [#This Row],[Account Deposit Amount] ]-Table40[ [#This Row],[Account Withdrawl Amount] ], )</f>
        <v>0</v>
      </c>
      <c r="S10" s="128">
        <f>IF(Table40[[#This Row],[CODE]]=15, Table40[ [#This Row],[Account Deposit Amount] ]-Table40[ [#This Row],[Account Withdrawl Amount] ], )</f>
        <v>0</v>
      </c>
      <c r="T10" s="128">
        <f>IF(Table40[[#This Row],[CODE]]=16, Table40[ [#This Row],[Account Deposit Amount] ]-Table40[ [#This Row],[Account Withdrawl Amount] ], )</f>
        <v>0</v>
      </c>
      <c r="U10" s="127">
        <f>IF(Table40[[#This Row],[CODE]]=17, Table40[ [#This Row],[Account Deposit Amount] ]-Table40[ [#This Row],[Account Withdrawl Amount] ], )</f>
        <v>0</v>
      </c>
      <c r="V10" s="127">
        <f>IF(Table40[[#This Row],[CODE]]=17, Table40[ [#This Row],[Account Deposit Amount] ]-Table40[ [#This Row],[Account Withdrawl Amount] ], )</f>
        <v>0</v>
      </c>
    </row>
    <row r="11" spans="1:27" ht="16.2" thickBot="1">
      <c r="A11" s="130"/>
      <c r="B11" s="133"/>
      <c r="C11" s="130"/>
      <c r="D11" s="132"/>
      <c r="E11" s="128"/>
      <c r="F11" s="128"/>
      <c r="G11" s="134">
        <f t="shared" si="2"/>
        <v>18348.999999999993</v>
      </c>
      <c r="H11" s="130"/>
      <c r="I11" s="127">
        <f>IF(Table40[[#This Row],[CODE]]=1, Table40[ [#This Row],[Account Deposit Amount] ]-Table40[ [#This Row],[Account Withdrawl Amount] ], )</f>
        <v>0</v>
      </c>
      <c r="J11" s="129">
        <f>IF(Table40[[#This Row],[CODE]]=2, Table40[ [#This Row],[Account Deposit Amount] ]-Table40[ [#This Row],[Account Withdrawl Amount] ], )</f>
        <v>0</v>
      </c>
      <c r="K11" s="129">
        <f>IF(Table40[[#This Row],[CODE]]=3, Table40[ [#This Row],[Account Deposit Amount] ]-Table40[ [#This Row],[Account Withdrawl Amount] ], )</f>
        <v>0</v>
      </c>
      <c r="L11" s="128">
        <f>IF(Table40[[#This Row],[CODE]]=4, Table40[ [#This Row],[Account Deposit Amount] ]-Table40[ [#This Row],[Account Withdrawl Amount] ], )</f>
        <v>0</v>
      </c>
      <c r="M11" s="128">
        <f>IF(Table40[[#This Row],[CODE]]=5, Table40[ [#This Row],[Account Deposit Amount] ]-Table40[ [#This Row],[Account Withdrawl Amount] ], )</f>
        <v>0</v>
      </c>
      <c r="N11" s="128">
        <f>IF(Table40[[#This Row],[CODE]]=6, Table40[ [#This Row],[Account Deposit Amount] ]-Table40[ [#This Row],[Account Withdrawl Amount] ], )</f>
        <v>0</v>
      </c>
      <c r="O11" s="128">
        <f>IF(Table40[[#This Row],[CODE]]=11, Table40[ [#This Row],[Account Deposit Amount] ]-Table40[ [#This Row],[Account Withdrawl Amount] ], )</f>
        <v>0</v>
      </c>
      <c r="P11" s="128">
        <f>IF(Table40[[#This Row],[CODE]]=12, Table40[ [#This Row],[Account Deposit Amount] ]-Table40[ [#This Row],[Account Withdrawl Amount] ], )</f>
        <v>0</v>
      </c>
      <c r="Q11" s="128">
        <f>IF(Table40[[#This Row],[CODE]]=13, Table40[ [#This Row],[Account Deposit Amount] ]-Table40[ [#This Row],[Account Withdrawl Amount] ], )</f>
        <v>0</v>
      </c>
      <c r="R11" s="128">
        <f>IF(Table40[[#This Row],[CODE]]=14, Table40[ [#This Row],[Account Deposit Amount] ]-Table40[ [#This Row],[Account Withdrawl Amount] ], )</f>
        <v>0</v>
      </c>
      <c r="S11" s="128">
        <f>IF(Table40[[#This Row],[CODE]]=15, Table40[ [#This Row],[Account Deposit Amount] ]-Table40[ [#This Row],[Account Withdrawl Amount] ], )</f>
        <v>0</v>
      </c>
      <c r="T11" s="128">
        <f>IF(Table40[[#This Row],[CODE]]=16, Table40[ [#This Row],[Account Deposit Amount] ]-Table40[ [#This Row],[Account Withdrawl Amount] ], )</f>
        <v>0</v>
      </c>
      <c r="U11" s="127">
        <f>IF(Table40[[#This Row],[CODE]]=17, Table40[ [#This Row],[Account Deposit Amount] ]-Table40[ [#This Row],[Account Withdrawl Amount] ], )</f>
        <v>0</v>
      </c>
      <c r="V11" s="127">
        <f>IF(Table40[[#This Row],[CODE]]=17, Table40[ [#This Row],[Account Deposit Amount] ]-Table40[ [#This Row],[Account Withdrawl Amount] ], )</f>
        <v>0</v>
      </c>
    </row>
    <row r="12" spans="1:27" ht="16.2" thickBot="1">
      <c r="A12" s="130"/>
      <c r="B12" s="133"/>
      <c r="C12" s="130"/>
      <c r="D12" s="132"/>
      <c r="E12" s="128"/>
      <c r="F12" s="128"/>
      <c r="G12" s="134">
        <f t="shared" si="2"/>
        <v>18348.999999999993</v>
      </c>
      <c r="H12" s="130"/>
      <c r="I12" s="127">
        <f>IF(Table40[[#This Row],[CODE]]=1, Table40[ [#This Row],[Account Deposit Amount] ]-Table40[ [#This Row],[Account Withdrawl Amount] ], )</f>
        <v>0</v>
      </c>
      <c r="J12" s="129">
        <f>IF(Table40[[#This Row],[CODE]]=2, Table40[ [#This Row],[Account Deposit Amount] ]-Table40[ [#This Row],[Account Withdrawl Amount] ], )</f>
        <v>0</v>
      </c>
      <c r="K12" s="129">
        <f>IF(Table40[[#This Row],[CODE]]=3, Table40[ [#This Row],[Account Deposit Amount] ]-Table40[ [#This Row],[Account Withdrawl Amount] ], )</f>
        <v>0</v>
      </c>
      <c r="L12" s="128">
        <f>IF(Table40[[#This Row],[CODE]]=4, Table40[ [#This Row],[Account Deposit Amount] ]-Table40[ [#This Row],[Account Withdrawl Amount] ], )</f>
        <v>0</v>
      </c>
      <c r="M12" s="128">
        <f>IF(Table40[[#This Row],[CODE]]=5, Table40[ [#This Row],[Account Deposit Amount] ]-Table40[ [#This Row],[Account Withdrawl Amount] ], )</f>
        <v>0</v>
      </c>
      <c r="N12" s="128">
        <f>IF(Table40[[#This Row],[CODE]]=6, Table40[ [#This Row],[Account Deposit Amount] ]-Table40[ [#This Row],[Account Withdrawl Amount] ], )</f>
        <v>0</v>
      </c>
      <c r="O12" s="128">
        <f>IF(Table40[[#This Row],[CODE]]=11, Table40[ [#This Row],[Account Deposit Amount] ]-Table40[ [#This Row],[Account Withdrawl Amount] ], )</f>
        <v>0</v>
      </c>
      <c r="P12" s="128">
        <f>IF(Table40[[#This Row],[CODE]]=12, Table40[ [#This Row],[Account Deposit Amount] ]-Table40[ [#This Row],[Account Withdrawl Amount] ], )</f>
        <v>0</v>
      </c>
      <c r="Q12" s="128">
        <f>IF(Table40[[#This Row],[CODE]]=13, Table40[ [#This Row],[Account Deposit Amount] ]-Table40[ [#This Row],[Account Withdrawl Amount] ], )</f>
        <v>0</v>
      </c>
      <c r="R12" s="128">
        <f>IF(Table40[[#This Row],[CODE]]=14, Table40[ [#This Row],[Account Deposit Amount] ]-Table40[ [#This Row],[Account Withdrawl Amount] ], )</f>
        <v>0</v>
      </c>
      <c r="S12" s="128">
        <f>IF(Table40[[#This Row],[CODE]]=15, Table40[ [#This Row],[Account Deposit Amount] ]-Table40[ [#This Row],[Account Withdrawl Amount] ], )</f>
        <v>0</v>
      </c>
      <c r="T12" s="128">
        <f>IF(Table40[[#This Row],[CODE]]=16, Table40[ [#This Row],[Account Deposit Amount] ]-Table40[ [#This Row],[Account Withdrawl Amount] ], )</f>
        <v>0</v>
      </c>
      <c r="U12" s="127">
        <f>IF(Table40[[#This Row],[CODE]]=17, Table40[ [#This Row],[Account Deposit Amount] ]-Table40[ [#This Row],[Account Withdrawl Amount] ], )</f>
        <v>0</v>
      </c>
      <c r="V12" s="127">
        <f>IF(Table40[[#This Row],[CODE]]=17, Table40[ [#This Row],[Account Deposit Amount] ]-Table40[ [#This Row],[Account Withdrawl Amount] ], )</f>
        <v>0</v>
      </c>
    </row>
    <row r="13" spans="1:27" ht="16.2" thickBot="1">
      <c r="A13" s="130"/>
      <c r="B13" s="133"/>
      <c r="C13" s="130"/>
      <c r="D13" s="132"/>
      <c r="E13" s="128"/>
      <c r="F13" s="128"/>
      <c r="G13" s="134">
        <f t="shared" si="2"/>
        <v>18348.999999999993</v>
      </c>
      <c r="H13" s="130"/>
      <c r="I13" s="127">
        <f>IF(Table40[[#This Row],[CODE]]=1, Table40[ [#This Row],[Account Deposit Amount] ]-Table40[ [#This Row],[Account Withdrawl Amount] ], )</f>
        <v>0</v>
      </c>
      <c r="J13" s="129">
        <f>IF(Table40[[#This Row],[CODE]]=2, Table40[ [#This Row],[Account Deposit Amount] ]-Table40[ [#This Row],[Account Withdrawl Amount] ], )</f>
        <v>0</v>
      </c>
      <c r="K13" s="129">
        <f>IF(Table40[[#This Row],[CODE]]=3, Table40[ [#This Row],[Account Deposit Amount] ]-Table40[ [#This Row],[Account Withdrawl Amount] ], )</f>
        <v>0</v>
      </c>
      <c r="L13" s="128">
        <f>IF(Table40[[#This Row],[CODE]]=4, Table40[ [#This Row],[Account Deposit Amount] ]-Table40[ [#This Row],[Account Withdrawl Amount] ], )</f>
        <v>0</v>
      </c>
      <c r="M13" s="128">
        <f>IF(Table40[[#This Row],[CODE]]=5, Table40[ [#This Row],[Account Deposit Amount] ]-Table40[ [#This Row],[Account Withdrawl Amount] ], )</f>
        <v>0</v>
      </c>
      <c r="N13" s="128">
        <f>IF(Table40[[#This Row],[CODE]]=6, Table40[ [#This Row],[Account Deposit Amount] ]-Table40[ [#This Row],[Account Withdrawl Amount] ], )</f>
        <v>0</v>
      </c>
      <c r="O13" s="128">
        <f>IF(Table40[[#This Row],[CODE]]=11, Table40[ [#This Row],[Account Deposit Amount] ]-Table40[ [#This Row],[Account Withdrawl Amount] ], )</f>
        <v>0</v>
      </c>
      <c r="P13" s="128">
        <f>IF(Table40[[#This Row],[CODE]]=12, Table40[ [#This Row],[Account Deposit Amount] ]-Table40[ [#This Row],[Account Withdrawl Amount] ], )</f>
        <v>0</v>
      </c>
      <c r="Q13" s="128">
        <f>IF(Table40[[#This Row],[CODE]]=13, Table40[ [#This Row],[Account Deposit Amount] ]-Table40[ [#This Row],[Account Withdrawl Amount] ], )</f>
        <v>0</v>
      </c>
      <c r="R13" s="128">
        <f>IF(Table40[[#This Row],[CODE]]=14, Table40[ [#This Row],[Account Deposit Amount] ]-Table40[ [#This Row],[Account Withdrawl Amount] ], )</f>
        <v>0</v>
      </c>
      <c r="S13" s="128">
        <f>IF(Table40[[#This Row],[CODE]]=15, Table40[ [#This Row],[Account Deposit Amount] ]-Table40[ [#This Row],[Account Withdrawl Amount] ], )</f>
        <v>0</v>
      </c>
      <c r="T13" s="128">
        <f>IF(Table40[[#This Row],[CODE]]=16, Table40[ [#This Row],[Account Deposit Amount] ]-Table40[ [#This Row],[Account Withdrawl Amount] ], )</f>
        <v>0</v>
      </c>
      <c r="U13" s="127">
        <f>IF(Table40[[#This Row],[CODE]]=17, Table40[ [#This Row],[Account Deposit Amount] ]-Table40[ [#This Row],[Account Withdrawl Amount] ], )</f>
        <v>0</v>
      </c>
      <c r="V13" s="127">
        <f>IF(Table40[[#This Row],[CODE]]=17, Table40[ [#This Row],[Account Deposit Amount] ]-Table40[ [#This Row],[Account Withdrawl Amount] ], )</f>
        <v>0</v>
      </c>
    </row>
    <row r="14" spans="1:27" ht="16.2" thickBot="1">
      <c r="A14" s="130"/>
      <c r="B14" s="133"/>
      <c r="C14" s="130"/>
      <c r="D14" s="132"/>
      <c r="E14" s="128"/>
      <c r="F14" s="128"/>
      <c r="G14" s="134">
        <f t="shared" si="2"/>
        <v>18348.999999999993</v>
      </c>
      <c r="H14" s="130"/>
      <c r="I14" s="127">
        <f>IF(Table40[[#This Row],[CODE]]=1, Table40[ [#This Row],[Account Deposit Amount] ]-Table40[ [#This Row],[Account Withdrawl Amount] ], )</f>
        <v>0</v>
      </c>
      <c r="J14" s="129">
        <f>IF(Table40[[#This Row],[CODE]]=2, Table40[ [#This Row],[Account Deposit Amount] ]-Table40[ [#This Row],[Account Withdrawl Amount] ], )</f>
        <v>0</v>
      </c>
      <c r="K14" s="129">
        <f>IF(Table40[[#This Row],[CODE]]=3, Table40[ [#This Row],[Account Deposit Amount] ]-Table40[ [#This Row],[Account Withdrawl Amount] ], )</f>
        <v>0</v>
      </c>
      <c r="L14" s="128">
        <f>IF(Table40[[#This Row],[CODE]]=4, Table40[ [#This Row],[Account Deposit Amount] ]-Table40[ [#This Row],[Account Withdrawl Amount] ], )</f>
        <v>0</v>
      </c>
      <c r="M14" s="128">
        <f>IF(Table40[[#This Row],[CODE]]=5, Table40[ [#This Row],[Account Deposit Amount] ]-Table40[ [#This Row],[Account Withdrawl Amount] ], )</f>
        <v>0</v>
      </c>
      <c r="N14" s="128">
        <f>IF(Table40[[#This Row],[CODE]]=6, Table40[ [#This Row],[Account Deposit Amount] ]-Table40[ [#This Row],[Account Withdrawl Amount] ], )</f>
        <v>0</v>
      </c>
      <c r="O14" s="128">
        <f>IF(Table40[[#This Row],[CODE]]=11, Table40[ [#This Row],[Account Deposit Amount] ]-Table40[ [#This Row],[Account Withdrawl Amount] ], )</f>
        <v>0</v>
      </c>
      <c r="P14" s="128">
        <f>IF(Table40[[#This Row],[CODE]]=12, Table40[ [#This Row],[Account Deposit Amount] ]-Table40[ [#This Row],[Account Withdrawl Amount] ], )</f>
        <v>0</v>
      </c>
      <c r="Q14" s="128">
        <f>IF(Table40[[#This Row],[CODE]]=13, Table40[ [#This Row],[Account Deposit Amount] ]-Table40[ [#This Row],[Account Withdrawl Amount] ], )</f>
        <v>0</v>
      </c>
      <c r="R14" s="128">
        <f>IF(Table40[[#This Row],[CODE]]=14, Table40[ [#This Row],[Account Deposit Amount] ]-Table40[ [#This Row],[Account Withdrawl Amount] ], )</f>
        <v>0</v>
      </c>
      <c r="S14" s="128">
        <f>IF(Table40[[#This Row],[CODE]]=15, Table40[ [#This Row],[Account Deposit Amount] ]-Table40[ [#This Row],[Account Withdrawl Amount] ], )</f>
        <v>0</v>
      </c>
      <c r="T14" s="128">
        <f>IF(Table40[[#This Row],[CODE]]=16, Table40[ [#This Row],[Account Deposit Amount] ]-Table40[ [#This Row],[Account Withdrawl Amount] ], )</f>
        <v>0</v>
      </c>
      <c r="U14" s="127">
        <f>IF(Table40[[#This Row],[CODE]]=17, Table40[ [#This Row],[Account Deposit Amount] ]-Table40[ [#This Row],[Account Withdrawl Amount] ], )</f>
        <v>0</v>
      </c>
      <c r="V14" s="127">
        <f>IF(Table40[[#This Row],[CODE]]=17, Table40[ [#This Row],[Account Deposit Amount] ]-Table40[ [#This Row],[Account Withdrawl Amount] ], )</f>
        <v>0</v>
      </c>
    </row>
    <row r="15" spans="1:27" ht="16.2" thickBot="1">
      <c r="A15" s="130"/>
      <c r="B15" s="133"/>
      <c r="C15" s="130"/>
      <c r="D15" s="132"/>
      <c r="E15" s="128"/>
      <c r="F15" s="128"/>
      <c r="G15" s="134">
        <f t="shared" si="2"/>
        <v>18348.999999999993</v>
      </c>
      <c r="H15" s="130"/>
      <c r="I15" s="127">
        <f>IF(Table40[[#This Row],[CODE]]=1, Table40[ [#This Row],[Account Deposit Amount] ]-Table40[ [#This Row],[Account Withdrawl Amount] ], )</f>
        <v>0</v>
      </c>
      <c r="J15" s="129">
        <f>IF(Table40[[#This Row],[CODE]]=2, Table40[ [#This Row],[Account Deposit Amount] ]-Table40[ [#This Row],[Account Withdrawl Amount] ], )</f>
        <v>0</v>
      </c>
      <c r="K15" s="129">
        <f>IF(Table40[[#This Row],[CODE]]=3, Table40[ [#This Row],[Account Deposit Amount] ]-Table40[ [#This Row],[Account Withdrawl Amount] ], )</f>
        <v>0</v>
      </c>
      <c r="L15" s="128">
        <f>IF(Table40[[#This Row],[CODE]]=4, Table40[ [#This Row],[Account Deposit Amount] ]-Table40[ [#This Row],[Account Withdrawl Amount] ], )</f>
        <v>0</v>
      </c>
      <c r="M15" s="128">
        <f>IF(Table40[[#This Row],[CODE]]=5, Table40[ [#This Row],[Account Deposit Amount] ]-Table40[ [#This Row],[Account Withdrawl Amount] ], )</f>
        <v>0</v>
      </c>
      <c r="N15" s="128">
        <f>IF(Table40[[#This Row],[CODE]]=6, Table40[ [#This Row],[Account Deposit Amount] ]-Table40[ [#This Row],[Account Withdrawl Amount] ], )</f>
        <v>0</v>
      </c>
      <c r="O15" s="128">
        <f>IF(Table40[[#This Row],[CODE]]=11, Table40[ [#This Row],[Account Deposit Amount] ]-Table40[ [#This Row],[Account Withdrawl Amount] ], )</f>
        <v>0</v>
      </c>
      <c r="P15" s="128">
        <f>IF(Table40[[#This Row],[CODE]]=12, Table40[ [#This Row],[Account Deposit Amount] ]-Table40[ [#This Row],[Account Withdrawl Amount] ], )</f>
        <v>0</v>
      </c>
      <c r="Q15" s="128">
        <f>IF(Table40[[#This Row],[CODE]]=13, Table40[ [#This Row],[Account Deposit Amount] ]-Table40[ [#This Row],[Account Withdrawl Amount] ], )</f>
        <v>0</v>
      </c>
      <c r="R15" s="128">
        <f>IF(Table40[[#This Row],[CODE]]=14, Table40[ [#This Row],[Account Deposit Amount] ]-Table40[ [#This Row],[Account Withdrawl Amount] ], )</f>
        <v>0</v>
      </c>
      <c r="S15" s="128">
        <f>IF(Table40[[#This Row],[CODE]]=15, Table40[ [#This Row],[Account Deposit Amount] ]-Table40[ [#This Row],[Account Withdrawl Amount] ], )</f>
        <v>0</v>
      </c>
      <c r="T15" s="128">
        <f>IF(Table40[[#This Row],[CODE]]=16, Table40[ [#This Row],[Account Deposit Amount] ]-Table40[ [#This Row],[Account Withdrawl Amount] ], )</f>
        <v>0</v>
      </c>
      <c r="U15" s="127">
        <f>IF(Table40[[#This Row],[CODE]]=17, Table40[ [#This Row],[Account Deposit Amount] ]-Table40[ [#This Row],[Account Withdrawl Amount] ], )</f>
        <v>0</v>
      </c>
      <c r="V15" s="127">
        <f>IF(Table40[[#This Row],[CODE]]=17, Table40[ [#This Row],[Account Deposit Amount] ]-Table40[ [#This Row],[Account Withdrawl Amount] ], )</f>
        <v>0</v>
      </c>
    </row>
    <row r="16" spans="1:27" ht="16.2" thickBot="1">
      <c r="A16" s="130"/>
      <c r="B16" s="133"/>
      <c r="C16" s="130"/>
      <c r="D16" s="132"/>
      <c r="E16" s="128"/>
      <c r="F16" s="128"/>
      <c r="G16" s="134">
        <f t="shared" si="2"/>
        <v>18348.999999999993</v>
      </c>
      <c r="H16" s="130"/>
      <c r="I16" s="127">
        <f>IF(Table40[[#This Row],[CODE]]=1, Table40[ [#This Row],[Account Deposit Amount] ]-Table40[ [#This Row],[Account Withdrawl Amount] ], )</f>
        <v>0</v>
      </c>
      <c r="J16" s="129">
        <f>IF(Table40[[#This Row],[CODE]]=2, Table40[ [#This Row],[Account Deposit Amount] ]-Table40[ [#This Row],[Account Withdrawl Amount] ], )</f>
        <v>0</v>
      </c>
      <c r="K16" s="129">
        <f>IF(Table40[[#This Row],[CODE]]=3, Table40[ [#This Row],[Account Deposit Amount] ]-Table40[ [#This Row],[Account Withdrawl Amount] ], )</f>
        <v>0</v>
      </c>
      <c r="L16" s="128">
        <f>IF(Table40[[#This Row],[CODE]]=4, Table40[ [#This Row],[Account Deposit Amount] ]-Table40[ [#This Row],[Account Withdrawl Amount] ], )</f>
        <v>0</v>
      </c>
      <c r="M16" s="128">
        <f>IF(Table40[[#This Row],[CODE]]=5, Table40[ [#This Row],[Account Deposit Amount] ]-Table40[ [#This Row],[Account Withdrawl Amount] ], )</f>
        <v>0</v>
      </c>
      <c r="N16" s="128">
        <f>IF(Table40[[#This Row],[CODE]]=6, Table40[ [#This Row],[Account Deposit Amount] ]-Table40[ [#This Row],[Account Withdrawl Amount] ], )</f>
        <v>0</v>
      </c>
      <c r="O16" s="128">
        <f>IF(Table40[[#This Row],[CODE]]=11, Table40[ [#This Row],[Account Deposit Amount] ]-Table40[ [#This Row],[Account Withdrawl Amount] ], )</f>
        <v>0</v>
      </c>
      <c r="P16" s="128">
        <f>IF(Table40[[#This Row],[CODE]]=12, Table40[ [#This Row],[Account Deposit Amount] ]-Table40[ [#This Row],[Account Withdrawl Amount] ], )</f>
        <v>0</v>
      </c>
      <c r="Q16" s="128">
        <f>IF(Table40[[#This Row],[CODE]]=13, Table40[ [#This Row],[Account Deposit Amount] ]-Table40[ [#This Row],[Account Withdrawl Amount] ], )</f>
        <v>0</v>
      </c>
      <c r="R16" s="128">
        <f>IF(Table40[[#This Row],[CODE]]=14, Table40[ [#This Row],[Account Deposit Amount] ]-Table40[ [#This Row],[Account Withdrawl Amount] ], )</f>
        <v>0</v>
      </c>
      <c r="S16" s="128">
        <f>IF(Table40[[#This Row],[CODE]]=15, Table40[ [#This Row],[Account Deposit Amount] ]-Table40[ [#This Row],[Account Withdrawl Amount] ], )</f>
        <v>0</v>
      </c>
      <c r="T16" s="128">
        <f>IF(Table40[[#This Row],[CODE]]=16, Table40[ [#This Row],[Account Deposit Amount] ]-Table40[ [#This Row],[Account Withdrawl Amount] ], )</f>
        <v>0</v>
      </c>
      <c r="U16" s="127">
        <f>IF(Table40[[#This Row],[CODE]]=17, Table40[ [#This Row],[Account Deposit Amount] ]-Table40[ [#This Row],[Account Withdrawl Amount] ], )</f>
        <v>0</v>
      </c>
      <c r="V16" s="127">
        <f>IF(Table40[[#This Row],[CODE]]=17, Table40[ [#This Row],[Account Deposit Amount] ]-Table40[ [#This Row],[Account Withdrawl Amount] ], )</f>
        <v>0</v>
      </c>
    </row>
    <row r="17" spans="1:22" ht="16.2" thickBot="1">
      <c r="A17" s="130"/>
      <c r="B17" s="133"/>
      <c r="C17" s="130"/>
      <c r="D17" s="132"/>
      <c r="E17" s="128"/>
      <c r="F17" s="128"/>
      <c r="G17" s="134">
        <f t="shared" si="2"/>
        <v>18348.999999999993</v>
      </c>
      <c r="H17" s="130"/>
      <c r="I17" s="127">
        <f>IF(Table40[[#This Row],[CODE]]=1, Table40[ [#This Row],[Account Deposit Amount] ]-Table40[ [#This Row],[Account Withdrawl Amount] ], )</f>
        <v>0</v>
      </c>
      <c r="J17" s="129">
        <f>IF(Table40[[#This Row],[CODE]]=2, Table40[ [#This Row],[Account Deposit Amount] ]-Table40[ [#This Row],[Account Withdrawl Amount] ], )</f>
        <v>0</v>
      </c>
      <c r="K17" s="129">
        <f>IF(Table40[[#This Row],[CODE]]=3, Table40[ [#This Row],[Account Deposit Amount] ]-Table40[ [#This Row],[Account Withdrawl Amount] ], )</f>
        <v>0</v>
      </c>
      <c r="L17" s="128">
        <f>IF(Table40[[#This Row],[CODE]]=4, Table40[ [#This Row],[Account Deposit Amount] ]-Table40[ [#This Row],[Account Withdrawl Amount] ], )</f>
        <v>0</v>
      </c>
      <c r="M17" s="128">
        <f>IF(Table40[[#This Row],[CODE]]=5, Table40[ [#This Row],[Account Deposit Amount] ]-Table40[ [#This Row],[Account Withdrawl Amount] ], )</f>
        <v>0</v>
      </c>
      <c r="N17" s="128">
        <f>IF(Table40[[#This Row],[CODE]]=6, Table40[ [#This Row],[Account Deposit Amount] ]-Table40[ [#This Row],[Account Withdrawl Amount] ], )</f>
        <v>0</v>
      </c>
      <c r="O17" s="128">
        <f>IF(Table40[[#This Row],[CODE]]=11, Table40[ [#This Row],[Account Deposit Amount] ]-Table40[ [#This Row],[Account Withdrawl Amount] ], )</f>
        <v>0</v>
      </c>
      <c r="P17" s="128">
        <f>IF(Table40[[#This Row],[CODE]]=12, Table40[ [#This Row],[Account Deposit Amount] ]-Table40[ [#This Row],[Account Withdrawl Amount] ], )</f>
        <v>0</v>
      </c>
      <c r="Q17" s="128">
        <f>IF(Table40[[#This Row],[CODE]]=13, Table40[ [#This Row],[Account Deposit Amount] ]-Table40[ [#This Row],[Account Withdrawl Amount] ], )</f>
        <v>0</v>
      </c>
      <c r="R17" s="128">
        <f>IF(Table40[[#This Row],[CODE]]=14, Table40[ [#This Row],[Account Deposit Amount] ]-Table40[ [#This Row],[Account Withdrawl Amount] ], )</f>
        <v>0</v>
      </c>
      <c r="S17" s="128">
        <f>IF(Table40[[#This Row],[CODE]]=15, Table40[ [#This Row],[Account Deposit Amount] ]-Table40[ [#This Row],[Account Withdrawl Amount] ], )</f>
        <v>0</v>
      </c>
      <c r="T17" s="128">
        <f>IF(Table40[[#This Row],[CODE]]=16, Table40[ [#This Row],[Account Deposit Amount] ]-Table40[ [#This Row],[Account Withdrawl Amount] ], )</f>
        <v>0</v>
      </c>
      <c r="U17" s="127">
        <f>IF(Table40[[#This Row],[CODE]]=17, Table40[ [#This Row],[Account Deposit Amount] ]-Table40[ [#This Row],[Account Withdrawl Amount] ], )</f>
        <v>0</v>
      </c>
      <c r="V17" s="127">
        <f>IF(Table40[[#This Row],[CODE]]=17, Table40[ [#This Row],[Account Deposit Amount] ]-Table40[ [#This Row],[Account Withdrawl Amount] ], )</f>
        <v>0</v>
      </c>
    </row>
    <row r="18" spans="1:22" ht="16.2" thickBot="1">
      <c r="A18" s="130"/>
      <c r="B18" s="133"/>
      <c r="C18" s="130"/>
      <c r="D18" s="132"/>
      <c r="E18" s="128"/>
      <c r="F18" s="128"/>
      <c r="G18" s="134">
        <f t="shared" si="2"/>
        <v>18348.999999999993</v>
      </c>
      <c r="H18" s="130"/>
      <c r="I18" s="127">
        <f>IF(Table40[[#This Row],[CODE]]=1, Table40[ [#This Row],[Account Deposit Amount] ]-Table40[ [#This Row],[Account Withdrawl Amount] ], )</f>
        <v>0</v>
      </c>
      <c r="J18" s="129">
        <f>IF(Table40[[#This Row],[CODE]]=2, Table40[ [#This Row],[Account Deposit Amount] ]-Table40[ [#This Row],[Account Withdrawl Amount] ], )</f>
        <v>0</v>
      </c>
      <c r="K18" s="129">
        <f>IF(Table40[[#This Row],[CODE]]=3, Table40[ [#This Row],[Account Deposit Amount] ]-Table40[ [#This Row],[Account Withdrawl Amount] ], )</f>
        <v>0</v>
      </c>
      <c r="L18" s="128">
        <f>IF(Table40[[#This Row],[CODE]]=4, Table40[ [#This Row],[Account Deposit Amount] ]-Table40[ [#This Row],[Account Withdrawl Amount] ], )</f>
        <v>0</v>
      </c>
      <c r="M18" s="128">
        <f>IF(Table40[[#This Row],[CODE]]=5, Table40[ [#This Row],[Account Deposit Amount] ]-Table40[ [#This Row],[Account Withdrawl Amount] ], )</f>
        <v>0</v>
      </c>
      <c r="N18" s="128">
        <f>IF(Table40[[#This Row],[CODE]]=6, Table40[ [#This Row],[Account Deposit Amount] ]-Table40[ [#This Row],[Account Withdrawl Amount] ], )</f>
        <v>0</v>
      </c>
      <c r="O18" s="128">
        <f>IF(Table40[[#This Row],[CODE]]=11, Table40[ [#This Row],[Account Deposit Amount] ]-Table40[ [#This Row],[Account Withdrawl Amount] ], )</f>
        <v>0</v>
      </c>
      <c r="P18" s="128">
        <f>IF(Table40[[#This Row],[CODE]]=12, Table40[ [#This Row],[Account Deposit Amount] ]-Table40[ [#This Row],[Account Withdrawl Amount] ], )</f>
        <v>0</v>
      </c>
      <c r="Q18" s="128">
        <f>IF(Table40[[#This Row],[CODE]]=13, Table40[ [#This Row],[Account Deposit Amount] ]-Table40[ [#This Row],[Account Withdrawl Amount] ], )</f>
        <v>0</v>
      </c>
      <c r="R18" s="128">
        <f>IF(Table40[[#This Row],[CODE]]=14, Table40[ [#This Row],[Account Deposit Amount] ]-Table40[ [#This Row],[Account Withdrawl Amount] ], )</f>
        <v>0</v>
      </c>
      <c r="S18" s="128">
        <f>IF(Table40[[#This Row],[CODE]]=15, Table40[ [#This Row],[Account Deposit Amount] ]-Table40[ [#This Row],[Account Withdrawl Amount] ], )</f>
        <v>0</v>
      </c>
      <c r="T18" s="128">
        <f>IF(Table40[[#This Row],[CODE]]=16, Table40[ [#This Row],[Account Deposit Amount] ]-Table40[ [#This Row],[Account Withdrawl Amount] ], )</f>
        <v>0</v>
      </c>
      <c r="U18" s="127">
        <f>IF(Table40[[#This Row],[CODE]]=17, Table40[ [#This Row],[Account Deposit Amount] ]-Table40[ [#This Row],[Account Withdrawl Amount] ], )</f>
        <v>0</v>
      </c>
      <c r="V18" s="127">
        <f>IF(Table40[[#This Row],[CODE]]=17, Table40[ [#This Row],[Account Deposit Amount] ]-Table40[ [#This Row],[Account Withdrawl Amount] ], )</f>
        <v>0</v>
      </c>
    </row>
    <row r="19" spans="1:22" ht="16.2" thickBot="1">
      <c r="A19" s="130"/>
      <c r="B19" s="133"/>
      <c r="C19" s="130"/>
      <c r="D19" s="132"/>
      <c r="E19" s="128"/>
      <c r="F19" s="128"/>
      <c r="G19" s="134">
        <f t="shared" si="2"/>
        <v>18348.999999999993</v>
      </c>
      <c r="H19" s="130"/>
      <c r="I19" s="127">
        <f>IF(Table40[[#This Row],[CODE]]=1, Table40[ [#This Row],[Account Deposit Amount] ]-Table40[ [#This Row],[Account Withdrawl Amount] ], )</f>
        <v>0</v>
      </c>
      <c r="J19" s="129">
        <f>IF(Table40[[#This Row],[CODE]]=2, Table40[ [#This Row],[Account Deposit Amount] ]-Table40[ [#This Row],[Account Withdrawl Amount] ], )</f>
        <v>0</v>
      </c>
      <c r="K19" s="129">
        <f>IF(Table40[[#This Row],[CODE]]=3, Table40[ [#This Row],[Account Deposit Amount] ]-Table40[ [#This Row],[Account Withdrawl Amount] ], )</f>
        <v>0</v>
      </c>
      <c r="L19" s="128">
        <f>IF(Table40[[#This Row],[CODE]]=4, Table40[ [#This Row],[Account Deposit Amount] ]-Table40[ [#This Row],[Account Withdrawl Amount] ], )</f>
        <v>0</v>
      </c>
      <c r="M19" s="128">
        <f>IF(Table40[[#This Row],[CODE]]=5, Table40[ [#This Row],[Account Deposit Amount] ]-Table40[ [#This Row],[Account Withdrawl Amount] ], )</f>
        <v>0</v>
      </c>
      <c r="N19" s="128">
        <f>IF(Table40[[#This Row],[CODE]]=6, Table40[ [#This Row],[Account Deposit Amount] ]-Table40[ [#This Row],[Account Withdrawl Amount] ], )</f>
        <v>0</v>
      </c>
      <c r="O19" s="128">
        <f>IF(Table40[[#This Row],[CODE]]=11, Table40[ [#This Row],[Account Deposit Amount] ]-Table40[ [#This Row],[Account Withdrawl Amount] ], )</f>
        <v>0</v>
      </c>
      <c r="P19" s="128">
        <f>IF(Table40[[#This Row],[CODE]]=12, Table40[ [#This Row],[Account Deposit Amount] ]-Table40[ [#This Row],[Account Withdrawl Amount] ], )</f>
        <v>0</v>
      </c>
      <c r="Q19" s="128">
        <f>IF(Table40[[#This Row],[CODE]]=13, Table40[ [#This Row],[Account Deposit Amount] ]-Table40[ [#This Row],[Account Withdrawl Amount] ], )</f>
        <v>0</v>
      </c>
      <c r="R19" s="128">
        <f>IF(Table40[[#This Row],[CODE]]=14, Table40[ [#This Row],[Account Deposit Amount] ]-Table40[ [#This Row],[Account Withdrawl Amount] ], )</f>
        <v>0</v>
      </c>
      <c r="S19" s="128">
        <f>IF(Table40[[#This Row],[CODE]]=15, Table40[ [#This Row],[Account Deposit Amount] ]-Table40[ [#This Row],[Account Withdrawl Amount] ], )</f>
        <v>0</v>
      </c>
      <c r="T19" s="128">
        <f>IF(Table40[[#This Row],[CODE]]=16, Table40[ [#This Row],[Account Deposit Amount] ]-Table40[ [#This Row],[Account Withdrawl Amount] ], )</f>
        <v>0</v>
      </c>
      <c r="U19" s="127">
        <f>IF(Table40[[#This Row],[CODE]]=17, Table40[ [#This Row],[Account Deposit Amount] ]-Table40[ [#This Row],[Account Withdrawl Amount] ], )</f>
        <v>0</v>
      </c>
      <c r="V19" s="127">
        <f>IF(Table40[[#This Row],[CODE]]=17, Table40[ [#This Row],[Account Deposit Amount] ]-Table40[ [#This Row],[Account Withdrawl Amount] ], )</f>
        <v>0</v>
      </c>
    </row>
    <row r="20" spans="1:22" ht="16.2" thickBot="1">
      <c r="A20" s="130"/>
      <c r="B20" s="133"/>
      <c r="C20" s="130"/>
      <c r="D20" s="132"/>
      <c r="E20" s="128"/>
      <c r="F20" s="128"/>
      <c r="G20" s="134">
        <f t="shared" si="2"/>
        <v>18348.999999999993</v>
      </c>
      <c r="H20" s="130"/>
      <c r="I20" s="127">
        <f>IF(Table40[[#This Row],[CODE]]=1, Table40[ [#This Row],[Account Deposit Amount] ]-Table40[ [#This Row],[Account Withdrawl Amount] ], )</f>
        <v>0</v>
      </c>
      <c r="J20" s="129">
        <f>IF(Table40[[#This Row],[CODE]]=2, Table40[ [#This Row],[Account Deposit Amount] ]-Table40[ [#This Row],[Account Withdrawl Amount] ], )</f>
        <v>0</v>
      </c>
      <c r="K20" s="129">
        <f>IF(Table40[[#This Row],[CODE]]=3, Table40[ [#This Row],[Account Deposit Amount] ]-Table40[ [#This Row],[Account Withdrawl Amount] ], )</f>
        <v>0</v>
      </c>
      <c r="L20" s="128">
        <f>IF(Table40[[#This Row],[CODE]]=4, Table40[ [#This Row],[Account Deposit Amount] ]-Table40[ [#This Row],[Account Withdrawl Amount] ], )</f>
        <v>0</v>
      </c>
      <c r="M20" s="128">
        <f>IF(Table40[[#This Row],[CODE]]=5, Table40[ [#This Row],[Account Deposit Amount] ]-Table40[ [#This Row],[Account Withdrawl Amount] ], )</f>
        <v>0</v>
      </c>
      <c r="N20" s="128">
        <f>IF(Table40[[#This Row],[CODE]]=6, Table40[ [#This Row],[Account Deposit Amount] ]-Table40[ [#This Row],[Account Withdrawl Amount] ], )</f>
        <v>0</v>
      </c>
      <c r="O20" s="128">
        <f>IF(Table40[[#This Row],[CODE]]=11, Table40[ [#This Row],[Account Deposit Amount] ]-Table40[ [#This Row],[Account Withdrawl Amount] ], )</f>
        <v>0</v>
      </c>
      <c r="P20" s="128">
        <f>IF(Table40[[#This Row],[CODE]]=12, Table40[ [#This Row],[Account Deposit Amount] ]-Table40[ [#This Row],[Account Withdrawl Amount] ], )</f>
        <v>0</v>
      </c>
      <c r="Q20" s="128">
        <f>IF(Table40[[#This Row],[CODE]]=13, Table40[ [#This Row],[Account Deposit Amount] ]-Table40[ [#This Row],[Account Withdrawl Amount] ], )</f>
        <v>0</v>
      </c>
      <c r="R20" s="128">
        <f>IF(Table40[[#This Row],[CODE]]=14, Table40[ [#This Row],[Account Deposit Amount] ]-Table40[ [#This Row],[Account Withdrawl Amount] ], )</f>
        <v>0</v>
      </c>
      <c r="S20" s="128">
        <f>IF(Table40[[#This Row],[CODE]]=15, Table40[ [#This Row],[Account Deposit Amount] ]-Table40[ [#This Row],[Account Withdrawl Amount] ], )</f>
        <v>0</v>
      </c>
      <c r="T20" s="128">
        <f>IF(Table40[[#This Row],[CODE]]=16, Table40[ [#This Row],[Account Deposit Amount] ]-Table40[ [#This Row],[Account Withdrawl Amount] ], )</f>
        <v>0</v>
      </c>
      <c r="U20" s="127">
        <f>IF(Table40[[#This Row],[CODE]]=17, Table40[ [#This Row],[Account Deposit Amount] ]-Table40[ [#This Row],[Account Withdrawl Amount] ], )</f>
        <v>0</v>
      </c>
      <c r="V20" s="127">
        <f>IF(Table40[[#This Row],[CODE]]=17, Table40[ [#This Row],[Account Deposit Amount] ]-Table40[ [#This Row],[Account Withdrawl Amount] ], )</f>
        <v>0</v>
      </c>
    </row>
    <row r="21" spans="1:22" ht="16.2" thickBot="1">
      <c r="A21" s="130"/>
      <c r="B21" s="133"/>
      <c r="C21" s="130"/>
      <c r="D21" s="132"/>
      <c r="E21" s="128"/>
      <c r="F21" s="128"/>
      <c r="G21" s="134">
        <f t="shared" si="2"/>
        <v>18348.999999999993</v>
      </c>
      <c r="H21" s="130"/>
      <c r="I21" s="127">
        <f>IF(Table40[[#This Row],[CODE]]=1, Table40[ [#This Row],[Account Deposit Amount] ]-Table40[ [#This Row],[Account Withdrawl Amount] ], )</f>
        <v>0</v>
      </c>
      <c r="J21" s="129">
        <f>IF(Table40[[#This Row],[CODE]]=2, Table40[ [#This Row],[Account Deposit Amount] ]-Table40[ [#This Row],[Account Withdrawl Amount] ], )</f>
        <v>0</v>
      </c>
      <c r="K21" s="129">
        <f>IF(Table40[[#This Row],[CODE]]=3, Table40[ [#This Row],[Account Deposit Amount] ]-Table40[ [#This Row],[Account Withdrawl Amount] ], )</f>
        <v>0</v>
      </c>
      <c r="L21" s="128">
        <f>IF(Table40[[#This Row],[CODE]]=4, Table40[ [#This Row],[Account Deposit Amount] ]-Table40[ [#This Row],[Account Withdrawl Amount] ], )</f>
        <v>0</v>
      </c>
      <c r="M21" s="128">
        <f>IF(Table40[[#This Row],[CODE]]=5, Table40[ [#This Row],[Account Deposit Amount] ]-Table40[ [#This Row],[Account Withdrawl Amount] ], )</f>
        <v>0</v>
      </c>
      <c r="N21" s="128">
        <f>IF(Table40[[#This Row],[CODE]]=6, Table40[ [#This Row],[Account Deposit Amount] ]-Table40[ [#This Row],[Account Withdrawl Amount] ], )</f>
        <v>0</v>
      </c>
      <c r="O21" s="128">
        <f>IF(Table40[[#This Row],[CODE]]=11, Table40[ [#This Row],[Account Deposit Amount] ]-Table40[ [#This Row],[Account Withdrawl Amount] ], )</f>
        <v>0</v>
      </c>
      <c r="P21" s="128">
        <f>IF(Table40[[#This Row],[CODE]]=12, Table40[ [#This Row],[Account Deposit Amount] ]-Table40[ [#This Row],[Account Withdrawl Amount] ], )</f>
        <v>0</v>
      </c>
      <c r="Q21" s="128">
        <f>IF(Table40[[#This Row],[CODE]]=13, Table40[ [#This Row],[Account Deposit Amount] ]-Table40[ [#This Row],[Account Withdrawl Amount] ], )</f>
        <v>0</v>
      </c>
      <c r="R21" s="128">
        <f>IF(Table40[[#This Row],[CODE]]=14, Table40[ [#This Row],[Account Deposit Amount] ]-Table40[ [#This Row],[Account Withdrawl Amount] ], )</f>
        <v>0</v>
      </c>
      <c r="S21" s="128">
        <f>IF(Table40[[#This Row],[CODE]]=15, Table40[ [#This Row],[Account Deposit Amount] ]-Table40[ [#This Row],[Account Withdrawl Amount] ], )</f>
        <v>0</v>
      </c>
      <c r="T21" s="128">
        <f>IF(Table40[[#This Row],[CODE]]=16, Table40[ [#This Row],[Account Deposit Amount] ]-Table40[ [#This Row],[Account Withdrawl Amount] ], )</f>
        <v>0</v>
      </c>
      <c r="U21" s="127">
        <f>IF(Table40[[#This Row],[CODE]]=17, Table40[ [#This Row],[Account Deposit Amount] ]-Table40[ [#This Row],[Account Withdrawl Amount] ], )</f>
        <v>0</v>
      </c>
      <c r="V21" s="127">
        <f>IF(Table40[[#This Row],[CODE]]=17, Table40[ [#This Row],[Account Deposit Amount] ]-Table40[ [#This Row],[Account Withdrawl Amount] ], )</f>
        <v>0</v>
      </c>
    </row>
    <row r="22" spans="1:22" ht="16.2" thickBot="1">
      <c r="A22" s="130"/>
      <c r="B22" s="133"/>
      <c r="C22" s="130"/>
      <c r="D22" s="132"/>
      <c r="E22" s="128"/>
      <c r="F22" s="128"/>
      <c r="G22" s="134">
        <f t="shared" si="2"/>
        <v>18348.999999999993</v>
      </c>
      <c r="H22" s="130"/>
      <c r="I22" s="127">
        <f>IF(Table40[[#This Row],[CODE]]=1, Table40[ [#This Row],[Account Deposit Amount] ]-Table40[ [#This Row],[Account Withdrawl Amount] ], )</f>
        <v>0</v>
      </c>
      <c r="J22" s="129">
        <f>IF(Table40[[#This Row],[CODE]]=2, Table40[ [#This Row],[Account Deposit Amount] ]-Table40[ [#This Row],[Account Withdrawl Amount] ], )</f>
        <v>0</v>
      </c>
      <c r="K22" s="129">
        <f>IF(Table40[[#This Row],[CODE]]=3, Table40[ [#This Row],[Account Deposit Amount] ]-Table40[ [#This Row],[Account Withdrawl Amount] ], )</f>
        <v>0</v>
      </c>
      <c r="L22" s="128">
        <f>IF(Table40[[#This Row],[CODE]]=4, Table40[ [#This Row],[Account Deposit Amount] ]-Table40[ [#This Row],[Account Withdrawl Amount] ], )</f>
        <v>0</v>
      </c>
      <c r="M22" s="128">
        <f>IF(Table40[[#This Row],[CODE]]=5, Table40[ [#This Row],[Account Deposit Amount] ]-Table40[ [#This Row],[Account Withdrawl Amount] ], )</f>
        <v>0</v>
      </c>
      <c r="N22" s="128">
        <f>IF(Table40[[#This Row],[CODE]]=6, Table40[ [#This Row],[Account Deposit Amount] ]-Table40[ [#This Row],[Account Withdrawl Amount] ], )</f>
        <v>0</v>
      </c>
      <c r="O22" s="128">
        <f>IF(Table40[[#This Row],[CODE]]=11, Table40[ [#This Row],[Account Deposit Amount] ]-Table40[ [#This Row],[Account Withdrawl Amount] ], )</f>
        <v>0</v>
      </c>
      <c r="P22" s="128">
        <f>IF(Table40[[#This Row],[CODE]]=12, Table40[ [#This Row],[Account Deposit Amount] ]-Table40[ [#This Row],[Account Withdrawl Amount] ], )</f>
        <v>0</v>
      </c>
      <c r="Q22" s="128">
        <f>IF(Table40[[#This Row],[CODE]]=13, Table40[ [#This Row],[Account Deposit Amount] ]-Table40[ [#This Row],[Account Withdrawl Amount] ], )</f>
        <v>0</v>
      </c>
      <c r="R22" s="128">
        <f>IF(Table40[[#This Row],[CODE]]=14, Table40[ [#This Row],[Account Deposit Amount] ]-Table40[ [#This Row],[Account Withdrawl Amount] ], )</f>
        <v>0</v>
      </c>
      <c r="S22" s="128">
        <f>IF(Table40[[#This Row],[CODE]]=15, Table40[ [#This Row],[Account Deposit Amount] ]-Table40[ [#This Row],[Account Withdrawl Amount] ], )</f>
        <v>0</v>
      </c>
      <c r="T22" s="128">
        <f>IF(Table40[[#This Row],[CODE]]=16, Table40[ [#This Row],[Account Deposit Amount] ]-Table40[ [#This Row],[Account Withdrawl Amount] ], )</f>
        <v>0</v>
      </c>
      <c r="U22" s="127">
        <f>IF(Table40[[#This Row],[CODE]]=17, Table40[ [#This Row],[Account Deposit Amount] ]-Table40[ [#This Row],[Account Withdrawl Amount] ], )</f>
        <v>0</v>
      </c>
      <c r="V22" s="127">
        <f>IF(Table40[[#This Row],[CODE]]=17, Table40[ [#This Row],[Account Deposit Amount] ]-Table40[ [#This Row],[Account Withdrawl Amount] ], )</f>
        <v>0</v>
      </c>
    </row>
    <row r="23" spans="1:22" ht="16.2" thickBot="1">
      <c r="A23" s="130"/>
      <c r="B23" s="133"/>
      <c r="C23" s="130"/>
      <c r="D23" s="132"/>
      <c r="E23" s="128"/>
      <c r="F23" s="128"/>
      <c r="G23" s="134">
        <f t="shared" si="2"/>
        <v>18348.999999999993</v>
      </c>
      <c r="H23" s="130"/>
      <c r="I23" s="127">
        <f>IF(Table40[[#This Row],[CODE]]=1, Table40[ [#This Row],[Account Deposit Amount] ]-Table40[ [#This Row],[Account Withdrawl Amount] ], )</f>
        <v>0</v>
      </c>
      <c r="J23" s="129">
        <f>IF(Table40[[#This Row],[CODE]]=2, Table40[ [#This Row],[Account Deposit Amount] ]-Table40[ [#This Row],[Account Withdrawl Amount] ], )</f>
        <v>0</v>
      </c>
      <c r="K23" s="129">
        <f>IF(Table40[[#This Row],[CODE]]=3, Table40[ [#This Row],[Account Deposit Amount] ]-Table40[ [#This Row],[Account Withdrawl Amount] ], )</f>
        <v>0</v>
      </c>
      <c r="L23" s="128">
        <f>IF(Table40[[#This Row],[CODE]]=4, Table40[ [#This Row],[Account Deposit Amount] ]-Table40[ [#This Row],[Account Withdrawl Amount] ], )</f>
        <v>0</v>
      </c>
      <c r="M23" s="128">
        <f>IF(Table40[[#This Row],[CODE]]=5, Table40[ [#This Row],[Account Deposit Amount] ]-Table40[ [#This Row],[Account Withdrawl Amount] ], )</f>
        <v>0</v>
      </c>
      <c r="N23" s="128">
        <f>IF(Table40[[#This Row],[CODE]]=6, Table40[ [#This Row],[Account Deposit Amount] ]-Table40[ [#This Row],[Account Withdrawl Amount] ], )</f>
        <v>0</v>
      </c>
      <c r="O23" s="128">
        <f>IF(Table40[[#This Row],[CODE]]=11, Table40[ [#This Row],[Account Deposit Amount] ]-Table40[ [#This Row],[Account Withdrawl Amount] ], )</f>
        <v>0</v>
      </c>
      <c r="P23" s="128">
        <f>IF(Table40[[#This Row],[CODE]]=12, Table40[ [#This Row],[Account Deposit Amount] ]-Table40[ [#This Row],[Account Withdrawl Amount] ], )</f>
        <v>0</v>
      </c>
      <c r="Q23" s="128">
        <f>IF(Table40[[#This Row],[CODE]]=13, Table40[ [#This Row],[Account Deposit Amount] ]-Table40[ [#This Row],[Account Withdrawl Amount] ], )</f>
        <v>0</v>
      </c>
      <c r="R23" s="128">
        <f>IF(Table40[[#This Row],[CODE]]=14, Table40[ [#This Row],[Account Deposit Amount] ]-Table40[ [#This Row],[Account Withdrawl Amount] ], )</f>
        <v>0</v>
      </c>
      <c r="S23" s="128">
        <f>IF(Table40[[#This Row],[CODE]]=15, Table40[ [#This Row],[Account Deposit Amount] ]-Table40[ [#This Row],[Account Withdrawl Amount] ], )</f>
        <v>0</v>
      </c>
      <c r="T23" s="128">
        <f>IF(Table40[[#This Row],[CODE]]=16, Table40[ [#This Row],[Account Deposit Amount] ]-Table40[ [#This Row],[Account Withdrawl Amount] ], )</f>
        <v>0</v>
      </c>
      <c r="U23" s="127">
        <f>IF(Table40[[#This Row],[CODE]]=17, Table40[ [#This Row],[Account Deposit Amount] ]-Table40[ [#This Row],[Account Withdrawl Amount] ], )</f>
        <v>0</v>
      </c>
      <c r="V23" s="127">
        <f>IF(Table40[[#This Row],[CODE]]=17, Table40[ [#This Row],[Account Deposit Amount] ]-Table40[ [#This Row],[Account Withdrawl Amount] ], )</f>
        <v>0</v>
      </c>
    </row>
    <row r="24" spans="1:22" ht="16.2" thickBot="1">
      <c r="A24" s="130"/>
      <c r="B24" s="133"/>
      <c r="C24" s="130"/>
      <c r="D24" s="132"/>
      <c r="E24" s="128"/>
      <c r="F24" s="128"/>
      <c r="G24" s="134">
        <f t="shared" si="2"/>
        <v>18348.999999999993</v>
      </c>
      <c r="H24" s="130"/>
      <c r="I24" s="127">
        <f>IF(Table40[[#This Row],[CODE]]=1, Table40[ [#This Row],[Account Deposit Amount] ]-Table40[ [#This Row],[Account Withdrawl Amount] ], )</f>
        <v>0</v>
      </c>
      <c r="J24" s="129">
        <f>IF(Table40[[#This Row],[CODE]]=2, Table40[ [#This Row],[Account Deposit Amount] ]-Table40[ [#This Row],[Account Withdrawl Amount] ], )</f>
        <v>0</v>
      </c>
      <c r="K24" s="129">
        <f>IF(Table40[[#This Row],[CODE]]=3, Table40[ [#This Row],[Account Deposit Amount] ]-Table40[ [#This Row],[Account Withdrawl Amount] ], )</f>
        <v>0</v>
      </c>
      <c r="L24" s="128">
        <f>IF(Table40[[#This Row],[CODE]]=4, Table40[ [#This Row],[Account Deposit Amount] ]-Table40[ [#This Row],[Account Withdrawl Amount] ], )</f>
        <v>0</v>
      </c>
      <c r="M24" s="128">
        <f>IF(Table40[[#This Row],[CODE]]=5, Table40[ [#This Row],[Account Deposit Amount] ]-Table40[ [#This Row],[Account Withdrawl Amount] ], )</f>
        <v>0</v>
      </c>
      <c r="N24" s="128">
        <f>IF(Table40[[#This Row],[CODE]]=6, Table40[ [#This Row],[Account Deposit Amount] ]-Table40[ [#This Row],[Account Withdrawl Amount] ], )</f>
        <v>0</v>
      </c>
      <c r="O24" s="128">
        <f>IF(Table40[[#This Row],[CODE]]=11, Table40[ [#This Row],[Account Deposit Amount] ]-Table40[ [#This Row],[Account Withdrawl Amount] ], )</f>
        <v>0</v>
      </c>
      <c r="P24" s="128">
        <f>IF(Table40[[#This Row],[CODE]]=12, Table40[ [#This Row],[Account Deposit Amount] ]-Table40[ [#This Row],[Account Withdrawl Amount] ], )</f>
        <v>0</v>
      </c>
      <c r="Q24" s="128">
        <f>IF(Table40[[#This Row],[CODE]]=13, Table40[ [#This Row],[Account Deposit Amount] ]-Table40[ [#This Row],[Account Withdrawl Amount] ], )</f>
        <v>0</v>
      </c>
      <c r="R24" s="128">
        <f>IF(Table40[[#This Row],[CODE]]=14, Table40[ [#This Row],[Account Deposit Amount] ]-Table40[ [#This Row],[Account Withdrawl Amount] ], )</f>
        <v>0</v>
      </c>
      <c r="S24" s="128">
        <f>IF(Table40[[#This Row],[CODE]]=15, Table40[ [#This Row],[Account Deposit Amount] ]-Table40[ [#This Row],[Account Withdrawl Amount] ], )</f>
        <v>0</v>
      </c>
      <c r="T24" s="128">
        <f>IF(Table40[[#This Row],[CODE]]=16, Table40[ [#This Row],[Account Deposit Amount] ]-Table40[ [#This Row],[Account Withdrawl Amount] ], )</f>
        <v>0</v>
      </c>
      <c r="U24" s="127">
        <f>IF(Table40[[#This Row],[CODE]]=17, Table40[ [#This Row],[Account Deposit Amount] ]-Table40[ [#This Row],[Account Withdrawl Amount] ], )</f>
        <v>0</v>
      </c>
      <c r="V24" s="127">
        <f>IF(Table40[[#This Row],[CODE]]=17, Table40[ [#This Row],[Account Deposit Amount] ]-Table40[ [#This Row],[Account Withdrawl Amount] ], )</f>
        <v>0</v>
      </c>
    </row>
    <row r="25" spans="1:22" ht="16.2" thickBot="1">
      <c r="A25" s="130"/>
      <c r="B25" s="133"/>
      <c r="C25" s="130"/>
      <c r="D25" s="132"/>
      <c r="E25" s="128"/>
      <c r="F25" s="128"/>
      <c r="G25" s="134">
        <f t="shared" si="2"/>
        <v>18348.999999999993</v>
      </c>
      <c r="H25" s="130"/>
      <c r="I25" s="127">
        <f>IF(Table40[[#This Row],[CODE]]=1, Table40[ [#This Row],[Account Deposit Amount] ]-Table40[ [#This Row],[Account Withdrawl Amount] ], )</f>
        <v>0</v>
      </c>
      <c r="J25" s="129">
        <f>IF(Table40[[#This Row],[CODE]]=2, Table40[ [#This Row],[Account Deposit Amount] ]-Table40[ [#This Row],[Account Withdrawl Amount] ], )</f>
        <v>0</v>
      </c>
      <c r="K25" s="129">
        <f>IF(Table40[[#This Row],[CODE]]=3, Table40[ [#This Row],[Account Deposit Amount] ]-Table40[ [#This Row],[Account Withdrawl Amount] ], )</f>
        <v>0</v>
      </c>
      <c r="L25" s="128">
        <f>IF(Table40[[#This Row],[CODE]]=4, Table40[ [#This Row],[Account Deposit Amount] ]-Table40[ [#This Row],[Account Withdrawl Amount] ], )</f>
        <v>0</v>
      </c>
      <c r="M25" s="128">
        <f>IF(Table40[[#This Row],[CODE]]=5, Table40[ [#This Row],[Account Deposit Amount] ]-Table40[ [#This Row],[Account Withdrawl Amount] ], )</f>
        <v>0</v>
      </c>
      <c r="N25" s="128">
        <f>IF(Table40[[#This Row],[CODE]]=6, Table40[ [#This Row],[Account Deposit Amount] ]-Table40[ [#This Row],[Account Withdrawl Amount] ], )</f>
        <v>0</v>
      </c>
      <c r="O25" s="128">
        <f>IF(Table40[[#This Row],[CODE]]=11, Table40[ [#This Row],[Account Deposit Amount] ]-Table40[ [#This Row],[Account Withdrawl Amount] ], )</f>
        <v>0</v>
      </c>
      <c r="P25" s="128">
        <f>IF(Table40[[#This Row],[CODE]]=12, Table40[ [#This Row],[Account Deposit Amount] ]-Table40[ [#This Row],[Account Withdrawl Amount] ], )</f>
        <v>0</v>
      </c>
      <c r="Q25" s="128">
        <f>IF(Table40[[#This Row],[CODE]]=13, Table40[ [#This Row],[Account Deposit Amount] ]-Table40[ [#This Row],[Account Withdrawl Amount] ], )</f>
        <v>0</v>
      </c>
      <c r="R25" s="128">
        <f>IF(Table40[[#This Row],[CODE]]=14, Table40[ [#This Row],[Account Deposit Amount] ]-Table40[ [#This Row],[Account Withdrawl Amount] ], )</f>
        <v>0</v>
      </c>
      <c r="S25" s="128">
        <f>IF(Table40[[#This Row],[CODE]]=15, Table40[ [#This Row],[Account Deposit Amount] ]-Table40[ [#This Row],[Account Withdrawl Amount] ], )</f>
        <v>0</v>
      </c>
      <c r="T25" s="128">
        <f>IF(Table40[[#This Row],[CODE]]=16, Table40[ [#This Row],[Account Deposit Amount] ]-Table40[ [#This Row],[Account Withdrawl Amount] ], )</f>
        <v>0</v>
      </c>
      <c r="U25" s="127">
        <f>IF(Table40[[#This Row],[CODE]]=17, Table40[ [#This Row],[Account Deposit Amount] ]-Table40[ [#This Row],[Account Withdrawl Amount] ], )</f>
        <v>0</v>
      </c>
      <c r="V25" s="127">
        <f>IF(Table40[[#This Row],[CODE]]=17, Table40[ [#This Row],[Account Deposit Amount] ]-Table40[ [#This Row],[Account Withdrawl Amount] ], )</f>
        <v>0</v>
      </c>
    </row>
    <row r="26" spans="1:22" ht="16.2" thickBot="1">
      <c r="A26" s="130"/>
      <c r="B26" s="133"/>
      <c r="C26" s="130"/>
      <c r="D26" s="132"/>
      <c r="E26" s="128"/>
      <c r="F26" s="128"/>
      <c r="G26" s="134">
        <f t="shared" si="2"/>
        <v>18348.999999999993</v>
      </c>
      <c r="H26" s="130"/>
      <c r="I26" s="127">
        <f>IF(Table40[[#This Row],[CODE]]=1, Table40[ [#This Row],[Account Deposit Amount] ]-Table40[ [#This Row],[Account Withdrawl Amount] ], )</f>
        <v>0</v>
      </c>
      <c r="J26" s="129">
        <f>IF(Table40[[#This Row],[CODE]]=2, Table40[ [#This Row],[Account Deposit Amount] ]-Table40[ [#This Row],[Account Withdrawl Amount] ], )</f>
        <v>0</v>
      </c>
      <c r="K26" s="129">
        <f>IF(Table40[[#This Row],[CODE]]=3, Table40[ [#This Row],[Account Deposit Amount] ]-Table40[ [#This Row],[Account Withdrawl Amount] ], )</f>
        <v>0</v>
      </c>
      <c r="L26" s="128">
        <f>IF(Table40[[#This Row],[CODE]]=4, Table40[ [#This Row],[Account Deposit Amount] ]-Table40[ [#This Row],[Account Withdrawl Amount] ], )</f>
        <v>0</v>
      </c>
      <c r="M26" s="128">
        <f>IF(Table40[[#This Row],[CODE]]=5, Table40[ [#This Row],[Account Deposit Amount] ]-Table40[ [#This Row],[Account Withdrawl Amount] ], )</f>
        <v>0</v>
      </c>
      <c r="N26" s="128">
        <f>IF(Table40[[#This Row],[CODE]]=6, Table40[ [#This Row],[Account Deposit Amount] ]-Table40[ [#This Row],[Account Withdrawl Amount] ], )</f>
        <v>0</v>
      </c>
      <c r="O26" s="128">
        <f>IF(Table40[[#This Row],[CODE]]=11, Table40[ [#This Row],[Account Deposit Amount] ]-Table40[ [#This Row],[Account Withdrawl Amount] ], )</f>
        <v>0</v>
      </c>
      <c r="P26" s="128">
        <f>IF(Table40[[#This Row],[CODE]]=12, Table40[ [#This Row],[Account Deposit Amount] ]-Table40[ [#This Row],[Account Withdrawl Amount] ], )</f>
        <v>0</v>
      </c>
      <c r="Q26" s="128">
        <f>IF(Table40[[#This Row],[CODE]]=13, Table40[ [#This Row],[Account Deposit Amount] ]-Table40[ [#This Row],[Account Withdrawl Amount] ], )</f>
        <v>0</v>
      </c>
      <c r="R26" s="128">
        <f>IF(Table40[[#This Row],[CODE]]=14, Table40[ [#This Row],[Account Deposit Amount] ]-Table40[ [#This Row],[Account Withdrawl Amount] ], )</f>
        <v>0</v>
      </c>
      <c r="S26" s="128">
        <f>IF(Table40[[#This Row],[CODE]]=15, Table40[ [#This Row],[Account Deposit Amount] ]-Table40[ [#This Row],[Account Withdrawl Amount] ], )</f>
        <v>0</v>
      </c>
      <c r="T26" s="128">
        <f>IF(Table40[[#This Row],[CODE]]=16, Table40[ [#This Row],[Account Deposit Amount] ]-Table40[ [#This Row],[Account Withdrawl Amount] ], )</f>
        <v>0</v>
      </c>
      <c r="U26" s="127">
        <f>IF(Table40[[#This Row],[CODE]]=17, Table40[ [#This Row],[Account Deposit Amount] ]-Table40[ [#This Row],[Account Withdrawl Amount] ], )</f>
        <v>0</v>
      </c>
      <c r="V26" s="127">
        <f>IF(Table40[[#This Row],[CODE]]=17, Table40[ [#This Row],[Account Deposit Amount] ]-Table40[ [#This Row],[Account Withdrawl Amount] ], )</f>
        <v>0</v>
      </c>
    </row>
    <row r="27" spans="1:22" ht="16.2" thickBot="1">
      <c r="A27" s="130"/>
      <c r="B27" s="133"/>
      <c r="C27" s="130"/>
      <c r="D27" s="132"/>
      <c r="E27" s="128"/>
      <c r="F27" s="128"/>
      <c r="G27" s="134">
        <f t="shared" si="2"/>
        <v>18348.999999999993</v>
      </c>
      <c r="H27" s="130"/>
      <c r="I27" s="127">
        <f>IF(Table40[[#This Row],[CODE]]=1, Table40[ [#This Row],[Account Deposit Amount] ]-Table40[ [#This Row],[Account Withdrawl Amount] ], )</f>
        <v>0</v>
      </c>
      <c r="J27" s="129">
        <f>IF(Table40[[#This Row],[CODE]]=2, Table40[ [#This Row],[Account Deposit Amount] ]-Table40[ [#This Row],[Account Withdrawl Amount] ], )</f>
        <v>0</v>
      </c>
      <c r="K27" s="129">
        <f>IF(Table40[[#This Row],[CODE]]=3, Table40[ [#This Row],[Account Deposit Amount] ]-Table40[ [#This Row],[Account Withdrawl Amount] ], )</f>
        <v>0</v>
      </c>
      <c r="L27" s="128">
        <f>IF(Table40[[#This Row],[CODE]]=4, Table40[ [#This Row],[Account Deposit Amount] ]-Table40[ [#This Row],[Account Withdrawl Amount] ], )</f>
        <v>0</v>
      </c>
      <c r="M27" s="128">
        <f>IF(Table40[[#This Row],[CODE]]=5, Table40[ [#This Row],[Account Deposit Amount] ]-Table40[ [#This Row],[Account Withdrawl Amount] ], )</f>
        <v>0</v>
      </c>
      <c r="N27" s="128">
        <f>IF(Table40[[#This Row],[CODE]]=6, Table40[ [#This Row],[Account Deposit Amount] ]-Table40[ [#This Row],[Account Withdrawl Amount] ], )</f>
        <v>0</v>
      </c>
      <c r="O27" s="128">
        <f>IF(Table40[[#This Row],[CODE]]=11, Table40[ [#This Row],[Account Deposit Amount] ]-Table40[ [#This Row],[Account Withdrawl Amount] ], )</f>
        <v>0</v>
      </c>
      <c r="P27" s="128">
        <f>IF(Table40[[#This Row],[CODE]]=12, Table40[ [#This Row],[Account Deposit Amount] ]-Table40[ [#This Row],[Account Withdrawl Amount] ], )</f>
        <v>0</v>
      </c>
      <c r="Q27" s="128">
        <f>IF(Table40[[#This Row],[CODE]]=13, Table40[ [#This Row],[Account Deposit Amount] ]-Table40[ [#This Row],[Account Withdrawl Amount] ], )</f>
        <v>0</v>
      </c>
      <c r="R27" s="128">
        <f>IF(Table40[[#This Row],[CODE]]=14, Table40[ [#This Row],[Account Deposit Amount] ]-Table40[ [#This Row],[Account Withdrawl Amount] ], )</f>
        <v>0</v>
      </c>
      <c r="S27" s="128">
        <f>IF(Table40[[#This Row],[CODE]]=15, Table40[ [#This Row],[Account Deposit Amount] ]-Table40[ [#This Row],[Account Withdrawl Amount] ], )</f>
        <v>0</v>
      </c>
      <c r="T27" s="128">
        <f>IF(Table40[[#This Row],[CODE]]=16, Table40[ [#This Row],[Account Deposit Amount] ]-Table40[ [#This Row],[Account Withdrawl Amount] ], )</f>
        <v>0</v>
      </c>
      <c r="U27" s="127">
        <f>IF(Table40[[#This Row],[CODE]]=17, Table40[ [#This Row],[Account Deposit Amount] ]-Table40[ [#This Row],[Account Withdrawl Amount] ], )</f>
        <v>0</v>
      </c>
      <c r="V27" s="127">
        <f>IF(Table40[[#This Row],[CODE]]=17, Table40[ [#This Row],[Account Deposit Amount] ]-Table40[ [#This Row],[Account Withdrawl Amount] ], )</f>
        <v>0</v>
      </c>
    </row>
    <row r="28" spans="1:22" ht="16.2" thickBot="1">
      <c r="A28" s="130"/>
      <c r="B28" s="133"/>
      <c r="C28" s="130"/>
      <c r="D28" s="132"/>
      <c r="E28" s="128"/>
      <c r="F28" s="128"/>
      <c r="G28" s="134">
        <f t="shared" si="2"/>
        <v>18348.999999999993</v>
      </c>
      <c r="H28" s="130"/>
      <c r="I28" s="127">
        <f>IF(Table40[[#This Row],[CODE]]=1, Table40[ [#This Row],[Account Deposit Amount] ]-Table40[ [#This Row],[Account Withdrawl Amount] ], )</f>
        <v>0</v>
      </c>
      <c r="J28" s="129">
        <f>IF(Table40[[#This Row],[CODE]]=2, Table40[ [#This Row],[Account Deposit Amount] ]-Table40[ [#This Row],[Account Withdrawl Amount] ], )</f>
        <v>0</v>
      </c>
      <c r="K28" s="129">
        <f>IF(Table40[[#This Row],[CODE]]=3, Table40[ [#This Row],[Account Deposit Amount] ]-Table40[ [#This Row],[Account Withdrawl Amount] ], )</f>
        <v>0</v>
      </c>
      <c r="L28" s="128">
        <f>IF(Table40[[#This Row],[CODE]]=4, Table40[ [#This Row],[Account Deposit Amount] ]-Table40[ [#This Row],[Account Withdrawl Amount] ], )</f>
        <v>0</v>
      </c>
      <c r="M28" s="128">
        <f>IF(Table40[[#This Row],[CODE]]=5, Table40[ [#This Row],[Account Deposit Amount] ]-Table40[ [#This Row],[Account Withdrawl Amount] ], )</f>
        <v>0</v>
      </c>
      <c r="N28" s="128">
        <f>IF(Table40[[#This Row],[CODE]]=6, Table40[ [#This Row],[Account Deposit Amount] ]-Table40[ [#This Row],[Account Withdrawl Amount] ], )</f>
        <v>0</v>
      </c>
      <c r="O28" s="128">
        <f>IF(Table40[[#This Row],[CODE]]=11, Table40[ [#This Row],[Account Deposit Amount] ]-Table40[ [#This Row],[Account Withdrawl Amount] ], )</f>
        <v>0</v>
      </c>
      <c r="P28" s="128">
        <f>IF(Table40[[#This Row],[CODE]]=12, Table40[ [#This Row],[Account Deposit Amount] ]-Table40[ [#This Row],[Account Withdrawl Amount] ], )</f>
        <v>0</v>
      </c>
      <c r="Q28" s="128">
        <f>IF(Table40[[#This Row],[CODE]]=13, Table40[ [#This Row],[Account Deposit Amount] ]-Table40[ [#This Row],[Account Withdrawl Amount] ], )</f>
        <v>0</v>
      </c>
      <c r="R28" s="128">
        <f>IF(Table40[[#This Row],[CODE]]=14, Table40[ [#This Row],[Account Deposit Amount] ]-Table40[ [#This Row],[Account Withdrawl Amount] ], )</f>
        <v>0</v>
      </c>
      <c r="S28" s="128">
        <f>IF(Table40[[#This Row],[CODE]]=15, Table40[ [#This Row],[Account Deposit Amount] ]-Table40[ [#This Row],[Account Withdrawl Amount] ], )</f>
        <v>0</v>
      </c>
      <c r="T28" s="128">
        <f>IF(Table40[[#This Row],[CODE]]=16, Table40[ [#This Row],[Account Deposit Amount] ]-Table40[ [#This Row],[Account Withdrawl Amount] ], )</f>
        <v>0</v>
      </c>
      <c r="U28" s="127">
        <f>IF(Table40[[#This Row],[CODE]]=17, Table40[ [#This Row],[Account Deposit Amount] ]-Table40[ [#This Row],[Account Withdrawl Amount] ], )</f>
        <v>0</v>
      </c>
      <c r="V28" s="127">
        <f>IF(Table40[[#This Row],[CODE]]=17, Table40[ [#This Row],[Account Deposit Amount] ]-Table40[ [#This Row],[Account Withdrawl Amount] ], )</f>
        <v>0</v>
      </c>
    </row>
    <row r="29" spans="1:22" ht="16.2" thickBot="1">
      <c r="A29" s="130"/>
      <c r="B29" s="133"/>
      <c r="C29" s="130"/>
      <c r="D29" s="132"/>
      <c r="E29" s="128"/>
      <c r="F29" s="128"/>
      <c r="G29" s="134">
        <f t="shared" si="2"/>
        <v>18348.999999999993</v>
      </c>
      <c r="H29" s="130"/>
      <c r="I29" s="127">
        <f>IF(Table40[[#This Row],[CODE]]=1, Table40[ [#This Row],[Account Deposit Amount] ]-Table40[ [#This Row],[Account Withdrawl Amount] ], )</f>
        <v>0</v>
      </c>
      <c r="J29" s="129">
        <f>IF(Table40[[#This Row],[CODE]]=2, Table40[ [#This Row],[Account Deposit Amount] ]-Table40[ [#This Row],[Account Withdrawl Amount] ], )</f>
        <v>0</v>
      </c>
      <c r="K29" s="129">
        <f>IF(Table40[[#This Row],[CODE]]=3, Table40[ [#This Row],[Account Deposit Amount] ]-Table40[ [#This Row],[Account Withdrawl Amount] ], )</f>
        <v>0</v>
      </c>
      <c r="L29" s="128">
        <f>IF(Table40[[#This Row],[CODE]]=4, Table40[ [#This Row],[Account Deposit Amount] ]-Table40[ [#This Row],[Account Withdrawl Amount] ], )</f>
        <v>0</v>
      </c>
      <c r="M29" s="128">
        <f>IF(Table40[[#This Row],[CODE]]=5, Table40[ [#This Row],[Account Deposit Amount] ]-Table40[ [#This Row],[Account Withdrawl Amount] ], )</f>
        <v>0</v>
      </c>
      <c r="N29" s="128">
        <f>IF(Table40[[#This Row],[CODE]]=6, Table40[ [#This Row],[Account Deposit Amount] ]-Table40[ [#This Row],[Account Withdrawl Amount] ], )</f>
        <v>0</v>
      </c>
      <c r="O29" s="128">
        <f>IF(Table40[[#This Row],[CODE]]=11, Table40[ [#This Row],[Account Deposit Amount] ]-Table40[ [#This Row],[Account Withdrawl Amount] ], )</f>
        <v>0</v>
      </c>
      <c r="P29" s="128">
        <f>IF(Table40[[#This Row],[CODE]]=12, Table40[ [#This Row],[Account Deposit Amount] ]-Table40[ [#This Row],[Account Withdrawl Amount] ], )</f>
        <v>0</v>
      </c>
      <c r="Q29" s="128">
        <f>IF(Table40[[#This Row],[CODE]]=13, Table40[ [#This Row],[Account Deposit Amount] ]-Table40[ [#This Row],[Account Withdrawl Amount] ], )</f>
        <v>0</v>
      </c>
      <c r="R29" s="128">
        <f>IF(Table40[[#This Row],[CODE]]=14, Table40[ [#This Row],[Account Deposit Amount] ]-Table40[ [#This Row],[Account Withdrawl Amount] ], )</f>
        <v>0</v>
      </c>
      <c r="S29" s="128">
        <f>IF(Table40[[#This Row],[CODE]]=15, Table40[ [#This Row],[Account Deposit Amount] ]-Table40[ [#This Row],[Account Withdrawl Amount] ], )</f>
        <v>0</v>
      </c>
      <c r="T29" s="128">
        <f>IF(Table40[[#This Row],[CODE]]=16, Table40[ [#This Row],[Account Deposit Amount] ]-Table40[ [#This Row],[Account Withdrawl Amount] ], )</f>
        <v>0</v>
      </c>
      <c r="U29" s="127">
        <f>IF(Table40[[#This Row],[CODE]]=17, Table40[ [#This Row],[Account Deposit Amount] ]-Table40[ [#This Row],[Account Withdrawl Amount] ], )</f>
        <v>0</v>
      </c>
      <c r="V29" s="127">
        <f>IF(Table40[[#This Row],[CODE]]=17, Table40[ [#This Row],[Account Deposit Amount] ]-Table40[ [#This Row],[Account Withdrawl Amount] ], )</f>
        <v>0</v>
      </c>
    </row>
    <row r="30" spans="1:22" ht="16.2" thickBot="1">
      <c r="A30" s="130"/>
      <c r="B30" s="133"/>
      <c r="C30" s="130"/>
      <c r="D30" s="132"/>
      <c r="E30" s="128"/>
      <c r="F30" s="128"/>
      <c r="G30" s="134">
        <f t="shared" si="2"/>
        <v>18348.999999999993</v>
      </c>
      <c r="H30" s="130"/>
      <c r="I30" s="127">
        <f>IF(Table40[[#This Row],[CODE]]=1, Table40[ [#This Row],[Account Deposit Amount] ]-Table40[ [#This Row],[Account Withdrawl Amount] ], )</f>
        <v>0</v>
      </c>
      <c r="J30" s="129">
        <f>IF(Table40[[#This Row],[CODE]]=2, Table40[ [#This Row],[Account Deposit Amount] ]-Table40[ [#This Row],[Account Withdrawl Amount] ], )</f>
        <v>0</v>
      </c>
      <c r="K30" s="129">
        <f>IF(Table40[[#This Row],[CODE]]=3, Table40[ [#This Row],[Account Deposit Amount] ]-Table40[ [#This Row],[Account Withdrawl Amount] ], )</f>
        <v>0</v>
      </c>
      <c r="L30" s="128">
        <f>IF(Table40[[#This Row],[CODE]]=4, Table40[ [#This Row],[Account Deposit Amount] ]-Table40[ [#This Row],[Account Withdrawl Amount] ], )</f>
        <v>0</v>
      </c>
      <c r="M30" s="128">
        <f>IF(Table40[[#This Row],[CODE]]=5, Table40[ [#This Row],[Account Deposit Amount] ]-Table40[ [#This Row],[Account Withdrawl Amount] ], )</f>
        <v>0</v>
      </c>
      <c r="N30" s="128">
        <f>IF(Table40[[#This Row],[CODE]]=6, Table40[ [#This Row],[Account Deposit Amount] ]-Table40[ [#This Row],[Account Withdrawl Amount] ], )</f>
        <v>0</v>
      </c>
      <c r="O30" s="128">
        <f>IF(Table40[[#This Row],[CODE]]=11, Table40[ [#This Row],[Account Deposit Amount] ]-Table40[ [#This Row],[Account Withdrawl Amount] ], )</f>
        <v>0</v>
      </c>
      <c r="P30" s="128">
        <f>IF(Table40[[#This Row],[CODE]]=12, Table40[ [#This Row],[Account Deposit Amount] ]-Table40[ [#This Row],[Account Withdrawl Amount] ], )</f>
        <v>0</v>
      </c>
      <c r="Q30" s="128">
        <f>IF(Table40[[#This Row],[CODE]]=13, Table40[ [#This Row],[Account Deposit Amount] ]-Table40[ [#This Row],[Account Withdrawl Amount] ], )</f>
        <v>0</v>
      </c>
      <c r="R30" s="128">
        <f>IF(Table40[[#This Row],[CODE]]=14, Table40[ [#This Row],[Account Deposit Amount] ]-Table40[ [#This Row],[Account Withdrawl Amount] ], )</f>
        <v>0</v>
      </c>
      <c r="S30" s="128">
        <f>IF(Table40[[#This Row],[CODE]]=15, Table40[ [#This Row],[Account Deposit Amount] ]-Table40[ [#This Row],[Account Withdrawl Amount] ], )</f>
        <v>0</v>
      </c>
      <c r="T30" s="128">
        <f>IF(Table40[[#This Row],[CODE]]=16, Table40[ [#This Row],[Account Deposit Amount] ]-Table40[ [#This Row],[Account Withdrawl Amount] ], )</f>
        <v>0</v>
      </c>
      <c r="U30" s="127">
        <f>IF(Table40[[#This Row],[CODE]]=17, Table40[ [#This Row],[Account Deposit Amount] ]-Table40[ [#This Row],[Account Withdrawl Amount] ], )</f>
        <v>0</v>
      </c>
      <c r="V30" s="127">
        <f>IF(Table40[[#This Row],[CODE]]=17, Table40[ [#This Row],[Account Deposit Amount] ]-Table40[ [#This Row],[Account Withdrawl Amount] ], )</f>
        <v>0</v>
      </c>
    </row>
    <row r="31" spans="1:22" ht="16.2" thickBot="1">
      <c r="A31" s="130"/>
      <c r="B31" s="133"/>
      <c r="C31" s="130"/>
      <c r="D31" s="132"/>
      <c r="E31" s="128"/>
      <c r="F31" s="128"/>
      <c r="G31" s="134">
        <f t="shared" si="2"/>
        <v>18348.999999999993</v>
      </c>
      <c r="H31" s="130"/>
      <c r="I31" s="127">
        <f>IF(Table40[[#This Row],[CODE]]=1, Table40[ [#This Row],[Account Deposit Amount] ]-Table40[ [#This Row],[Account Withdrawl Amount] ], )</f>
        <v>0</v>
      </c>
      <c r="J31" s="129">
        <f>IF(Table40[[#This Row],[CODE]]=2, Table40[ [#This Row],[Account Deposit Amount] ]-Table40[ [#This Row],[Account Withdrawl Amount] ], )</f>
        <v>0</v>
      </c>
      <c r="K31" s="129">
        <f>IF(Table40[[#This Row],[CODE]]=3, Table40[ [#This Row],[Account Deposit Amount] ]-Table40[ [#This Row],[Account Withdrawl Amount] ], )</f>
        <v>0</v>
      </c>
      <c r="L31" s="128">
        <f>IF(Table40[[#This Row],[CODE]]=4, Table40[ [#This Row],[Account Deposit Amount] ]-Table40[ [#This Row],[Account Withdrawl Amount] ], )</f>
        <v>0</v>
      </c>
      <c r="M31" s="128">
        <f>IF(Table40[[#This Row],[CODE]]=5, Table40[ [#This Row],[Account Deposit Amount] ]-Table40[ [#This Row],[Account Withdrawl Amount] ], )</f>
        <v>0</v>
      </c>
      <c r="N31" s="128">
        <f>IF(Table40[[#This Row],[CODE]]=6, Table40[ [#This Row],[Account Deposit Amount] ]-Table40[ [#This Row],[Account Withdrawl Amount] ], )</f>
        <v>0</v>
      </c>
      <c r="O31" s="128">
        <f>IF(Table40[[#This Row],[CODE]]=11, Table40[ [#This Row],[Account Deposit Amount] ]-Table40[ [#This Row],[Account Withdrawl Amount] ], )</f>
        <v>0</v>
      </c>
      <c r="P31" s="128">
        <f>IF(Table40[[#This Row],[CODE]]=12, Table40[ [#This Row],[Account Deposit Amount] ]-Table40[ [#This Row],[Account Withdrawl Amount] ], )</f>
        <v>0</v>
      </c>
      <c r="Q31" s="128">
        <f>IF(Table40[[#This Row],[CODE]]=13, Table40[ [#This Row],[Account Deposit Amount] ]-Table40[ [#This Row],[Account Withdrawl Amount] ], )</f>
        <v>0</v>
      </c>
      <c r="R31" s="128">
        <f>IF(Table40[[#This Row],[CODE]]=14, Table40[ [#This Row],[Account Deposit Amount] ]-Table40[ [#This Row],[Account Withdrawl Amount] ], )</f>
        <v>0</v>
      </c>
      <c r="S31" s="128">
        <f>IF(Table40[[#This Row],[CODE]]=15, Table40[ [#This Row],[Account Deposit Amount] ]-Table40[ [#This Row],[Account Withdrawl Amount] ], )</f>
        <v>0</v>
      </c>
      <c r="T31" s="128">
        <f>IF(Table40[[#This Row],[CODE]]=16, Table40[ [#This Row],[Account Deposit Amount] ]-Table40[ [#This Row],[Account Withdrawl Amount] ], )</f>
        <v>0</v>
      </c>
      <c r="U31" s="127">
        <f>IF(Table40[[#This Row],[CODE]]=17, Table40[ [#This Row],[Account Deposit Amount] ]-Table40[ [#This Row],[Account Withdrawl Amount] ], )</f>
        <v>0</v>
      </c>
      <c r="V31" s="127">
        <f>IF(Table40[[#This Row],[CODE]]=17, Table40[ [#This Row],[Account Deposit Amount] ]-Table40[ [#This Row],[Account Withdrawl Amount] ], )</f>
        <v>0</v>
      </c>
    </row>
    <row r="32" spans="1:22" ht="16.2" thickBot="1">
      <c r="A32" s="130"/>
      <c r="B32" s="133"/>
      <c r="C32" s="130"/>
      <c r="D32" s="132"/>
      <c r="E32" s="128"/>
      <c r="F32" s="128"/>
      <c r="G32" s="134">
        <f t="shared" si="2"/>
        <v>18348.999999999993</v>
      </c>
      <c r="H32" s="130"/>
      <c r="I32" s="127">
        <f>IF(Table40[[#This Row],[CODE]]=1, Table40[ [#This Row],[Account Deposit Amount] ]-Table40[ [#This Row],[Account Withdrawl Amount] ], )</f>
        <v>0</v>
      </c>
      <c r="J32" s="129">
        <f>IF(Table40[[#This Row],[CODE]]=2, Table40[ [#This Row],[Account Deposit Amount] ]-Table40[ [#This Row],[Account Withdrawl Amount] ], )</f>
        <v>0</v>
      </c>
      <c r="K32" s="129">
        <f>IF(Table40[[#This Row],[CODE]]=3, Table40[ [#This Row],[Account Deposit Amount] ]-Table40[ [#This Row],[Account Withdrawl Amount] ], )</f>
        <v>0</v>
      </c>
      <c r="L32" s="128">
        <f>IF(Table40[[#This Row],[CODE]]=4, Table40[ [#This Row],[Account Deposit Amount] ]-Table40[ [#This Row],[Account Withdrawl Amount] ], )</f>
        <v>0</v>
      </c>
      <c r="M32" s="128">
        <f>IF(Table40[[#This Row],[CODE]]=5, Table40[ [#This Row],[Account Deposit Amount] ]-Table40[ [#This Row],[Account Withdrawl Amount] ], )</f>
        <v>0</v>
      </c>
      <c r="N32" s="128">
        <f>IF(Table40[[#This Row],[CODE]]=6, Table40[ [#This Row],[Account Deposit Amount] ]-Table40[ [#This Row],[Account Withdrawl Amount] ], )</f>
        <v>0</v>
      </c>
      <c r="O32" s="128">
        <f>IF(Table40[[#This Row],[CODE]]=11, Table40[ [#This Row],[Account Deposit Amount] ]-Table40[ [#This Row],[Account Withdrawl Amount] ], )</f>
        <v>0</v>
      </c>
      <c r="P32" s="128">
        <f>IF(Table40[[#This Row],[CODE]]=12, Table40[ [#This Row],[Account Deposit Amount] ]-Table40[ [#This Row],[Account Withdrawl Amount] ], )</f>
        <v>0</v>
      </c>
      <c r="Q32" s="128">
        <f>IF(Table40[[#This Row],[CODE]]=13, Table40[ [#This Row],[Account Deposit Amount] ]-Table40[ [#This Row],[Account Withdrawl Amount] ], )</f>
        <v>0</v>
      </c>
      <c r="R32" s="128">
        <f>IF(Table40[[#This Row],[CODE]]=14, Table40[ [#This Row],[Account Deposit Amount] ]-Table40[ [#This Row],[Account Withdrawl Amount] ], )</f>
        <v>0</v>
      </c>
      <c r="S32" s="128">
        <f>IF(Table40[[#This Row],[CODE]]=15, Table40[ [#This Row],[Account Deposit Amount] ]-Table40[ [#This Row],[Account Withdrawl Amount] ], )</f>
        <v>0</v>
      </c>
      <c r="T32" s="128">
        <f>IF(Table40[[#This Row],[CODE]]=16, Table40[ [#This Row],[Account Deposit Amount] ]-Table40[ [#This Row],[Account Withdrawl Amount] ], )</f>
        <v>0</v>
      </c>
      <c r="U32" s="127">
        <f>IF(Table40[[#This Row],[CODE]]=17, Table40[ [#This Row],[Account Deposit Amount] ]-Table40[ [#This Row],[Account Withdrawl Amount] ], )</f>
        <v>0</v>
      </c>
      <c r="V32" s="127">
        <f>IF(Table40[[#This Row],[CODE]]=17, Table40[ [#This Row],[Account Deposit Amount] ]-Table40[ [#This Row],[Account Withdrawl Amount] ], )</f>
        <v>0</v>
      </c>
    </row>
    <row r="33" spans="1:22" ht="16.2" thickBot="1">
      <c r="A33" s="130"/>
      <c r="B33" s="133"/>
      <c r="C33" s="130"/>
      <c r="D33" s="132"/>
      <c r="E33" s="128"/>
      <c r="F33" s="128"/>
      <c r="G33" s="134">
        <f t="shared" si="2"/>
        <v>18348.999999999993</v>
      </c>
      <c r="H33" s="130"/>
      <c r="I33" s="127">
        <f>IF(Table40[[#This Row],[CODE]]=1, Table40[ [#This Row],[Account Deposit Amount] ]-Table40[ [#This Row],[Account Withdrawl Amount] ], )</f>
        <v>0</v>
      </c>
      <c r="J33" s="129">
        <f>IF(Table40[[#This Row],[CODE]]=2, Table40[ [#This Row],[Account Deposit Amount] ]-Table40[ [#This Row],[Account Withdrawl Amount] ], )</f>
        <v>0</v>
      </c>
      <c r="K33" s="129">
        <f>IF(Table40[[#This Row],[CODE]]=3, Table40[ [#This Row],[Account Deposit Amount] ]-Table40[ [#This Row],[Account Withdrawl Amount] ], )</f>
        <v>0</v>
      </c>
      <c r="L33" s="128">
        <f>IF(Table40[[#This Row],[CODE]]=4, Table40[ [#This Row],[Account Deposit Amount] ]-Table40[ [#This Row],[Account Withdrawl Amount] ], )</f>
        <v>0</v>
      </c>
      <c r="M33" s="128">
        <f>IF(Table40[[#This Row],[CODE]]=5, Table40[ [#This Row],[Account Deposit Amount] ]-Table40[ [#This Row],[Account Withdrawl Amount] ], )</f>
        <v>0</v>
      </c>
      <c r="N33" s="128">
        <f>IF(Table40[[#This Row],[CODE]]=6, Table40[ [#This Row],[Account Deposit Amount] ]-Table40[ [#This Row],[Account Withdrawl Amount] ], )</f>
        <v>0</v>
      </c>
      <c r="O33" s="128">
        <f>IF(Table40[[#This Row],[CODE]]=11, Table40[ [#This Row],[Account Deposit Amount] ]-Table40[ [#This Row],[Account Withdrawl Amount] ], )</f>
        <v>0</v>
      </c>
      <c r="P33" s="128">
        <f>IF(Table40[[#This Row],[CODE]]=12, Table40[ [#This Row],[Account Deposit Amount] ]-Table40[ [#This Row],[Account Withdrawl Amount] ], )</f>
        <v>0</v>
      </c>
      <c r="Q33" s="128">
        <f>IF(Table40[[#This Row],[CODE]]=13, Table40[ [#This Row],[Account Deposit Amount] ]-Table40[ [#This Row],[Account Withdrawl Amount] ], )</f>
        <v>0</v>
      </c>
      <c r="R33" s="128">
        <f>IF(Table40[[#This Row],[CODE]]=14, Table40[ [#This Row],[Account Deposit Amount] ]-Table40[ [#This Row],[Account Withdrawl Amount] ], )</f>
        <v>0</v>
      </c>
      <c r="S33" s="128">
        <f>IF(Table40[[#This Row],[CODE]]=15, Table40[ [#This Row],[Account Deposit Amount] ]-Table40[ [#This Row],[Account Withdrawl Amount] ], )</f>
        <v>0</v>
      </c>
      <c r="T33" s="128">
        <f>IF(Table40[[#This Row],[CODE]]=16, Table40[ [#This Row],[Account Deposit Amount] ]-Table40[ [#This Row],[Account Withdrawl Amount] ], )</f>
        <v>0</v>
      </c>
      <c r="U33" s="127">
        <f>IF(Table40[[#This Row],[CODE]]=17, Table40[ [#This Row],[Account Deposit Amount] ]-Table40[ [#This Row],[Account Withdrawl Amount] ], )</f>
        <v>0</v>
      </c>
      <c r="V33" s="127">
        <f>IF(Table40[[#This Row],[CODE]]=17, Table40[ [#This Row],[Account Deposit Amount] ]-Table40[ [#This Row],[Account Withdrawl Amount] ], )</f>
        <v>0</v>
      </c>
    </row>
    <row r="34" spans="1:22" ht="16.2" thickBot="1">
      <c r="A34" s="130"/>
      <c r="B34" s="133"/>
      <c r="C34" s="130"/>
      <c r="D34" s="132"/>
      <c r="E34" s="128"/>
      <c r="F34" s="128"/>
      <c r="G34" s="134">
        <f t="shared" si="2"/>
        <v>18348.999999999993</v>
      </c>
      <c r="H34" s="130"/>
      <c r="I34" s="127">
        <f>IF(Table40[[#This Row],[CODE]]=1, Table40[ [#This Row],[Account Deposit Amount] ]-Table40[ [#This Row],[Account Withdrawl Amount] ], )</f>
        <v>0</v>
      </c>
      <c r="J34" s="129">
        <f>IF(Table40[[#This Row],[CODE]]=2, Table40[ [#This Row],[Account Deposit Amount] ]-Table40[ [#This Row],[Account Withdrawl Amount] ], )</f>
        <v>0</v>
      </c>
      <c r="K34" s="129">
        <f>IF(Table40[[#This Row],[CODE]]=3, Table40[ [#This Row],[Account Deposit Amount] ]-Table40[ [#This Row],[Account Withdrawl Amount] ], )</f>
        <v>0</v>
      </c>
      <c r="L34" s="128">
        <f>IF(Table40[[#This Row],[CODE]]=4, Table40[ [#This Row],[Account Deposit Amount] ]-Table40[ [#This Row],[Account Withdrawl Amount] ], )</f>
        <v>0</v>
      </c>
      <c r="M34" s="128">
        <f>IF(Table40[[#This Row],[CODE]]=5, Table40[ [#This Row],[Account Deposit Amount] ]-Table40[ [#This Row],[Account Withdrawl Amount] ], )</f>
        <v>0</v>
      </c>
      <c r="N34" s="128">
        <f>IF(Table40[[#This Row],[CODE]]=6, Table40[ [#This Row],[Account Deposit Amount] ]-Table40[ [#This Row],[Account Withdrawl Amount] ], )</f>
        <v>0</v>
      </c>
      <c r="O34" s="128">
        <f>IF(Table40[[#This Row],[CODE]]=11, Table40[ [#This Row],[Account Deposit Amount] ]-Table40[ [#This Row],[Account Withdrawl Amount] ], )</f>
        <v>0</v>
      </c>
      <c r="P34" s="128">
        <f>IF(Table40[[#This Row],[CODE]]=12, Table40[ [#This Row],[Account Deposit Amount] ]-Table40[ [#This Row],[Account Withdrawl Amount] ], )</f>
        <v>0</v>
      </c>
      <c r="Q34" s="128">
        <f>IF(Table40[[#This Row],[CODE]]=13, Table40[ [#This Row],[Account Deposit Amount] ]-Table40[ [#This Row],[Account Withdrawl Amount] ], )</f>
        <v>0</v>
      </c>
      <c r="R34" s="128">
        <f>IF(Table40[[#This Row],[CODE]]=14, Table40[ [#This Row],[Account Deposit Amount] ]-Table40[ [#This Row],[Account Withdrawl Amount] ], )</f>
        <v>0</v>
      </c>
      <c r="S34" s="128">
        <f>IF(Table40[[#This Row],[CODE]]=15, Table40[ [#This Row],[Account Deposit Amount] ]-Table40[ [#This Row],[Account Withdrawl Amount] ], )</f>
        <v>0</v>
      </c>
      <c r="T34" s="128">
        <f>IF(Table40[[#This Row],[CODE]]=16, Table40[ [#This Row],[Account Deposit Amount] ]-Table40[ [#This Row],[Account Withdrawl Amount] ], )</f>
        <v>0</v>
      </c>
      <c r="U34" s="127">
        <f>IF(Table40[[#This Row],[CODE]]=17, Table40[ [#This Row],[Account Deposit Amount] ]-Table40[ [#This Row],[Account Withdrawl Amount] ], )</f>
        <v>0</v>
      </c>
      <c r="V34" s="127">
        <f>IF(Table40[[#This Row],[CODE]]=17, Table40[ [#This Row],[Account Deposit Amount] ]-Table40[ [#This Row],[Account Withdrawl Amount] ], )</f>
        <v>0</v>
      </c>
    </row>
    <row r="35" spans="1:22" ht="16.2" thickBot="1">
      <c r="A35" s="130"/>
      <c r="B35" s="133"/>
      <c r="C35" s="130"/>
      <c r="D35" s="132"/>
      <c r="E35" s="128"/>
      <c r="F35" s="128"/>
      <c r="G35" s="134">
        <f t="shared" si="2"/>
        <v>18348.999999999993</v>
      </c>
      <c r="H35" s="130"/>
      <c r="I35" s="127">
        <f>IF(Table40[[#This Row],[CODE]]=1, Table40[ [#This Row],[Account Deposit Amount] ]-Table40[ [#This Row],[Account Withdrawl Amount] ], )</f>
        <v>0</v>
      </c>
      <c r="J35" s="129">
        <f>IF(Table40[[#This Row],[CODE]]=2, Table40[ [#This Row],[Account Deposit Amount] ]-Table40[ [#This Row],[Account Withdrawl Amount] ], )</f>
        <v>0</v>
      </c>
      <c r="K35" s="129">
        <f>IF(Table40[[#This Row],[CODE]]=3, Table40[ [#This Row],[Account Deposit Amount] ]-Table40[ [#This Row],[Account Withdrawl Amount] ], )</f>
        <v>0</v>
      </c>
      <c r="L35" s="128">
        <f>IF(Table40[[#This Row],[CODE]]=4, Table40[ [#This Row],[Account Deposit Amount] ]-Table40[ [#This Row],[Account Withdrawl Amount] ], )</f>
        <v>0</v>
      </c>
      <c r="M35" s="128">
        <f>IF(Table40[[#This Row],[CODE]]=5, Table40[ [#This Row],[Account Deposit Amount] ]-Table40[ [#This Row],[Account Withdrawl Amount] ], )</f>
        <v>0</v>
      </c>
      <c r="N35" s="128">
        <f>IF(Table40[[#This Row],[CODE]]=6, Table40[ [#This Row],[Account Deposit Amount] ]-Table40[ [#This Row],[Account Withdrawl Amount] ], )</f>
        <v>0</v>
      </c>
      <c r="O35" s="128">
        <f>IF(Table40[[#This Row],[CODE]]=11, Table40[ [#This Row],[Account Deposit Amount] ]-Table40[ [#This Row],[Account Withdrawl Amount] ], )</f>
        <v>0</v>
      </c>
      <c r="P35" s="128">
        <f>IF(Table40[[#This Row],[CODE]]=12, Table40[ [#This Row],[Account Deposit Amount] ]-Table40[ [#This Row],[Account Withdrawl Amount] ], )</f>
        <v>0</v>
      </c>
      <c r="Q35" s="128">
        <f>IF(Table40[[#This Row],[CODE]]=13, Table40[ [#This Row],[Account Deposit Amount] ]-Table40[ [#This Row],[Account Withdrawl Amount] ], )</f>
        <v>0</v>
      </c>
      <c r="R35" s="128">
        <f>IF(Table40[[#This Row],[CODE]]=14, Table40[ [#This Row],[Account Deposit Amount] ]-Table40[ [#This Row],[Account Withdrawl Amount] ], )</f>
        <v>0</v>
      </c>
      <c r="S35" s="128">
        <f>IF(Table40[[#This Row],[CODE]]=15, Table40[ [#This Row],[Account Deposit Amount] ]-Table40[ [#This Row],[Account Withdrawl Amount] ], )</f>
        <v>0</v>
      </c>
      <c r="T35" s="128">
        <f>IF(Table40[[#This Row],[CODE]]=16, Table40[ [#This Row],[Account Deposit Amount] ]-Table40[ [#This Row],[Account Withdrawl Amount] ], )</f>
        <v>0</v>
      </c>
      <c r="U35" s="127">
        <f>IF(Table40[[#This Row],[CODE]]=17, Table40[ [#This Row],[Account Deposit Amount] ]-Table40[ [#This Row],[Account Withdrawl Amount] ], )</f>
        <v>0</v>
      </c>
      <c r="V35" s="127">
        <f>IF(Table40[[#This Row],[CODE]]=17, Table40[ [#This Row],[Account Deposit Amount] ]-Table40[ [#This Row],[Account Withdrawl Amount] ], )</f>
        <v>0</v>
      </c>
    </row>
    <row r="36" spans="1:22" ht="16.2" thickBot="1">
      <c r="A36" s="130"/>
      <c r="B36" s="133"/>
      <c r="C36" s="130"/>
      <c r="D36" s="132"/>
      <c r="E36" s="128"/>
      <c r="F36" s="128"/>
      <c r="G36" s="134">
        <f t="shared" si="2"/>
        <v>18348.999999999993</v>
      </c>
      <c r="H36" s="130"/>
      <c r="I36" s="127">
        <f>IF(Table40[[#This Row],[CODE]]=1, Table40[ [#This Row],[Account Deposit Amount] ]-Table40[ [#This Row],[Account Withdrawl Amount] ], )</f>
        <v>0</v>
      </c>
      <c r="J36" s="129">
        <f>IF(Table40[[#This Row],[CODE]]=2, Table40[ [#This Row],[Account Deposit Amount] ]-Table40[ [#This Row],[Account Withdrawl Amount] ], )</f>
        <v>0</v>
      </c>
      <c r="K36" s="129">
        <f>IF(Table40[[#This Row],[CODE]]=3, Table40[ [#This Row],[Account Deposit Amount] ]-Table40[ [#This Row],[Account Withdrawl Amount] ], )</f>
        <v>0</v>
      </c>
      <c r="L36" s="128">
        <f>IF(Table40[[#This Row],[CODE]]=4, Table40[ [#This Row],[Account Deposit Amount] ]-Table40[ [#This Row],[Account Withdrawl Amount] ], )</f>
        <v>0</v>
      </c>
      <c r="M36" s="128">
        <f>IF(Table40[[#This Row],[CODE]]=5, Table40[ [#This Row],[Account Deposit Amount] ]-Table40[ [#This Row],[Account Withdrawl Amount] ], )</f>
        <v>0</v>
      </c>
      <c r="N36" s="128">
        <f>IF(Table40[[#This Row],[CODE]]=6, Table40[ [#This Row],[Account Deposit Amount] ]-Table40[ [#This Row],[Account Withdrawl Amount] ], )</f>
        <v>0</v>
      </c>
      <c r="O36" s="128">
        <f>IF(Table40[[#This Row],[CODE]]=11, Table40[ [#This Row],[Account Deposit Amount] ]-Table40[ [#This Row],[Account Withdrawl Amount] ], )</f>
        <v>0</v>
      </c>
      <c r="P36" s="128">
        <f>IF(Table40[[#This Row],[CODE]]=12, Table40[ [#This Row],[Account Deposit Amount] ]-Table40[ [#This Row],[Account Withdrawl Amount] ], )</f>
        <v>0</v>
      </c>
      <c r="Q36" s="128">
        <f>IF(Table40[[#This Row],[CODE]]=13, Table40[ [#This Row],[Account Deposit Amount] ]-Table40[ [#This Row],[Account Withdrawl Amount] ], )</f>
        <v>0</v>
      </c>
      <c r="R36" s="128">
        <f>IF(Table40[[#This Row],[CODE]]=14, Table40[ [#This Row],[Account Deposit Amount] ]-Table40[ [#This Row],[Account Withdrawl Amount] ], )</f>
        <v>0</v>
      </c>
      <c r="S36" s="128">
        <f>IF(Table40[[#This Row],[CODE]]=15, Table40[ [#This Row],[Account Deposit Amount] ]-Table40[ [#This Row],[Account Withdrawl Amount] ], )</f>
        <v>0</v>
      </c>
      <c r="T36" s="128">
        <f>IF(Table40[[#This Row],[CODE]]=16, Table40[ [#This Row],[Account Deposit Amount] ]-Table40[ [#This Row],[Account Withdrawl Amount] ], )</f>
        <v>0</v>
      </c>
      <c r="U36" s="127">
        <f>IF(Table40[[#This Row],[CODE]]=17, Table40[ [#This Row],[Account Deposit Amount] ]-Table40[ [#This Row],[Account Withdrawl Amount] ], )</f>
        <v>0</v>
      </c>
      <c r="V36" s="127">
        <f>IF(Table40[[#This Row],[CODE]]=17, Table40[ [#This Row],[Account Deposit Amount] ]-Table40[ [#This Row],[Account Withdrawl Amount] ], )</f>
        <v>0</v>
      </c>
    </row>
    <row r="37" spans="1:22" ht="16.2" thickBot="1">
      <c r="A37" s="130"/>
      <c r="B37" s="133"/>
      <c r="C37" s="130"/>
      <c r="D37" s="132"/>
      <c r="E37" s="128"/>
      <c r="F37" s="128"/>
      <c r="G37" s="134">
        <f t="shared" ref="G37:G68" si="3">G36+E37-F37</f>
        <v>18348.999999999993</v>
      </c>
      <c r="H37" s="130"/>
      <c r="I37" s="127">
        <f>IF(Table40[[#This Row],[CODE]]=1, Table40[ [#This Row],[Account Deposit Amount] ]-Table40[ [#This Row],[Account Withdrawl Amount] ], )</f>
        <v>0</v>
      </c>
      <c r="J37" s="129">
        <f>IF(Table40[[#This Row],[CODE]]=2, Table40[ [#This Row],[Account Deposit Amount] ]-Table40[ [#This Row],[Account Withdrawl Amount] ], )</f>
        <v>0</v>
      </c>
      <c r="K37" s="129">
        <f>IF(Table40[[#This Row],[CODE]]=3, Table40[ [#This Row],[Account Deposit Amount] ]-Table40[ [#This Row],[Account Withdrawl Amount] ], )</f>
        <v>0</v>
      </c>
      <c r="L37" s="128">
        <f>IF(Table40[[#This Row],[CODE]]=4, Table40[ [#This Row],[Account Deposit Amount] ]-Table40[ [#This Row],[Account Withdrawl Amount] ], )</f>
        <v>0</v>
      </c>
      <c r="M37" s="128">
        <f>IF(Table40[[#This Row],[CODE]]=5, Table40[ [#This Row],[Account Deposit Amount] ]-Table40[ [#This Row],[Account Withdrawl Amount] ], )</f>
        <v>0</v>
      </c>
      <c r="N37" s="128">
        <f>IF(Table40[[#This Row],[CODE]]=6, Table40[ [#This Row],[Account Deposit Amount] ]-Table40[ [#This Row],[Account Withdrawl Amount] ], )</f>
        <v>0</v>
      </c>
      <c r="O37" s="128">
        <f>IF(Table40[[#This Row],[CODE]]=11, Table40[ [#This Row],[Account Deposit Amount] ]-Table40[ [#This Row],[Account Withdrawl Amount] ], )</f>
        <v>0</v>
      </c>
      <c r="P37" s="128">
        <f>IF(Table40[[#This Row],[CODE]]=12, Table40[ [#This Row],[Account Deposit Amount] ]-Table40[ [#This Row],[Account Withdrawl Amount] ], )</f>
        <v>0</v>
      </c>
      <c r="Q37" s="128">
        <f>IF(Table40[[#This Row],[CODE]]=13, Table40[ [#This Row],[Account Deposit Amount] ]-Table40[ [#This Row],[Account Withdrawl Amount] ], )</f>
        <v>0</v>
      </c>
      <c r="R37" s="128">
        <f>IF(Table40[[#This Row],[CODE]]=14, Table40[ [#This Row],[Account Deposit Amount] ]-Table40[ [#This Row],[Account Withdrawl Amount] ], )</f>
        <v>0</v>
      </c>
      <c r="S37" s="128">
        <f>IF(Table40[[#This Row],[CODE]]=15, Table40[ [#This Row],[Account Deposit Amount] ]-Table40[ [#This Row],[Account Withdrawl Amount] ], )</f>
        <v>0</v>
      </c>
      <c r="T37" s="128">
        <f>IF(Table40[[#This Row],[CODE]]=16, Table40[ [#This Row],[Account Deposit Amount] ]-Table40[ [#This Row],[Account Withdrawl Amount] ], )</f>
        <v>0</v>
      </c>
      <c r="U37" s="127">
        <f>IF(Table40[[#This Row],[CODE]]=17, Table40[ [#This Row],[Account Deposit Amount] ]-Table40[ [#This Row],[Account Withdrawl Amount] ], )</f>
        <v>0</v>
      </c>
      <c r="V37" s="127">
        <f>IF(Table40[[#This Row],[CODE]]=17, Table40[ [#This Row],[Account Deposit Amount] ]-Table40[ [#This Row],[Account Withdrawl Amount] ], )</f>
        <v>0</v>
      </c>
    </row>
    <row r="38" spans="1:22" ht="16.2" thickBot="1">
      <c r="A38" s="130"/>
      <c r="B38" s="133"/>
      <c r="C38" s="130"/>
      <c r="D38" s="132"/>
      <c r="E38" s="128"/>
      <c r="F38" s="128"/>
      <c r="G38" s="134">
        <f t="shared" si="3"/>
        <v>18348.999999999993</v>
      </c>
      <c r="H38" s="130"/>
      <c r="I38" s="127">
        <f>IF(Table40[[#This Row],[CODE]]=1, Table40[ [#This Row],[Account Deposit Amount] ]-Table40[ [#This Row],[Account Withdrawl Amount] ], )</f>
        <v>0</v>
      </c>
      <c r="J38" s="129">
        <f>IF(Table40[[#This Row],[CODE]]=2, Table40[ [#This Row],[Account Deposit Amount] ]-Table40[ [#This Row],[Account Withdrawl Amount] ], )</f>
        <v>0</v>
      </c>
      <c r="K38" s="129">
        <f>IF(Table40[[#This Row],[CODE]]=3, Table40[ [#This Row],[Account Deposit Amount] ]-Table40[ [#This Row],[Account Withdrawl Amount] ], )</f>
        <v>0</v>
      </c>
      <c r="L38" s="128">
        <f>IF(Table40[[#This Row],[CODE]]=4, Table40[ [#This Row],[Account Deposit Amount] ]-Table40[ [#This Row],[Account Withdrawl Amount] ], )</f>
        <v>0</v>
      </c>
      <c r="M38" s="128">
        <f>IF(Table40[[#This Row],[CODE]]=5, Table40[ [#This Row],[Account Deposit Amount] ]-Table40[ [#This Row],[Account Withdrawl Amount] ], )</f>
        <v>0</v>
      </c>
      <c r="N38" s="128">
        <f>IF(Table40[[#This Row],[CODE]]=6, Table40[ [#This Row],[Account Deposit Amount] ]-Table40[ [#This Row],[Account Withdrawl Amount] ], )</f>
        <v>0</v>
      </c>
      <c r="O38" s="128">
        <f>IF(Table40[[#This Row],[CODE]]=11, Table40[ [#This Row],[Account Deposit Amount] ]-Table40[ [#This Row],[Account Withdrawl Amount] ], )</f>
        <v>0</v>
      </c>
      <c r="P38" s="128">
        <f>IF(Table40[[#This Row],[CODE]]=12, Table40[ [#This Row],[Account Deposit Amount] ]-Table40[ [#This Row],[Account Withdrawl Amount] ], )</f>
        <v>0</v>
      </c>
      <c r="Q38" s="128">
        <f>IF(Table40[[#This Row],[CODE]]=13, Table40[ [#This Row],[Account Deposit Amount] ]-Table40[ [#This Row],[Account Withdrawl Amount] ], )</f>
        <v>0</v>
      </c>
      <c r="R38" s="128">
        <f>IF(Table40[[#This Row],[CODE]]=14, Table40[ [#This Row],[Account Deposit Amount] ]-Table40[ [#This Row],[Account Withdrawl Amount] ], )</f>
        <v>0</v>
      </c>
      <c r="S38" s="128">
        <f>IF(Table40[[#This Row],[CODE]]=15, Table40[ [#This Row],[Account Deposit Amount] ]-Table40[ [#This Row],[Account Withdrawl Amount] ], )</f>
        <v>0</v>
      </c>
      <c r="T38" s="128">
        <f>IF(Table40[[#This Row],[CODE]]=16, Table40[ [#This Row],[Account Deposit Amount] ]-Table40[ [#This Row],[Account Withdrawl Amount] ], )</f>
        <v>0</v>
      </c>
      <c r="U38" s="127">
        <f>IF(Table40[[#This Row],[CODE]]=17, Table40[ [#This Row],[Account Deposit Amount] ]-Table40[ [#This Row],[Account Withdrawl Amount] ], )</f>
        <v>0</v>
      </c>
      <c r="V38" s="127">
        <f>IF(Table40[[#This Row],[CODE]]=17, Table40[ [#This Row],[Account Deposit Amount] ]-Table40[ [#This Row],[Account Withdrawl Amount] ], )</f>
        <v>0</v>
      </c>
    </row>
    <row r="39" spans="1:22" ht="16.2" thickBot="1">
      <c r="A39" s="130"/>
      <c r="B39" s="133"/>
      <c r="C39" s="130"/>
      <c r="D39" s="132"/>
      <c r="E39" s="128"/>
      <c r="F39" s="128"/>
      <c r="G39" s="134">
        <f t="shared" si="3"/>
        <v>18348.999999999993</v>
      </c>
      <c r="H39" s="130"/>
      <c r="I39" s="127">
        <f>IF(Table40[[#This Row],[CODE]]=1, Table40[ [#This Row],[Account Deposit Amount] ]-Table40[ [#This Row],[Account Withdrawl Amount] ], )</f>
        <v>0</v>
      </c>
      <c r="J39" s="129">
        <f>IF(Table40[[#This Row],[CODE]]=2, Table40[ [#This Row],[Account Deposit Amount] ]-Table40[ [#This Row],[Account Withdrawl Amount] ], )</f>
        <v>0</v>
      </c>
      <c r="K39" s="129">
        <f>IF(Table40[[#This Row],[CODE]]=3, Table40[ [#This Row],[Account Deposit Amount] ]-Table40[ [#This Row],[Account Withdrawl Amount] ], )</f>
        <v>0</v>
      </c>
      <c r="L39" s="128">
        <f>IF(Table40[[#This Row],[CODE]]=4, Table40[ [#This Row],[Account Deposit Amount] ]-Table40[ [#This Row],[Account Withdrawl Amount] ], )</f>
        <v>0</v>
      </c>
      <c r="M39" s="128">
        <f>IF(Table40[[#This Row],[CODE]]=5, Table40[ [#This Row],[Account Deposit Amount] ]-Table40[ [#This Row],[Account Withdrawl Amount] ], )</f>
        <v>0</v>
      </c>
      <c r="N39" s="128">
        <f>IF(Table40[[#This Row],[CODE]]=6, Table40[ [#This Row],[Account Deposit Amount] ]-Table40[ [#This Row],[Account Withdrawl Amount] ], )</f>
        <v>0</v>
      </c>
      <c r="O39" s="128">
        <f>IF(Table40[[#This Row],[CODE]]=11, Table40[ [#This Row],[Account Deposit Amount] ]-Table40[ [#This Row],[Account Withdrawl Amount] ], )</f>
        <v>0</v>
      </c>
      <c r="P39" s="128">
        <f>IF(Table40[[#This Row],[CODE]]=12, Table40[ [#This Row],[Account Deposit Amount] ]-Table40[ [#This Row],[Account Withdrawl Amount] ], )</f>
        <v>0</v>
      </c>
      <c r="Q39" s="128">
        <f>IF(Table40[[#This Row],[CODE]]=13, Table40[ [#This Row],[Account Deposit Amount] ]-Table40[ [#This Row],[Account Withdrawl Amount] ], )</f>
        <v>0</v>
      </c>
      <c r="R39" s="128">
        <f>IF(Table40[[#This Row],[CODE]]=14, Table40[ [#This Row],[Account Deposit Amount] ]-Table40[ [#This Row],[Account Withdrawl Amount] ], )</f>
        <v>0</v>
      </c>
      <c r="S39" s="128">
        <f>IF(Table40[[#This Row],[CODE]]=15, Table40[ [#This Row],[Account Deposit Amount] ]-Table40[ [#This Row],[Account Withdrawl Amount] ], )</f>
        <v>0</v>
      </c>
      <c r="T39" s="128">
        <f>IF(Table40[[#This Row],[CODE]]=16, Table40[ [#This Row],[Account Deposit Amount] ]-Table40[ [#This Row],[Account Withdrawl Amount] ], )</f>
        <v>0</v>
      </c>
      <c r="U39" s="127">
        <f>IF(Table40[[#This Row],[CODE]]=17, Table40[ [#This Row],[Account Deposit Amount] ]-Table40[ [#This Row],[Account Withdrawl Amount] ], )</f>
        <v>0</v>
      </c>
      <c r="V39" s="127">
        <f>IF(Table40[[#This Row],[CODE]]=17, Table40[ [#This Row],[Account Deposit Amount] ]-Table40[ [#This Row],[Account Withdrawl Amount] ], )</f>
        <v>0</v>
      </c>
    </row>
    <row r="40" spans="1:22" ht="16.2" thickBot="1">
      <c r="A40" s="130"/>
      <c r="B40" s="133"/>
      <c r="C40" s="130"/>
      <c r="D40" s="132"/>
      <c r="E40" s="128"/>
      <c r="F40" s="128"/>
      <c r="G40" s="134">
        <f t="shared" si="3"/>
        <v>18348.999999999993</v>
      </c>
      <c r="H40" s="130"/>
      <c r="I40" s="127">
        <f>IF(Table40[[#This Row],[CODE]]=1, Table40[ [#This Row],[Account Deposit Amount] ]-Table40[ [#This Row],[Account Withdrawl Amount] ], )</f>
        <v>0</v>
      </c>
      <c r="J40" s="129">
        <f>IF(Table40[[#This Row],[CODE]]=2, Table40[ [#This Row],[Account Deposit Amount] ]-Table40[ [#This Row],[Account Withdrawl Amount] ], )</f>
        <v>0</v>
      </c>
      <c r="K40" s="129">
        <f>IF(Table40[[#This Row],[CODE]]=3, Table40[ [#This Row],[Account Deposit Amount] ]-Table40[ [#This Row],[Account Withdrawl Amount] ], )</f>
        <v>0</v>
      </c>
      <c r="L40" s="128">
        <f>IF(Table40[[#This Row],[CODE]]=4, Table40[ [#This Row],[Account Deposit Amount] ]-Table40[ [#This Row],[Account Withdrawl Amount] ], )</f>
        <v>0</v>
      </c>
      <c r="M40" s="128">
        <f>IF(Table40[[#This Row],[CODE]]=5, Table40[ [#This Row],[Account Deposit Amount] ]-Table40[ [#This Row],[Account Withdrawl Amount] ], )</f>
        <v>0</v>
      </c>
      <c r="N40" s="128">
        <f>IF(Table40[[#This Row],[CODE]]=6, Table40[ [#This Row],[Account Deposit Amount] ]-Table40[ [#This Row],[Account Withdrawl Amount] ], )</f>
        <v>0</v>
      </c>
      <c r="O40" s="128">
        <f>IF(Table40[[#This Row],[CODE]]=11, Table40[ [#This Row],[Account Deposit Amount] ]-Table40[ [#This Row],[Account Withdrawl Amount] ], )</f>
        <v>0</v>
      </c>
      <c r="P40" s="128">
        <f>IF(Table40[[#This Row],[CODE]]=12, Table40[ [#This Row],[Account Deposit Amount] ]-Table40[ [#This Row],[Account Withdrawl Amount] ], )</f>
        <v>0</v>
      </c>
      <c r="Q40" s="128">
        <f>IF(Table40[[#This Row],[CODE]]=13, Table40[ [#This Row],[Account Deposit Amount] ]-Table40[ [#This Row],[Account Withdrawl Amount] ], )</f>
        <v>0</v>
      </c>
      <c r="R40" s="128">
        <f>IF(Table40[[#This Row],[CODE]]=14, Table40[ [#This Row],[Account Deposit Amount] ]-Table40[ [#This Row],[Account Withdrawl Amount] ], )</f>
        <v>0</v>
      </c>
      <c r="S40" s="128">
        <f>IF(Table40[[#This Row],[CODE]]=15, Table40[ [#This Row],[Account Deposit Amount] ]-Table40[ [#This Row],[Account Withdrawl Amount] ], )</f>
        <v>0</v>
      </c>
      <c r="T40" s="128">
        <f>IF(Table40[[#This Row],[CODE]]=16, Table40[ [#This Row],[Account Deposit Amount] ]-Table40[ [#This Row],[Account Withdrawl Amount] ], )</f>
        <v>0</v>
      </c>
      <c r="U40" s="127">
        <f>IF(Table40[[#This Row],[CODE]]=17, Table40[ [#This Row],[Account Deposit Amount] ]-Table40[ [#This Row],[Account Withdrawl Amount] ], )</f>
        <v>0</v>
      </c>
      <c r="V40" s="127">
        <f>IF(Table40[[#This Row],[CODE]]=17, Table40[ [#This Row],[Account Deposit Amount] ]-Table40[ [#This Row],[Account Withdrawl Amount] ], )</f>
        <v>0</v>
      </c>
    </row>
    <row r="41" spans="1:22" ht="16.2" thickBot="1">
      <c r="A41" s="130"/>
      <c r="B41" s="133"/>
      <c r="C41" s="130"/>
      <c r="D41" s="132"/>
      <c r="E41" s="128"/>
      <c r="F41" s="128"/>
      <c r="G41" s="134">
        <f t="shared" si="3"/>
        <v>18348.999999999993</v>
      </c>
      <c r="H41" s="130"/>
      <c r="I41" s="127">
        <f>IF(Table40[[#This Row],[CODE]]=1, Table40[ [#This Row],[Account Deposit Amount] ]-Table40[ [#This Row],[Account Withdrawl Amount] ], )</f>
        <v>0</v>
      </c>
      <c r="J41" s="129">
        <f>IF(Table40[[#This Row],[CODE]]=2, Table40[ [#This Row],[Account Deposit Amount] ]-Table40[ [#This Row],[Account Withdrawl Amount] ], )</f>
        <v>0</v>
      </c>
      <c r="K41" s="129">
        <f>IF(Table40[[#This Row],[CODE]]=3, Table40[ [#This Row],[Account Deposit Amount] ]-Table40[ [#This Row],[Account Withdrawl Amount] ], )</f>
        <v>0</v>
      </c>
      <c r="L41" s="128">
        <f>IF(Table40[[#This Row],[CODE]]=4, Table40[ [#This Row],[Account Deposit Amount] ]-Table40[ [#This Row],[Account Withdrawl Amount] ], )</f>
        <v>0</v>
      </c>
      <c r="M41" s="128">
        <f>IF(Table40[[#This Row],[CODE]]=5, Table40[ [#This Row],[Account Deposit Amount] ]-Table40[ [#This Row],[Account Withdrawl Amount] ], )</f>
        <v>0</v>
      </c>
      <c r="N41" s="128">
        <f>IF(Table40[[#This Row],[CODE]]=6, Table40[ [#This Row],[Account Deposit Amount] ]-Table40[ [#This Row],[Account Withdrawl Amount] ], )</f>
        <v>0</v>
      </c>
      <c r="O41" s="128">
        <f>IF(Table40[[#This Row],[CODE]]=11, Table40[ [#This Row],[Account Deposit Amount] ]-Table40[ [#This Row],[Account Withdrawl Amount] ], )</f>
        <v>0</v>
      </c>
      <c r="P41" s="128">
        <f>IF(Table40[[#This Row],[CODE]]=12, Table40[ [#This Row],[Account Deposit Amount] ]-Table40[ [#This Row],[Account Withdrawl Amount] ], )</f>
        <v>0</v>
      </c>
      <c r="Q41" s="128">
        <f>IF(Table40[[#This Row],[CODE]]=13, Table40[ [#This Row],[Account Deposit Amount] ]-Table40[ [#This Row],[Account Withdrawl Amount] ], )</f>
        <v>0</v>
      </c>
      <c r="R41" s="128">
        <f>IF(Table40[[#This Row],[CODE]]=14, Table40[ [#This Row],[Account Deposit Amount] ]-Table40[ [#This Row],[Account Withdrawl Amount] ], )</f>
        <v>0</v>
      </c>
      <c r="S41" s="128">
        <f>IF(Table40[[#This Row],[CODE]]=15, Table40[ [#This Row],[Account Deposit Amount] ]-Table40[ [#This Row],[Account Withdrawl Amount] ], )</f>
        <v>0</v>
      </c>
      <c r="T41" s="128">
        <f>IF(Table40[[#This Row],[CODE]]=16, Table40[ [#This Row],[Account Deposit Amount] ]-Table40[ [#This Row],[Account Withdrawl Amount] ], )</f>
        <v>0</v>
      </c>
      <c r="U41" s="127">
        <f>IF(Table40[[#This Row],[CODE]]=17, Table40[ [#This Row],[Account Deposit Amount] ]-Table40[ [#This Row],[Account Withdrawl Amount] ], )</f>
        <v>0</v>
      </c>
      <c r="V41" s="127">
        <f>IF(Table40[[#This Row],[CODE]]=17, Table40[ [#This Row],[Account Deposit Amount] ]-Table40[ [#This Row],[Account Withdrawl Amount] ], )</f>
        <v>0</v>
      </c>
    </row>
    <row r="42" spans="1:22" ht="16.2" thickBot="1">
      <c r="A42" s="130"/>
      <c r="B42" s="133"/>
      <c r="C42" s="130"/>
      <c r="D42" s="132"/>
      <c r="E42" s="128"/>
      <c r="F42" s="128"/>
      <c r="G42" s="134">
        <f t="shared" si="3"/>
        <v>18348.999999999993</v>
      </c>
      <c r="H42" s="130"/>
      <c r="I42" s="127">
        <f>IF(Table40[[#This Row],[CODE]]=1, Table40[ [#This Row],[Account Deposit Amount] ]-Table40[ [#This Row],[Account Withdrawl Amount] ], )</f>
        <v>0</v>
      </c>
      <c r="J42" s="129">
        <f>IF(Table40[[#This Row],[CODE]]=2, Table40[ [#This Row],[Account Deposit Amount] ]-Table40[ [#This Row],[Account Withdrawl Amount] ], )</f>
        <v>0</v>
      </c>
      <c r="K42" s="129">
        <f>IF(Table40[[#This Row],[CODE]]=3, Table40[ [#This Row],[Account Deposit Amount] ]-Table40[ [#This Row],[Account Withdrawl Amount] ], )</f>
        <v>0</v>
      </c>
      <c r="L42" s="128">
        <f>IF(Table40[[#This Row],[CODE]]=4, Table40[ [#This Row],[Account Deposit Amount] ]-Table40[ [#This Row],[Account Withdrawl Amount] ], )</f>
        <v>0</v>
      </c>
      <c r="M42" s="128">
        <f>IF(Table40[[#This Row],[CODE]]=5, Table40[ [#This Row],[Account Deposit Amount] ]-Table40[ [#This Row],[Account Withdrawl Amount] ], )</f>
        <v>0</v>
      </c>
      <c r="N42" s="128">
        <f>IF(Table40[[#This Row],[CODE]]=6, Table40[ [#This Row],[Account Deposit Amount] ]-Table40[ [#This Row],[Account Withdrawl Amount] ], )</f>
        <v>0</v>
      </c>
      <c r="O42" s="128">
        <f>IF(Table40[[#This Row],[CODE]]=11, Table40[ [#This Row],[Account Deposit Amount] ]-Table40[ [#This Row],[Account Withdrawl Amount] ], )</f>
        <v>0</v>
      </c>
      <c r="P42" s="128">
        <f>IF(Table40[[#This Row],[CODE]]=12, Table40[ [#This Row],[Account Deposit Amount] ]-Table40[ [#This Row],[Account Withdrawl Amount] ], )</f>
        <v>0</v>
      </c>
      <c r="Q42" s="128">
        <f>IF(Table40[[#This Row],[CODE]]=13, Table40[ [#This Row],[Account Deposit Amount] ]-Table40[ [#This Row],[Account Withdrawl Amount] ], )</f>
        <v>0</v>
      </c>
      <c r="R42" s="128">
        <f>IF(Table40[[#This Row],[CODE]]=14, Table40[ [#This Row],[Account Deposit Amount] ]-Table40[ [#This Row],[Account Withdrawl Amount] ], )</f>
        <v>0</v>
      </c>
      <c r="S42" s="128">
        <f>IF(Table40[[#This Row],[CODE]]=15, Table40[ [#This Row],[Account Deposit Amount] ]-Table40[ [#This Row],[Account Withdrawl Amount] ], )</f>
        <v>0</v>
      </c>
      <c r="T42" s="128">
        <f>IF(Table40[[#This Row],[CODE]]=16, Table40[ [#This Row],[Account Deposit Amount] ]-Table40[ [#This Row],[Account Withdrawl Amount] ], )</f>
        <v>0</v>
      </c>
      <c r="U42" s="127">
        <f>IF(Table40[[#This Row],[CODE]]=17, Table40[ [#This Row],[Account Deposit Amount] ]-Table40[ [#This Row],[Account Withdrawl Amount] ], )</f>
        <v>0</v>
      </c>
      <c r="V42" s="127">
        <f>IF(Table40[[#This Row],[CODE]]=17, Table40[ [#This Row],[Account Deposit Amount] ]-Table40[ [#This Row],[Account Withdrawl Amount] ], )</f>
        <v>0</v>
      </c>
    </row>
    <row r="43" spans="1:22" ht="16.2" thickBot="1">
      <c r="A43" s="130"/>
      <c r="B43" s="133"/>
      <c r="C43" s="130"/>
      <c r="D43" s="132"/>
      <c r="E43" s="128"/>
      <c r="F43" s="128"/>
      <c r="G43" s="134">
        <f t="shared" si="3"/>
        <v>18348.999999999993</v>
      </c>
      <c r="H43" s="130"/>
      <c r="I43" s="127">
        <f>IF(Table40[[#This Row],[CODE]]=1, Table40[ [#This Row],[Account Deposit Amount] ]-Table40[ [#This Row],[Account Withdrawl Amount] ], )</f>
        <v>0</v>
      </c>
      <c r="J43" s="129">
        <f>IF(Table40[[#This Row],[CODE]]=2, Table40[ [#This Row],[Account Deposit Amount] ]-Table40[ [#This Row],[Account Withdrawl Amount] ], )</f>
        <v>0</v>
      </c>
      <c r="K43" s="129">
        <f>IF(Table40[[#This Row],[CODE]]=3, Table40[ [#This Row],[Account Deposit Amount] ]-Table40[ [#This Row],[Account Withdrawl Amount] ], )</f>
        <v>0</v>
      </c>
      <c r="L43" s="128">
        <f>IF(Table40[[#This Row],[CODE]]=4, Table40[ [#This Row],[Account Deposit Amount] ]-Table40[ [#This Row],[Account Withdrawl Amount] ], )</f>
        <v>0</v>
      </c>
      <c r="M43" s="128">
        <f>IF(Table40[[#This Row],[CODE]]=5, Table40[ [#This Row],[Account Deposit Amount] ]-Table40[ [#This Row],[Account Withdrawl Amount] ], )</f>
        <v>0</v>
      </c>
      <c r="N43" s="128">
        <f>IF(Table40[[#This Row],[CODE]]=6, Table40[ [#This Row],[Account Deposit Amount] ]-Table40[ [#This Row],[Account Withdrawl Amount] ], )</f>
        <v>0</v>
      </c>
      <c r="O43" s="128">
        <f>IF(Table40[[#This Row],[CODE]]=11, Table40[ [#This Row],[Account Deposit Amount] ]-Table40[ [#This Row],[Account Withdrawl Amount] ], )</f>
        <v>0</v>
      </c>
      <c r="P43" s="128">
        <f>IF(Table40[[#This Row],[CODE]]=12, Table40[ [#This Row],[Account Deposit Amount] ]-Table40[ [#This Row],[Account Withdrawl Amount] ], )</f>
        <v>0</v>
      </c>
      <c r="Q43" s="128">
        <f>IF(Table40[[#This Row],[CODE]]=13, Table40[ [#This Row],[Account Deposit Amount] ]-Table40[ [#This Row],[Account Withdrawl Amount] ], )</f>
        <v>0</v>
      </c>
      <c r="R43" s="128">
        <f>IF(Table40[[#This Row],[CODE]]=14, Table40[ [#This Row],[Account Deposit Amount] ]-Table40[ [#This Row],[Account Withdrawl Amount] ], )</f>
        <v>0</v>
      </c>
      <c r="S43" s="128">
        <f>IF(Table40[[#This Row],[CODE]]=15, Table40[ [#This Row],[Account Deposit Amount] ]-Table40[ [#This Row],[Account Withdrawl Amount] ], )</f>
        <v>0</v>
      </c>
      <c r="T43" s="128">
        <f>IF(Table40[[#This Row],[CODE]]=16, Table40[ [#This Row],[Account Deposit Amount] ]-Table40[ [#This Row],[Account Withdrawl Amount] ], )</f>
        <v>0</v>
      </c>
      <c r="U43" s="127">
        <f>IF(Table40[[#This Row],[CODE]]=17, Table40[ [#This Row],[Account Deposit Amount] ]-Table40[ [#This Row],[Account Withdrawl Amount] ], )</f>
        <v>0</v>
      </c>
      <c r="V43" s="127">
        <f>IF(Table40[[#This Row],[CODE]]=17, Table40[ [#This Row],[Account Deposit Amount] ]-Table40[ [#This Row],[Account Withdrawl Amount] ], )</f>
        <v>0</v>
      </c>
    </row>
    <row r="44" spans="1:22" ht="16.2" thickBot="1">
      <c r="A44" s="130"/>
      <c r="B44" s="133"/>
      <c r="C44" s="130"/>
      <c r="D44" s="132"/>
      <c r="E44" s="128"/>
      <c r="F44" s="128"/>
      <c r="G44" s="134">
        <f t="shared" si="3"/>
        <v>18348.999999999993</v>
      </c>
      <c r="H44" s="130"/>
      <c r="I44" s="127">
        <f>IF(Table40[[#This Row],[CODE]]=1, Table40[ [#This Row],[Account Deposit Amount] ]-Table40[ [#This Row],[Account Withdrawl Amount] ], )</f>
        <v>0</v>
      </c>
      <c r="J44" s="129">
        <f>IF(Table40[[#This Row],[CODE]]=2, Table40[ [#This Row],[Account Deposit Amount] ]-Table40[ [#This Row],[Account Withdrawl Amount] ], )</f>
        <v>0</v>
      </c>
      <c r="K44" s="129">
        <f>IF(Table40[[#This Row],[CODE]]=3, Table40[ [#This Row],[Account Deposit Amount] ]-Table40[ [#This Row],[Account Withdrawl Amount] ], )</f>
        <v>0</v>
      </c>
      <c r="L44" s="128">
        <f>IF(Table40[[#This Row],[CODE]]=4, Table40[ [#This Row],[Account Deposit Amount] ]-Table40[ [#This Row],[Account Withdrawl Amount] ], )</f>
        <v>0</v>
      </c>
      <c r="M44" s="128">
        <f>IF(Table40[[#This Row],[CODE]]=5, Table40[ [#This Row],[Account Deposit Amount] ]-Table40[ [#This Row],[Account Withdrawl Amount] ], )</f>
        <v>0</v>
      </c>
      <c r="N44" s="128">
        <f>IF(Table40[[#This Row],[CODE]]=6, Table40[ [#This Row],[Account Deposit Amount] ]-Table40[ [#This Row],[Account Withdrawl Amount] ], )</f>
        <v>0</v>
      </c>
      <c r="O44" s="128">
        <f>IF(Table40[[#This Row],[CODE]]=11, Table40[ [#This Row],[Account Deposit Amount] ]-Table40[ [#This Row],[Account Withdrawl Amount] ], )</f>
        <v>0</v>
      </c>
      <c r="P44" s="128">
        <f>IF(Table40[[#This Row],[CODE]]=12, Table40[ [#This Row],[Account Deposit Amount] ]-Table40[ [#This Row],[Account Withdrawl Amount] ], )</f>
        <v>0</v>
      </c>
      <c r="Q44" s="128">
        <f>IF(Table40[[#This Row],[CODE]]=13, Table40[ [#This Row],[Account Deposit Amount] ]-Table40[ [#This Row],[Account Withdrawl Amount] ], )</f>
        <v>0</v>
      </c>
      <c r="R44" s="128">
        <f>IF(Table40[[#This Row],[CODE]]=14, Table40[ [#This Row],[Account Deposit Amount] ]-Table40[ [#This Row],[Account Withdrawl Amount] ], )</f>
        <v>0</v>
      </c>
      <c r="S44" s="128">
        <f>IF(Table40[[#This Row],[CODE]]=15, Table40[ [#This Row],[Account Deposit Amount] ]-Table40[ [#This Row],[Account Withdrawl Amount] ], )</f>
        <v>0</v>
      </c>
      <c r="T44" s="128">
        <f>IF(Table40[[#This Row],[CODE]]=16, Table40[ [#This Row],[Account Deposit Amount] ]-Table40[ [#This Row],[Account Withdrawl Amount] ], )</f>
        <v>0</v>
      </c>
      <c r="U44" s="127">
        <f>IF(Table40[[#This Row],[CODE]]=17, Table40[ [#This Row],[Account Deposit Amount] ]-Table40[ [#This Row],[Account Withdrawl Amount] ], )</f>
        <v>0</v>
      </c>
      <c r="V44" s="127">
        <f>IF(Table40[[#This Row],[CODE]]=17, Table40[ [#This Row],[Account Deposit Amount] ]-Table40[ [#This Row],[Account Withdrawl Amount] ], )</f>
        <v>0</v>
      </c>
    </row>
    <row r="45" spans="1:22" ht="16.2" thickBot="1">
      <c r="A45" s="130"/>
      <c r="B45" s="133"/>
      <c r="C45" s="130"/>
      <c r="D45" s="132"/>
      <c r="E45" s="128"/>
      <c r="F45" s="128"/>
      <c r="G45" s="134">
        <f t="shared" si="3"/>
        <v>18348.999999999993</v>
      </c>
      <c r="H45" s="130"/>
      <c r="I45" s="127">
        <f>IF(Table40[[#This Row],[CODE]]=1, Table40[ [#This Row],[Account Deposit Amount] ]-Table40[ [#This Row],[Account Withdrawl Amount] ], )</f>
        <v>0</v>
      </c>
      <c r="J45" s="129">
        <f>IF(Table40[[#This Row],[CODE]]=2, Table40[ [#This Row],[Account Deposit Amount] ]-Table40[ [#This Row],[Account Withdrawl Amount] ], )</f>
        <v>0</v>
      </c>
      <c r="K45" s="129">
        <f>IF(Table40[[#This Row],[CODE]]=3, Table40[ [#This Row],[Account Deposit Amount] ]-Table40[ [#This Row],[Account Withdrawl Amount] ], )</f>
        <v>0</v>
      </c>
      <c r="L45" s="128">
        <f>IF(Table40[[#This Row],[CODE]]=4, Table40[ [#This Row],[Account Deposit Amount] ]-Table40[ [#This Row],[Account Withdrawl Amount] ], )</f>
        <v>0</v>
      </c>
      <c r="M45" s="128">
        <f>IF(Table40[[#This Row],[CODE]]=5, Table40[ [#This Row],[Account Deposit Amount] ]-Table40[ [#This Row],[Account Withdrawl Amount] ], )</f>
        <v>0</v>
      </c>
      <c r="N45" s="128">
        <f>IF(Table40[[#This Row],[CODE]]=6, Table40[ [#This Row],[Account Deposit Amount] ]-Table40[ [#This Row],[Account Withdrawl Amount] ], )</f>
        <v>0</v>
      </c>
      <c r="O45" s="128">
        <f>IF(Table40[[#This Row],[CODE]]=11, Table40[ [#This Row],[Account Deposit Amount] ]-Table40[ [#This Row],[Account Withdrawl Amount] ], )</f>
        <v>0</v>
      </c>
      <c r="P45" s="128">
        <f>IF(Table40[[#This Row],[CODE]]=12, Table40[ [#This Row],[Account Deposit Amount] ]-Table40[ [#This Row],[Account Withdrawl Amount] ], )</f>
        <v>0</v>
      </c>
      <c r="Q45" s="128">
        <f>IF(Table40[[#This Row],[CODE]]=13, Table40[ [#This Row],[Account Deposit Amount] ]-Table40[ [#This Row],[Account Withdrawl Amount] ], )</f>
        <v>0</v>
      </c>
      <c r="R45" s="128">
        <f>IF(Table40[[#This Row],[CODE]]=14, Table40[ [#This Row],[Account Deposit Amount] ]-Table40[ [#This Row],[Account Withdrawl Amount] ], )</f>
        <v>0</v>
      </c>
      <c r="S45" s="128">
        <f>IF(Table40[[#This Row],[CODE]]=15, Table40[ [#This Row],[Account Deposit Amount] ]-Table40[ [#This Row],[Account Withdrawl Amount] ], )</f>
        <v>0</v>
      </c>
      <c r="T45" s="128">
        <f>IF(Table40[[#This Row],[CODE]]=16, Table40[ [#This Row],[Account Deposit Amount] ]-Table40[ [#This Row],[Account Withdrawl Amount] ], )</f>
        <v>0</v>
      </c>
      <c r="U45" s="127">
        <f>IF(Table40[[#This Row],[CODE]]=17, Table40[ [#This Row],[Account Deposit Amount] ]-Table40[ [#This Row],[Account Withdrawl Amount] ], )</f>
        <v>0</v>
      </c>
      <c r="V45" s="127">
        <f>IF(Table40[[#This Row],[CODE]]=17, Table40[ [#This Row],[Account Deposit Amount] ]-Table40[ [#This Row],[Account Withdrawl Amount] ], )</f>
        <v>0</v>
      </c>
    </row>
    <row r="46" spans="1:22" ht="16.2" thickBot="1">
      <c r="A46" s="130"/>
      <c r="B46" s="133"/>
      <c r="C46" s="130"/>
      <c r="D46" s="132"/>
      <c r="E46" s="128"/>
      <c r="F46" s="128"/>
      <c r="G46" s="134">
        <f t="shared" si="3"/>
        <v>18348.999999999993</v>
      </c>
      <c r="H46" s="130"/>
      <c r="I46" s="127">
        <f>IF(Table40[[#This Row],[CODE]]=1, Table40[ [#This Row],[Account Deposit Amount] ]-Table40[ [#This Row],[Account Withdrawl Amount] ], )</f>
        <v>0</v>
      </c>
      <c r="J46" s="129">
        <f>IF(Table40[[#This Row],[CODE]]=2, Table40[ [#This Row],[Account Deposit Amount] ]-Table40[ [#This Row],[Account Withdrawl Amount] ], )</f>
        <v>0</v>
      </c>
      <c r="K46" s="129">
        <f>IF(Table40[[#This Row],[CODE]]=3, Table40[ [#This Row],[Account Deposit Amount] ]-Table40[ [#This Row],[Account Withdrawl Amount] ], )</f>
        <v>0</v>
      </c>
      <c r="L46" s="128">
        <f>IF(Table40[[#This Row],[CODE]]=4, Table40[ [#This Row],[Account Deposit Amount] ]-Table40[ [#This Row],[Account Withdrawl Amount] ], )</f>
        <v>0</v>
      </c>
      <c r="M46" s="128">
        <f>IF(Table40[[#This Row],[CODE]]=5, Table40[ [#This Row],[Account Deposit Amount] ]-Table40[ [#This Row],[Account Withdrawl Amount] ], )</f>
        <v>0</v>
      </c>
      <c r="N46" s="128">
        <f>IF(Table40[[#This Row],[CODE]]=6, Table40[ [#This Row],[Account Deposit Amount] ]-Table40[ [#This Row],[Account Withdrawl Amount] ], )</f>
        <v>0</v>
      </c>
      <c r="O46" s="128">
        <f>IF(Table40[[#This Row],[CODE]]=11, Table40[ [#This Row],[Account Deposit Amount] ]-Table40[ [#This Row],[Account Withdrawl Amount] ], )</f>
        <v>0</v>
      </c>
      <c r="P46" s="128">
        <f>IF(Table40[[#This Row],[CODE]]=12, Table40[ [#This Row],[Account Deposit Amount] ]-Table40[ [#This Row],[Account Withdrawl Amount] ], )</f>
        <v>0</v>
      </c>
      <c r="Q46" s="128">
        <f>IF(Table40[[#This Row],[CODE]]=13, Table40[ [#This Row],[Account Deposit Amount] ]-Table40[ [#This Row],[Account Withdrawl Amount] ], )</f>
        <v>0</v>
      </c>
      <c r="R46" s="128">
        <f>IF(Table40[[#This Row],[CODE]]=14, Table40[ [#This Row],[Account Deposit Amount] ]-Table40[ [#This Row],[Account Withdrawl Amount] ], )</f>
        <v>0</v>
      </c>
      <c r="S46" s="128">
        <f>IF(Table40[[#This Row],[CODE]]=15, Table40[ [#This Row],[Account Deposit Amount] ]-Table40[ [#This Row],[Account Withdrawl Amount] ], )</f>
        <v>0</v>
      </c>
      <c r="T46" s="128">
        <f>IF(Table40[[#This Row],[CODE]]=16, Table40[ [#This Row],[Account Deposit Amount] ]-Table40[ [#This Row],[Account Withdrawl Amount] ], )</f>
        <v>0</v>
      </c>
      <c r="U46" s="127">
        <f>IF(Table40[[#This Row],[CODE]]=17, Table40[ [#This Row],[Account Deposit Amount] ]-Table40[ [#This Row],[Account Withdrawl Amount] ], )</f>
        <v>0</v>
      </c>
      <c r="V46" s="127">
        <f>IF(Table40[[#This Row],[CODE]]=17, Table40[ [#This Row],[Account Deposit Amount] ]-Table40[ [#This Row],[Account Withdrawl Amount] ], )</f>
        <v>0</v>
      </c>
    </row>
    <row r="47" spans="1:22" ht="16.2" thickBot="1">
      <c r="A47" s="130"/>
      <c r="B47" s="133"/>
      <c r="C47" s="130"/>
      <c r="D47" s="132"/>
      <c r="E47" s="128"/>
      <c r="F47" s="128"/>
      <c r="G47" s="134">
        <f t="shared" si="3"/>
        <v>18348.999999999993</v>
      </c>
      <c r="H47" s="130"/>
      <c r="I47" s="127">
        <f>IF(Table40[[#This Row],[CODE]]=1, Table40[ [#This Row],[Account Deposit Amount] ]-Table40[ [#This Row],[Account Withdrawl Amount] ], )</f>
        <v>0</v>
      </c>
      <c r="J47" s="129">
        <f>IF(Table40[[#This Row],[CODE]]=2, Table40[ [#This Row],[Account Deposit Amount] ]-Table40[ [#This Row],[Account Withdrawl Amount] ], )</f>
        <v>0</v>
      </c>
      <c r="K47" s="129">
        <f>IF(Table40[[#This Row],[CODE]]=3, Table40[ [#This Row],[Account Deposit Amount] ]-Table40[ [#This Row],[Account Withdrawl Amount] ], )</f>
        <v>0</v>
      </c>
      <c r="L47" s="128">
        <f>IF(Table40[[#This Row],[CODE]]=4, Table40[ [#This Row],[Account Deposit Amount] ]-Table40[ [#This Row],[Account Withdrawl Amount] ], )</f>
        <v>0</v>
      </c>
      <c r="M47" s="128">
        <f>IF(Table40[[#This Row],[CODE]]=5, Table40[ [#This Row],[Account Deposit Amount] ]-Table40[ [#This Row],[Account Withdrawl Amount] ], )</f>
        <v>0</v>
      </c>
      <c r="N47" s="128">
        <f>IF(Table40[[#This Row],[CODE]]=6, Table40[ [#This Row],[Account Deposit Amount] ]-Table40[ [#This Row],[Account Withdrawl Amount] ], )</f>
        <v>0</v>
      </c>
      <c r="O47" s="128">
        <f>IF(Table40[[#This Row],[CODE]]=11, Table40[ [#This Row],[Account Deposit Amount] ]-Table40[ [#This Row],[Account Withdrawl Amount] ], )</f>
        <v>0</v>
      </c>
      <c r="P47" s="128">
        <f>IF(Table40[[#This Row],[CODE]]=12, Table40[ [#This Row],[Account Deposit Amount] ]-Table40[ [#This Row],[Account Withdrawl Amount] ], )</f>
        <v>0</v>
      </c>
      <c r="Q47" s="128">
        <f>IF(Table40[[#This Row],[CODE]]=13, Table40[ [#This Row],[Account Deposit Amount] ]-Table40[ [#This Row],[Account Withdrawl Amount] ], )</f>
        <v>0</v>
      </c>
      <c r="R47" s="128">
        <f>IF(Table40[[#This Row],[CODE]]=14, Table40[ [#This Row],[Account Deposit Amount] ]-Table40[ [#This Row],[Account Withdrawl Amount] ], )</f>
        <v>0</v>
      </c>
      <c r="S47" s="128">
        <f>IF(Table40[[#This Row],[CODE]]=15, Table40[ [#This Row],[Account Deposit Amount] ]-Table40[ [#This Row],[Account Withdrawl Amount] ], )</f>
        <v>0</v>
      </c>
      <c r="T47" s="128">
        <f>IF(Table40[[#This Row],[CODE]]=16, Table40[ [#This Row],[Account Deposit Amount] ]-Table40[ [#This Row],[Account Withdrawl Amount] ], )</f>
        <v>0</v>
      </c>
      <c r="U47" s="127">
        <f>IF(Table40[[#This Row],[CODE]]=17, Table40[ [#This Row],[Account Deposit Amount] ]-Table40[ [#This Row],[Account Withdrawl Amount] ], )</f>
        <v>0</v>
      </c>
      <c r="V47" s="127">
        <f>IF(Table40[[#This Row],[CODE]]=17, Table40[ [#This Row],[Account Deposit Amount] ]-Table40[ [#This Row],[Account Withdrawl Amount] ], )</f>
        <v>0</v>
      </c>
    </row>
    <row r="48" spans="1:22" ht="16.2" thickBot="1">
      <c r="A48" s="130"/>
      <c r="B48" s="133"/>
      <c r="C48" s="130"/>
      <c r="D48" s="132"/>
      <c r="E48" s="128"/>
      <c r="F48" s="128"/>
      <c r="G48" s="134">
        <f t="shared" si="3"/>
        <v>18348.999999999993</v>
      </c>
      <c r="H48" s="130"/>
      <c r="I48" s="127">
        <f>IF(Table40[[#This Row],[CODE]]=1, Table40[ [#This Row],[Account Deposit Amount] ]-Table40[ [#This Row],[Account Withdrawl Amount] ], )</f>
        <v>0</v>
      </c>
      <c r="J48" s="129">
        <f>IF(Table40[[#This Row],[CODE]]=2, Table40[ [#This Row],[Account Deposit Amount] ]-Table40[ [#This Row],[Account Withdrawl Amount] ], )</f>
        <v>0</v>
      </c>
      <c r="K48" s="129">
        <f>IF(Table40[[#This Row],[CODE]]=3, Table40[ [#This Row],[Account Deposit Amount] ]-Table40[ [#This Row],[Account Withdrawl Amount] ], )</f>
        <v>0</v>
      </c>
      <c r="L48" s="128">
        <f>IF(Table40[[#This Row],[CODE]]=4, Table40[ [#This Row],[Account Deposit Amount] ]-Table40[ [#This Row],[Account Withdrawl Amount] ], )</f>
        <v>0</v>
      </c>
      <c r="M48" s="128">
        <f>IF(Table40[[#This Row],[CODE]]=5, Table40[ [#This Row],[Account Deposit Amount] ]-Table40[ [#This Row],[Account Withdrawl Amount] ], )</f>
        <v>0</v>
      </c>
      <c r="N48" s="128">
        <f>IF(Table40[[#This Row],[CODE]]=6, Table40[ [#This Row],[Account Deposit Amount] ]-Table40[ [#This Row],[Account Withdrawl Amount] ], )</f>
        <v>0</v>
      </c>
      <c r="O48" s="128">
        <f>IF(Table40[[#This Row],[CODE]]=11, Table40[ [#This Row],[Account Deposit Amount] ]-Table40[ [#This Row],[Account Withdrawl Amount] ], )</f>
        <v>0</v>
      </c>
      <c r="P48" s="128">
        <f>IF(Table40[[#This Row],[CODE]]=12, Table40[ [#This Row],[Account Deposit Amount] ]-Table40[ [#This Row],[Account Withdrawl Amount] ], )</f>
        <v>0</v>
      </c>
      <c r="Q48" s="128">
        <f>IF(Table40[[#This Row],[CODE]]=13, Table40[ [#This Row],[Account Deposit Amount] ]-Table40[ [#This Row],[Account Withdrawl Amount] ], )</f>
        <v>0</v>
      </c>
      <c r="R48" s="128">
        <f>IF(Table40[[#This Row],[CODE]]=14, Table40[ [#This Row],[Account Deposit Amount] ]-Table40[ [#This Row],[Account Withdrawl Amount] ], )</f>
        <v>0</v>
      </c>
      <c r="S48" s="128">
        <f>IF(Table40[[#This Row],[CODE]]=15, Table40[ [#This Row],[Account Deposit Amount] ]-Table40[ [#This Row],[Account Withdrawl Amount] ], )</f>
        <v>0</v>
      </c>
      <c r="T48" s="128">
        <f>IF(Table40[[#This Row],[CODE]]=16, Table40[ [#This Row],[Account Deposit Amount] ]-Table40[ [#This Row],[Account Withdrawl Amount] ], )</f>
        <v>0</v>
      </c>
      <c r="U48" s="127">
        <f>IF(Table40[[#This Row],[CODE]]=17, Table40[ [#This Row],[Account Deposit Amount] ]-Table40[ [#This Row],[Account Withdrawl Amount] ], )</f>
        <v>0</v>
      </c>
      <c r="V48" s="127">
        <f>IF(Table40[[#This Row],[CODE]]=17, Table40[ [#This Row],[Account Deposit Amount] ]-Table40[ [#This Row],[Account Withdrawl Amount] ], )</f>
        <v>0</v>
      </c>
    </row>
    <row r="49" spans="1:22" ht="16.2" thickBot="1">
      <c r="A49" s="130"/>
      <c r="B49" s="133"/>
      <c r="C49" s="130"/>
      <c r="D49" s="132"/>
      <c r="E49" s="128"/>
      <c r="F49" s="128"/>
      <c r="G49" s="134">
        <f t="shared" si="3"/>
        <v>18348.999999999993</v>
      </c>
      <c r="H49" s="130"/>
      <c r="I49" s="127">
        <f>IF(Table40[[#This Row],[CODE]]=1, Table40[ [#This Row],[Account Deposit Amount] ]-Table40[ [#This Row],[Account Withdrawl Amount] ], )</f>
        <v>0</v>
      </c>
      <c r="J49" s="129">
        <f>IF(Table40[[#This Row],[CODE]]=2, Table40[ [#This Row],[Account Deposit Amount] ]-Table40[ [#This Row],[Account Withdrawl Amount] ], )</f>
        <v>0</v>
      </c>
      <c r="K49" s="129">
        <f>IF(Table40[[#This Row],[CODE]]=3, Table40[ [#This Row],[Account Deposit Amount] ]-Table40[ [#This Row],[Account Withdrawl Amount] ], )</f>
        <v>0</v>
      </c>
      <c r="L49" s="128">
        <f>IF(Table40[[#This Row],[CODE]]=4, Table40[ [#This Row],[Account Deposit Amount] ]-Table40[ [#This Row],[Account Withdrawl Amount] ], )</f>
        <v>0</v>
      </c>
      <c r="M49" s="128">
        <f>IF(Table40[[#This Row],[CODE]]=5, Table40[ [#This Row],[Account Deposit Amount] ]-Table40[ [#This Row],[Account Withdrawl Amount] ], )</f>
        <v>0</v>
      </c>
      <c r="N49" s="128">
        <f>IF(Table40[[#This Row],[CODE]]=6, Table40[ [#This Row],[Account Deposit Amount] ]-Table40[ [#This Row],[Account Withdrawl Amount] ], )</f>
        <v>0</v>
      </c>
      <c r="O49" s="128">
        <f>IF(Table40[[#This Row],[CODE]]=11, Table40[ [#This Row],[Account Deposit Amount] ]-Table40[ [#This Row],[Account Withdrawl Amount] ], )</f>
        <v>0</v>
      </c>
      <c r="P49" s="128">
        <f>IF(Table40[[#This Row],[CODE]]=12, Table40[ [#This Row],[Account Deposit Amount] ]-Table40[ [#This Row],[Account Withdrawl Amount] ], )</f>
        <v>0</v>
      </c>
      <c r="Q49" s="128">
        <f>IF(Table40[[#This Row],[CODE]]=13, Table40[ [#This Row],[Account Deposit Amount] ]-Table40[ [#This Row],[Account Withdrawl Amount] ], )</f>
        <v>0</v>
      </c>
      <c r="R49" s="128">
        <f>IF(Table40[[#This Row],[CODE]]=14, Table40[ [#This Row],[Account Deposit Amount] ]-Table40[ [#This Row],[Account Withdrawl Amount] ], )</f>
        <v>0</v>
      </c>
      <c r="S49" s="128">
        <f>IF(Table40[[#This Row],[CODE]]=15, Table40[ [#This Row],[Account Deposit Amount] ]-Table40[ [#This Row],[Account Withdrawl Amount] ], )</f>
        <v>0</v>
      </c>
      <c r="T49" s="128">
        <f>IF(Table40[[#This Row],[CODE]]=16, Table40[ [#This Row],[Account Deposit Amount] ]-Table40[ [#This Row],[Account Withdrawl Amount] ], )</f>
        <v>0</v>
      </c>
      <c r="U49" s="127">
        <f>IF(Table40[[#This Row],[CODE]]=17, Table40[ [#This Row],[Account Deposit Amount] ]-Table40[ [#This Row],[Account Withdrawl Amount] ], )</f>
        <v>0</v>
      </c>
      <c r="V49" s="127">
        <f>IF(Table40[[#This Row],[CODE]]=17, Table40[ [#This Row],[Account Deposit Amount] ]-Table40[ [#This Row],[Account Withdrawl Amount] ], )</f>
        <v>0</v>
      </c>
    </row>
    <row r="50" spans="1:22" ht="16.2" thickBot="1">
      <c r="A50" s="130"/>
      <c r="B50" s="133"/>
      <c r="C50" s="130"/>
      <c r="D50" s="132"/>
      <c r="E50" s="128"/>
      <c r="F50" s="128"/>
      <c r="G50" s="131">
        <f t="shared" si="3"/>
        <v>18348.999999999993</v>
      </c>
      <c r="H50" s="130"/>
      <c r="I50" s="127">
        <f>IF(Table40[[#This Row],[CODE]]=1, Table40[ [#This Row],[Account Deposit Amount] ]-Table40[ [#This Row],[Account Withdrawl Amount] ], )</f>
        <v>0</v>
      </c>
      <c r="J50" s="129">
        <f>IF(Table40[[#This Row],[CODE]]=2, Table40[ [#This Row],[Account Deposit Amount] ]-Table40[ [#This Row],[Account Withdrawl Amount] ], )</f>
        <v>0</v>
      </c>
      <c r="K50" s="129">
        <f>IF(Table40[[#This Row],[CODE]]=3, Table40[ [#This Row],[Account Deposit Amount] ]-Table40[ [#This Row],[Account Withdrawl Amount] ], )</f>
        <v>0</v>
      </c>
      <c r="L50" s="128">
        <f>IF(Table40[[#This Row],[CODE]]=4, Table40[ [#This Row],[Account Deposit Amount] ]-Table40[ [#This Row],[Account Withdrawl Amount] ], )</f>
        <v>0</v>
      </c>
      <c r="M50" s="128">
        <f>IF(Table40[[#This Row],[CODE]]=5, Table40[ [#This Row],[Account Deposit Amount] ]-Table40[ [#This Row],[Account Withdrawl Amount] ], )</f>
        <v>0</v>
      </c>
      <c r="N50" s="128">
        <f>IF(Table40[[#This Row],[CODE]]=6, Table40[ [#This Row],[Account Deposit Amount] ]-Table40[ [#This Row],[Account Withdrawl Amount] ], )</f>
        <v>0</v>
      </c>
      <c r="O50" s="128">
        <f>IF(Table40[[#This Row],[CODE]]=11, Table40[ [#This Row],[Account Deposit Amount] ]-Table40[ [#This Row],[Account Withdrawl Amount] ], )</f>
        <v>0</v>
      </c>
      <c r="P50" s="128">
        <f>IF(Table40[[#This Row],[CODE]]=12, Table40[ [#This Row],[Account Deposit Amount] ]-Table40[ [#This Row],[Account Withdrawl Amount] ], )</f>
        <v>0</v>
      </c>
      <c r="Q50" s="128">
        <f>IF(Table40[[#This Row],[CODE]]=13, Table40[ [#This Row],[Account Deposit Amount] ]-Table40[ [#This Row],[Account Withdrawl Amount] ], )</f>
        <v>0</v>
      </c>
      <c r="R50" s="128">
        <f>IF(Table40[[#This Row],[CODE]]=14, Table40[ [#This Row],[Account Deposit Amount] ]-Table40[ [#This Row],[Account Withdrawl Amount] ], )</f>
        <v>0</v>
      </c>
      <c r="S50" s="128">
        <f>IF(Table40[[#This Row],[CODE]]=15, Table40[ [#This Row],[Account Deposit Amount] ]-Table40[ [#This Row],[Account Withdrawl Amount] ], )</f>
        <v>0</v>
      </c>
      <c r="T50" s="128">
        <f>IF(Table40[[#This Row],[CODE]]=16, Table40[ [#This Row],[Account Deposit Amount] ]-Table40[ [#This Row],[Account Withdrawl Amount] ], )</f>
        <v>0</v>
      </c>
      <c r="U50" s="127">
        <f>IF(Table40[[#This Row],[CODE]]=17, Table40[ [#This Row],[Account Deposit Amount] ]-Table40[ [#This Row],[Account Withdrawl Amount] ], )</f>
        <v>0</v>
      </c>
      <c r="V50" s="127">
        <f>IF(Table40[[#This Row],[CODE]]=17, Table40[ [#This Row],[Account Deposit Amount] ]-Table40[ [#This Row],[Account Withdrawl Amount] ], )</f>
        <v>0</v>
      </c>
    </row>
    <row r="51" spans="1:22" ht="16.2" thickBot="1">
      <c r="A51" s="130"/>
      <c r="B51" s="133"/>
      <c r="C51" s="130"/>
      <c r="D51" s="132"/>
      <c r="E51" s="128"/>
      <c r="F51" s="128"/>
      <c r="G51" s="131">
        <f t="shared" si="3"/>
        <v>18348.999999999993</v>
      </c>
      <c r="H51" s="130"/>
      <c r="I51" s="127">
        <f>IF(Table40[[#This Row],[CODE]]=1, Table40[ [#This Row],[Account Deposit Amount] ]-Table40[ [#This Row],[Account Withdrawl Amount] ], )</f>
        <v>0</v>
      </c>
      <c r="J51" s="129">
        <f>IF(Table40[[#This Row],[CODE]]=2, Table40[ [#This Row],[Account Deposit Amount] ]-Table40[ [#This Row],[Account Withdrawl Amount] ], )</f>
        <v>0</v>
      </c>
      <c r="K51" s="129">
        <f>IF(Table40[[#This Row],[CODE]]=3, Table40[ [#This Row],[Account Deposit Amount] ]-Table40[ [#This Row],[Account Withdrawl Amount] ], )</f>
        <v>0</v>
      </c>
      <c r="L51" s="128">
        <f>IF(Table40[[#This Row],[CODE]]=4, Table40[ [#This Row],[Account Deposit Amount] ]-Table40[ [#This Row],[Account Withdrawl Amount] ], )</f>
        <v>0</v>
      </c>
      <c r="M51" s="128">
        <f>IF(Table40[[#This Row],[CODE]]=5, Table40[ [#This Row],[Account Deposit Amount] ]-Table40[ [#This Row],[Account Withdrawl Amount] ], )</f>
        <v>0</v>
      </c>
      <c r="N51" s="128">
        <f>IF(Table40[[#This Row],[CODE]]=6, Table40[ [#This Row],[Account Deposit Amount] ]-Table40[ [#This Row],[Account Withdrawl Amount] ], )</f>
        <v>0</v>
      </c>
      <c r="O51" s="128">
        <f>IF(Table40[[#This Row],[CODE]]=11, Table40[ [#This Row],[Account Deposit Amount] ]-Table40[ [#This Row],[Account Withdrawl Amount] ], )</f>
        <v>0</v>
      </c>
      <c r="P51" s="128">
        <f>IF(Table40[[#This Row],[CODE]]=12, Table40[ [#This Row],[Account Deposit Amount] ]-Table40[ [#This Row],[Account Withdrawl Amount] ], )</f>
        <v>0</v>
      </c>
      <c r="Q51" s="128">
        <f>IF(Table40[[#This Row],[CODE]]=13, Table40[ [#This Row],[Account Deposit Amount] ]-Table40[ [#This Row],[Account Withdrawl Amount] ], )</f>
        <v>0</v>
      </c>
      <c r="R51" s="128">
        <f>IF(Table40[[#This Row],[CODE]]=14, Table40[ [#This Row],[Account Deposit Amount] ]-Table40[ [#This Row],[Account Withdrawl Amount] ], )</f>
        <v>0</v>
      </c>
      <c r="S51" s="128">
        <f>IF(Table40[[#This Row],[CODE]]=15, Table40[ [#This Row],[Account Deposit Amount] ]-Table40[ [#This Row],[Account Withdrawl Amount] ], )</f>
        <v>0</v>
      </c>
      <c r="T51" s="128">
        <f>IF(Table40[[#This Row],[CODE]]=16, Table40[ [#This Row],[Account Deposit Amount] ]-Table40[ [#This Row],[Account Withdrawl Amount] ], )</f>
        <v>0</v>
      </c>
      <c r="U51" s="127">
        <f>IF(Table40[[#This Row],[CODE]]=17, Table40[ [#This Row],[Account Deposit Amount] ]-Table40[ [#This Row],[Account Withdrawl Amount] ], )</f>
        <v>0</v>
      </c>
      <c r="V51" s="127">
        <f>IF(Table40[[#This Row],[CODE]]=17, Table40[ [#This Row],[Account Deposit Amount] ]-Table40[ [#This Row],[Account Withdrawl Amount] ], )</f>
        <v>0</v>
      </c>
    </row>
    <row r="52" spans="1:22" ht="16.2" thickBot="1">
      <c r="A52" s="130"/>
      <c r="B52" s="133"/>
      <c r="C52" s="130"/>
      <c r="D52" s="132"/>
      <c r="E52" s="128"/>
      <c r="F52" s="128"/>
      <c r="G52" s="131">
        <f t="shared" si="3"/>
        <v>18348.999999999993</v>
      </c>
      <c r="H52" s="130"/>
      <c r="I52" s="127">
        <f>IF(Table40[[#This Row],[CODE]]=1, Table40[ [#This Row],[Account Deposit Amount] ]-Table40[ [#This Row],[Account Withdrawl Amount] ], )</f>
        <v>0</v>
      </c>
      <c r="J52" s="129">
        <f>IF(Table40[[#This Row],[CODE]]=2, Table40[ [#This Row],[Account Deposit Amount] ]-Table40[ [#This Row],[Account Withdrawl Amount] ], )</f>
        <v>0</v>
      </c>
      <c r="K52" s="129">
        <f>IF(Table40[[#This Row],[CODE]]=3, Table40[ [#This Row],[Account Deposit Amount] ]-Table40[ [#This Row],[Account Withdrawl Amount] ], )</f>
        <v>0</v>
      </c>
      <c r="L52" s="128">
        <f>IF(Table40[[#This Row],[CODE]]=4, Table40[ [#This Row],[Account Deposit Amount] ]-Table40[ [#This Row],[Account Withdrawl Amount] ], )</f>
        <v>0</v>
      </c>
      <c r="M52" s="128">
        <f>IF(Table40[[#This Row],[CODE]]=5, Table40[ [#This Row],[Account Deposit Amount] ]-Table40[ [#This Row],[Account Withdrawl Amount] ], )</f>
        <v>0</v>
      </c>
      <c r="N52" s="128">
        <f>IF(Table40[[#This Row],[CODE]]=6, Table40[ [#This Row],[Account Deposit Amount] ]-Table40[ [#This Row],[Account Withdrawl Amount] ], )</f>
        <v>0</v>
      </c>
      <c r="O52" s="128">
        <f>IF(Table40[[#This Row],[CODE]]=11, Table40[ [#This Row],[Account Deposit Amount] ]-Table40[ [#This Row],[Account Withdrawl Amount] ], )</f>
        <v>0</v>
      </c>
      <c r="P52" s="128">
        <f>IF(Table40[[#This Row],[CODE]]=12, Table40[ [#This Row],[Account Deposit Amount] ]-Table40[ [#This Row],[Account Withdrawl Amount] ], )</f>
        <v>0</v>
      </c>
      <c r="Q52" s="128">
        <f>IF(Table40[[#This Row],[CODE]]=13, Table40[ [#This Row],[Account Deposit Amount] ]-Table40[ [#This Row],[Account Withdrawl Amount] ], )</f>
        <v>0</v>
      </c>
      <c r="R52" s="128">
        <f>IF(Table40[[#This Row],[CODE]]=14, Table40[ [#This Row],[Account Deposit Amount] ]-Table40[ [#This Row],[Account Withdrawl Amount] ], )</f>
        <v>0</v>
      </c>
      <c r="S52" s="128">
        <f>IF(Table40[[#This Row],[CODE]]=15, Table40[ [#This Row],[Account Deposit Amount] ]-Table40[ [#This Row],[Account Withdrawl Amount] ], )</f>
        <v>0</v>
      </c>
      <c r="T52" s="128">
        <f>IF(Table40[[#This Row],[CODE]]=16, Table40[ [#This Row],[Account Deposit Amount] ]-Table40[ [#This Row],[Account Withdrawl Amount] ], )</f>
        <v>0</v>
      </c>
      <c r="U52" s="127">
        <f>IF(Table40[[#This Row],[CODE]]=17, Table40[ [#This Row],[Account Deposit Amount] ]-Table40[ [#This Row],[Account Withdrawl Amount] ], )</f>
        <v>0</v>
      </c>
      <c r="V52" s="127">
        <f>IF(Table40[[#This Row],[CODE]]=17, Table40[ [#This Row],[Account Deposit Amount] ]-Table40[ [#This Row],[Account Withdrawl Amount] ], )</f>
        <v>0</v>
      </c>
    </row>
    <row r="53" spans="1:22" ht="16.2" thickBot="1">
      <c r="A53" s="130"/>
      <c r="B53" s="133"/>
      <c r="C53" s="130"/>
      <c r="D53" s="132"/>
      <c r="E53" s="128"/>
      <c r="F53" s="128"/>
      <c r="G53" s="131">
        <f t="shared" si="3"/>
        <v>18348.999999999993</v>
      </c>
      <c r="H53" s="130"/>
      <c r="I53" s="127">
        <f>IF(Table40[[#This Row],[CODE]]=1, Table40[ [#This Row],[Account Deposit Amount] ]-Table40[ [#This Row],[Account Withdrawl Amount] ], )</f>
        <v>0</v>
      </c>
      <c r="J53" s="129">
        <f>IF(Table40[[#This Row],[CODE]]=2, Table40[ [#This Row],[Account Deposit Amount] ]-Table40[ [#This Row],[Account Withdrawl Amount] ], )</f>
        <v>0</v>
      </c>
      <c r="K53" s="129">
        <f>IF(Table40[[#This Row],[CODE]]=3, Table40[ [#This Row],[Account Deposit Amount] ]-Table40[ [#This Row],[Account Withdrawl Amount] ], )</f>
        <v>0</v>
      </c>
      <c r="L53" s="128">
        <f>IF(Table40[[#This Row],[CODE]]=4, Table40[ [#This Row],[Account Deposit Amount] ]-Table40[ [#This Row],[Account Withdrawl Amount] ], )</f>
        <v>0</v>
      </c>
      <c r="M53" s="128">
        <f>IF(Table40[[#This Row],[CODE]]=5, Table40[ [#This Row],[Account Deposit Amount] ]-Table40[ [#This Row],[Account Withdrawl Amount] ], )</f>
        <v>0</v>
      </c>
      <c r="N53" s="128">
        <f>IF(Table40[[#This Row],[CODE]]=6, Table40[ [#This Row],[Account Deposit Amount] ]-Table40[ [#This Row],[Account Withdrawl Amount] ], )</f>
        <v>0</v>
      </c>
      <c r="O53" s="128">
        <f>IF(Table40[[#This Row],[CODE]]=11, Table40[ [#This Row],[Account Deposit Amount] ]-Table40[ [#This Row],[Account Withdrawl Amount] ], )</f>
        <v>0</v>
      </c>
      <c r="P53" s="128">
        <f>IF(Table40[[#This Row],[CODE]]=12, Table40[ [#This Row],[Account Deposit Amount] ]-Table40[ [#This Row],[Account Withdrawl Amount] ], )</f>
        <v>0</v>
      </c>
      <c r="Q53" s="128">
        <f>IF(Table40[[#This Row],[CODE]]=13, Table40[ [#This Row],[Account Deposit Amount] ]-Table40[ [#This Row],[Account Withdrawl Amount] ], )</f>
        <v>0</v>
      </c>
      <c r="R53" s="128">
        <f>IF(Table40[[#This Row],[CODE]]=14, Table40[ [#This Row],[Account Deposit Amount] ]-Table40[ [#This Row],[Account Withdrawl Amount] ], )</f>
        <v>0</v>
      </c>
      <c r="S53" s="128">
        <f>IF(Table40[[#This Row],[CODE]]=15, Table40[ [#This Row],[Account Deposit Amount] ]-Table40[ [#This Row],[Account Withdrawl Amount] ], )</f>
        <v>0</v>
      </c>
      <c r="T53" s="128">
        <f>IF(Table40[[#This Row],[CODE]]=16, Table40[ [#This Row],[Account Deposit Amount] ]-Table40[ [#This Row],[Account Withdrawl Amount] ], )</f>
        <v>0</v>
      </c>
      <c r="U53" s="127">
        <f>IF(Table40[[#This Row],[CODE]]=17, Table40[ [#This Row],[Account Deposit Amount] ]-Table40[ [#This Row],[Account Withdrawl Amount] ], )</f>
        <v>0</v>
      </c>
      <c r="V53" s="127">
        <f>IF(Table40[[#This Row],[CODE]]=17, Table40[ [#This Row],[Account Deposit Amount] ]-Table40[ [#This Row],[Account Withdrawl Amount] ], )</f>
        <v>0</v>
      </c>
    </row>
    <row r="54" spans="1:22" ht="16.2" thickBot="1">
      <c r="A54" s="130"/>
      <c r="B54" s="133"/>
      <c r="C54" s="130"/>
      <c r="D54" s="132"/>
      <c r="E54" s="128"/>
      <c r="F54" s="128"/>
      <c r="G54" s="131">
        <f t="shared" si="3"/>
        <v>18348.999999999993</v>
      </c>
      <c r="H54" s="130"/>
      <c r="I54" s="127">
        <f>IF(Table40[[#This Row],[CODE]]=1, Table40[ [#This Row],[Account Deposit Amount] ]-Table40[ [#This Row],[Account Withdrawl Amount] ], )</f>
        <v>0</v>
      </c>
      <c r="J54" s="129">
        <f>IF(Table40[[#This Row],[CODE]]=2, Table40[ [#This Row],[Account Deposit Amount] ]-Table40[ [#This Row],[Account Withdrawl Amount] ], )</f>
        <v>0</v>
      </c>
      <c r="K54" s="129">
        <f>IF(Table40[[#This Row],[CODE]]=3, Table40[ [#This Row],[Account Deposit Amount] ]-Table40[ [#This Row],[Account Withdrawl Amount] ], )</f>
        <v>0</v>
      </c>
      <c r="L54" s="128">
        <f>IF(Table40[[#This Row],[CODE]]=4, Table40[ [#This Row],[Account Deposit Amount] ]-Table40[ [#This Row],[Account Withdrawl Amount] ], )</f>
        <v>0</v>
      </c>
      <c r="M54" s="128">
        <f>IF(Table40[[#This Row],[CODE]]=5, Table40[ [#This Row],[Account Deposit Amount] ]-Table40[ [#This Row],[Account Withdrawl Amount] ], )</f>
        <v>0</v>
      </c>
      <c r="N54" s="128">
        <f>IF(Table40[[#This Row],[CODE]]=6, Table40[ [#This Row],[Account Deposit Amount] ]-Table40[ [#This Row],[Account Withdrawl Amount] ], )</f>
        <v>0</v>
      </c>
      <c r="O54" s="128">
        <f>IF(Table40[[#This Row],[CODE]]=11, Table40[ [#This Row],[Account Deposit Amount] ]-Table40[ [#This Row],[Account Withdrawl Amount] ], )</f>
        <v>0</v>
      </c>
      <c r="P54" s="128">
        <f>IF(Table40[[#This Row],[CODE]]=12, Table40[ [#This Row],[Account Deposit Amount] ]-Table40[ [#This Row],[Account Withdrawl Amount] ], )</f>
        <v>0</v>
      </c>
      <c r="Q54" s="128">
        <f>IF(Table40[[#This Row],[CODE]]=13, Table40[ [#This Row],[Account Deposit Amount] ]-Table40[ [#This Row],[Account Withdrawl Amount] ], )</f>
        <v>0</v>
      </c>
      <c r="R54" s="128">
        <f>IF(Table40[[#This Row],[CODE]]=14, Table40[ [#This Row],[Account Deposit Amount] ]-Table40[ [#This Row],[Account Withdrawl Amount] ], )</f>
        <v>0</v>
      </c>
      <c r="S54" s="128">
        <f>IF(Table40[[#This Row],[CODE]]=15, Table40[ [#This Row],[Account Deposit Amount] ]-Table40[ [#This Row],[Account Withdrawl Amount] ], )</f>
        <v>0</v>
      </c>
      <c r="T54" s="128">
        <f>IF(Table40[[#This Row],[CODE]]=16, Table40[ [#This Row],[Account Deposit Amount] ]-Table40[ [#This Row],[Account Withdrawl Amount] ], )</f>
        <v>0</v>
      </c>
      <c r="U54" s="127">
        <f>IF(Table40[[#This Row],[CODE]]=17, Table40[ [#This Row],[Account Deposit Amount] ]-Table40[ [#This Row],[Account Withdrawl Amount] ], )</f>
        <v>0</v>
      </c>
      <c r="V54" s="127">
        <f>IF(Table40[[#This Row],[CODE]]=17, Table40[ [#This Row],[Account Deposit Amount] ]-Table40[ [#This Row],[Account Withdrawl Amount] ], )</f>
        <v>0</v>
      </c>
    </row>
    <row r="55" spans="1:22" ht="16.2" thickBot="1">
      <c r="A55" s="130"/>
      <c r="B55" s="133"/>
      <c r="C55" s="130"/>
      <c r="D55" s="132"/>
      <c r="E55" s="128"/>
      <c r="F55" s="128"/>
      <c r="G55" s="131">
        <f t="shared" si="3"/>
        <v>18348.999999999993</v>
      </c>
      <c r="H55" s="130"/>
      <c r="I55" s="127">
        <f>IF(Table40[[#This Row],[CODE]]=1, Table40[ [#This Row],[Account Deposit Amount] ]-Table40[ [#This Row],[Account Withdrawl Amount] ], )</f>
        <v>0</v>
      </c>
      <c r="J55" s="129">
        <f>IF(Table40[[#This Row],[CODE]]=2, Table40[ [#This Row],[Account Deposit Amount] ]-Table40[ [#This Row],[Account Withdrawl Amount] ], )</f>
        <v>0</v>
      </c>
      <c r="K55" s="129">
        <f>IF(Table40[[#This Row],[CODE]]=3, Table40[ [#This Row],[Account Deposit Amount] ]-Table40[ [#This Row],[Account Withdrawl Amount] ], )</f>
        <v>0</v>
      </c>
      <c r="L55" s="128">
        <f>IF(Table40[[#This Row],[CODE]]=4, Table40[ [#This Row],[Account Deposit Amount] ]-Table40[ [#This Row],[Account Withdrawl Amount] ], )</f>
        <v>0</v>
      </c>
      <c r="M55" s="128">
        <f>IF(Table40[[#This Row],[CODE]]=5, Table40[ [#This Row],[Account Deposit Amount] ]-Table40[ [#This Row],[Account Withdrawl Amount] ], )</f>
        <v>0</v>
      </c>
      <c r="N55" s="128">
        <f>IF(Table40[[#This Row],[CODE]]=6, Table40[ [#This Row],[Account Deposit Amount] ]-Table40[ [#This Row],[Account Withdrawl Amount] ], )</f>
        <v>0</v>
      </c>
      <c r="O55" s="128">
        <f>IF(Table40[[#This Row],[CODE]]=11, Table40[ [#This Row],[Account Deposit Amount] ]-Table40[ [#This Row],[Account Withdrawl Amount] ], )</f>
        <v>0</v>
      </c>
      <c r="P55" s="128">
        <f>IF(Table40[[#This Row],[CODE]]=12, Table40[ [#This Row],[Account Deposit Amount] ]-Table40[ [#This Row],[Account Withdrawl Amount] ], )</f>
        <v>0</v>
      </c>
      <c r="Q55" s="128">
        <f>IF(Table40[[#This Row],[CODE]]=13, Table40[ [#This Row],[Account Deposit Amount] ]-Table40[ [#This Row],[Account Withdrawl Amount] ], )</f>
        <v>0</v>
      </c>
      <c r="R55" s="128">
        <f>IF(Table40[[#This Row],[CODE]]=14, Table40[ [#This Row],[Account Deposit Amount] ]-Table40[ [#This Row],[Account Withdrawl Amount] ], )</f>
        <v>0</v>
      </c>
      <c r="S55" s="128">
        <f>IF(Table40[[#This Row],[CODE]]=15, Table40[ [#This Row],[Account Deposit Amount] ]-Table40[ [#This Row],[Account Withdrawl Amount] ], )</f>
        <v>0</v>
      </c>
      <c r="T55" s="128">
        <f>IF(Table40[[#This Row],[CODE]]=16, Table40[ [#This Row],[Account Deposit Amount] ]-Table40[ [#This Row],[Account Withdrawl Amount] ], )</f>
        <v>0</v>
      </c>
      <c r="U55" s="127">
        <f>IF(Table40[[#This Row],[CODE]]=17, Table40[ [#This Row],[Account Deposit Amount] ]-Table40[ [#This Row],[Account Withdrawl Amount] ], )</f>
        <v>0</v>
      </c>
      <c r="V55" s="127">
        <f>IF(Table40[[#This Row],[CODE]]=17, Table40[ [#This Row],[Account Deposit Amount] ]-Table40[ [#This Row],[Account Withdrawl Amount] ], )</f>
        <v>0</v>
      </c>
    </row>
    <row r="56" spans="1:22" ht="16.2" thickBot="1">
      <c r="A56" s="130"/>
      <c r="B56" s="133"/>
      <c r="C56" s="130"/>
      <c r="D56" s="132"/>
      <c r="E56" s="128"/>
      <c r="F56" s="128"/>
      <c r="G56" s="131">
        <f t="shared" si="3"/>
        <v>18348.999999999993</v>
      </c>
      <c r="H56" s="130"/>
      <c r="I56" s="127">
        <f>IF(Table40[[#This Row],[CODE]]=1, Table40[ [#This Row],[Account Deposit Amount] ]-Table40[ [#This Row],[Account Withdrawl Amount] ], )</f>
        <v>0</v>
      </c>
      <c r="J56" s="129">
        <f>IF(Table40[[#This Row],[CODE]]=2, Table40[ [#This Row],[Account Deposit Amount] ]-Table40[ [#This Row],[Account Withdrawl Amount] ], )</f>
        <v>0</v>
      </c>
      <c r="K56" s="129">
        <f>IF(Table40[[#This Row],[CODE]]=3, Table40[ [#This Row],[Account Deposit Amount] ]-Table40[ [#This Row],[Account Withdrawl Amount] ], )</f>
        <v>0</v>
      </c>
      <c r="L56" s="128">
        <f>IF(Table40[[#This Row],[CODE]]=4, Table40[ [#This Row],[Account Deposit Amount] ]-Table40[ [#This Row],[Account Withdrawl Amount] ], )</f>
        <v>0</v>
      </c>
      <c r="M56" s="128">
        <f>IF(Table40[[#This Row],[CODE]]=5, Table40[ [#This Row],[Account Deposit Amount] ]-Table40[ [#This Row],[Account Withdrawl Amount] ], )</f>
        <v>0</v>
      </c>
      <c r="N56" s="128">
        <f>IF(Table40[[#This Row],[CODE]]=6, Table40[ [#This Row],[Account Deposit Amount] ]-Table40[ [#This Row],[Account Withdrawl Amount] ], )</f>
        <v>0</v>
      </c>
      <c r="O56" s="128">
        <f>IF(Table40[[#This Row],[CODE]]=11, Table40[ [#This Row],[Account Deposit Amount] ]-Table40[ [#This Row],[Account Withdrawl Amount] ], )</f>
        <v>0</v>
      </c>
      <c r="P56" s="128">
        <f>IF(Table40[[#This Row],[CODE]]=12, Table40[ [#This Row],[Account Deposit Amount] ]-Table40[ [#This Row],[Account Withdrawl Amount] ], )</f>
        <v>0</v>
      </c>
      <c r="Q56" s="128">
        <f>IF(Table40[[#This Row],[CODE]]=13, Table40[ [#This Row],[Account Deposit Amount] ]-Table40[ [#This Row],[Account Withdrawl Amount] ], )</f>
        <v>0</v>
      </c>
      <c r="R56" s="128">
        <f>IF(Table40[[#This Row],[CODE]]=14, Table40[ [#This Row],[Account Deposit Amount] ]-Table40[ [#This Row],[Account Withdrawl Amount] ], )</f>
        <v>0</v>
      </c>
      <c r="S56" s="128">
        <f>IF(Table40[[#This Row],[CODE]]=15, Table40[ [#This Row],[Account Deposit Amount] ]-Table40[ [#This Row],[Account Withdrawl Amount] ], )</f>
        <v>0</v>
      </c>
      <c r="T56" s="128">
        <f>IF(Table40[[#This Row],[CODE]]=16, Table40[ [#This Row],[Account Deposit Amount] ]-Table40[ [#This Row],[Account Withdrawl Amount] ], )</f>
        <v>0</v>
      </c>
      <c r="U56" s="127">
        <f>IF(Table40[[#This Row],[CODE]]=17, Table40[ [#This Row],[Account Deposit Amount] ]-Table40[ [#This Row],[Account Withdrawl Amount] ], )</f>
        <v>0</v>
      </c>
      <c r="V56" s="127">
        <f>IF(Table40[[#This Row],[CODE]]=17, Table40[ [#This Row],[Account Deposit Amount] ]-Table40[ [#This Row],[Account Withdrawl Amount] ], )</f>
        <v>0</v>
      </c>
    </row>
    <row r="57" spans="1:22" ht="16.2" thickBot="1">
      <c r="A57" s="130"/>
      <c r="B57" s="133"/>
      <c r="C57" s="130"/>
      <c r="D57" s="132"/>
      <c r="E57" s="128"/>
      <c r="F57" s="128"/>
      <c r="G57" s="131">
        <f t="shared" si="3"/>
        <v>18348.999999999993</v>
      </c>
      <c r="H57" s="130"/>
      <c r="I57" s="127">
        <f>IF(Table40[[#This Row],[CODE]]=1, Table40[ [#This Row],[Account Deposit Amount] ]-Table40[ [#This Row],[Account Withdrawl Amount] ], )</f>
        <v>0</v>
      </c>
      <c r="J57" s="129">
        <f>IF(Table40[[#This Row],[CODE]]=2, Table40[ [#This Row],[Account Deposit Amount] ]-Table40[ [#This Row],[Account Withdrawl Amount] ], )</f>
        <v>0</v>
      </c>
      <c r="K57" s="129">
        <f>IF(Table40[[#This Row],[CODE]]=3, Table40[ [#This Row],[Account Deposit Amount] ]-Table40[ [#This Row],[Account Withdrawl Amount] ], )</f>
        <v>0</v>
      </c>
      <c r="L57" s="128">
        <f>IF(Table40[[#This Row],[CODE]]=4, Table40[ [#This Row],[Account Deposit Amount] ]-Table40[ [#This Row],[Account Withdrawl Amount] ], )</f>
        <v>0</v>
      </c>
      <c r="M57" s="128">
        <f>IF(Table40[[#This Row],[CODE]]=5, Table40[ [#This Row],[Account Deposit Amount] ]-Table40[ [#This Row],[Account Withdrawl Amount] ], )</f>
        <v>0</v>
      </c>
      <c r="N57" s="128">
        <f>IF(Table40[[#This Row],[CODE]]=6, Table40[ [#This Row],[Account Deposit Amount] ]-Table40[ [#This Row],[Account Withdrawl Amount] ], )</f>
        <v>0</v>
      </c>
      <c r="O57" s="128">
        <f>IF(Table40[[#This Row],[CODE]]=11, Table40[ [#This Row],[Account Deposit Amount] ]-Table40[ [#This Row],[Account Withdrawl Amount] ], )</f>
        <v>0</v>
      </c>
      <c r="P57" s="128">
        <f>IF(Table40[[#This Row],[CODE]]=12, Table40[ [#This Row],[Account Deposit Amount] ]-Table40[ [#This Row],[Account Withdrawl Amount] ], )</f>
        <v>0</v>
      </c>
      <c r="Q57" s="128">
        <f>IF(Table40[[#This Row],[CODE]]=13, Table40[ [#This Row],[Account Deposit Amount] ]-Table40[ [#This Row],[Account Withdrawl Amount] ], )</f>
        <v>0</v>
      </c>
      <c r="R57" s="128">
        <f>IF(Table40[[#This Row],[CODE]]=14, Table40[ [#This Row],[Account Deposit Amount] ]-Table40[ [#This Row],[Account Withdrawl Amount] ], )</f>
        <v>0</v>
      </c>
      <c r="S57" s="128">
        <f>IF(Table40[[#This Row],[CODE]]=15, Table40[ [#This Row],[Account Deposit Amount] ]-Table40[ [#This Row],[Account Withdrawl Amount] ], )</f>
        <v>0</v>
      </c>
      <c r="T57" s="128">
        <f>IF(Table40[[#This Row],[CODE]]=16, Table40[ [#This Row],[Account Deposit Amount] ]-Table40[ [#This Row],[Account Withdrawl Amount] ], )</f>
        <v>0</v>
      </c>
      <c r="U57" s="127">
        <f>IF(Table40[[#This Row],[CODE]]=17, Table40[ [#This Row],[Account Deposit Amount] ]-Table40[ [#This Row],[Account Withdrawl Amount] ], )</f>
        <v>0</v>
      </c>
      <c r="V57" s="127">
        <f>IF(Table40[[#This Row],[CODE]]=17, Table40[ [#This Row],[Account Deposit Amount] ]-Table40[ [#This Row],[Account Withdrawl Amount] ], )</f>
        <v>0</v>
      </c>
    </row>
    <row r="58" spans="1:22" ht="16.2" thickBot="1">
      <c r="A58" s="130"/>
      <c r="B58" s="133"/>
      <c r="C58" s="130"/>
      <c r="D58" s="132"/>
      <c r="E58" s="128"/>
      <c r="F58" s="128"/>
      <c r="G58" s="131">
        <f t="shared" si="3"/>
        <v>18348.999999999993</v>
      </c>
      <c r="H58" s="130"/>
      <c r="I58" s="127">
        <f>IF(Table40[[#This Row],[CODE]]=1, Table40[ [#This Row],[Account Deposit Amount] ]-Table40[ [#This Row],[Account Withdrawl Amount] ], )</f>
        <v>0</v>
      </c>
      <c r="J58" s="129">
        <f>IF(Table40[[#This Row],[CODE]]=2, Table40[ [#This Row],[Account Deposit Amount] ]-Table40[ [#This Row],[Account Withdrawl Amount] ], )</f>
        <v>0</v>
      </c>
      <c r="K58" s="129">
        <f>IF(Table40[[#This Row],[CODE]]=3, Table40[ [#This Row],[Account Deposit Amount] ]-Table40[ [#This Row],[Account Withdrawl Amount] ], )</f>
        <v>0</v>
      </c>
      <c r="L58" s="128">
        <f>IF(Table40[[#This Row],[CODE]]=4, Table40[ [#This Row],[Account Deposit Amount] ]-Table40[ [#This Row],[Account Withdrawl Amount] ], )</f>
        <v>0</v>
      </c>
      <c r="M58" s="128">
        <f>IF(Table40[[#This Row],[CODE]]=5, Table40[ [#This Row],[Account Deposit Amount] ]-Table40[ [#This Row],[Account Withdrawl Amount] ], )</f>
        <v>0</v>
      </c>
      <c r="N58" s="128">
        <f>IF(Table40[[#This Row],[CODE]]=6, Table40[ [#This Row],[Account Deposit Amount] ]-Table40[ [#This Row],[Account Withdrawl Amount] ], )</f>
        <v>0</v>
      </c>
      <c r="O58" s="128">
        <f>IF(Table40[[#This Row],[CODE]]=11, Table40[ [#This Row],[Account Deposit Amount] ]-Table40[ [#This Row],[Account Withdrawl Amount] ], )</f>
        <v>0</v>
      </c>
      <c r="P58" s="128">
        <f>IF(Table40[[#This Row],[CODE]]=12, Table40[ [#This Row],[Account Deposit Amount] ]-Table40[ [#This Row],[Account Withdrawl Amount] ], )</f>
        <v>0</v>
      </c>
      <c r="Q58" s="128">
        <f>IF(Table40[[#This Row],[CODE]]=13, Table40[ [#This Row],[Account Deposit Amount] ]-Table40[ [#This Row],[Account Withdrawl Amount] ], )</f>
        <v>0</v>
      </c>
      <c r="R58" s="128">
        <f>IF(Table40[[#This Row],[CODE]]=14, Table40[ [#This Row],[Account Deposit Amount] ]-Table40[ [#This Row],[Account Withdrawl Amount] ], )</f>
        <v>0</v>
      </c>
      <c r="S58" s="128">
        <f>IF(Table40[[#This Row],[CODE]]=15, Table40[ [#This Row],[Account Deposit Amount] ]-Table40[ [#This Row],[Account Withdrawl Amount] ], )</f>
        <v>0</v>
      </c>
      <c r="T58" s="128">
        <f>IF(Table40[[#This Row],[CODE]]=16, Table40[ [#This Row],[Account Deposit Amount] ]-Table40[ [#This Row],[Account Withdrawl Amount] ], )</f>
        <v>0</v>
      </c>
      <c r="U58" s="127">
        <f>IF(Table40[[#This Row],[CODE]]=17, Table40[ [#This Row],[Account Deposit Amount] ]-Table40[ [#This Row],[Account Withdrawl Amount] ], )</f>
        <v>0</v>
      </c>
      <c r="V58" s="127">
        <f>IF(Table40[[#This Row],[CODE]]=17, Table40[ [#This Row],[Account Deposit Amount] ]-Table40[ [#This Row],[Account Withdrawl Amount] ], )</f>
        <v>0</v>
      </c>
    </row>
    <row r="59" spans="1:22" ht="16.2" thickBot="1">
      <c r="A59" s="130"/>
      <c r="B59" s="133"/>
      <c r="C59" s="130"/>
      <c r="D59" s="132"/>
      <c r="E59" s="128"/>
      <c r="F59" s="128"/>
      <c r="G59" s="131">
        <f t="shared" si="3"/>
        <v>18348.999999999993</v>
      </c>
      <c r="H59" s="130"/>
      <c r="I59" s="127">
        <f>IF(Table40[[#This Row],[CODE]]=1, Table40[ [#This Row],[Account Deposit Amount] ]-Table40[ [#This Row],[Account Withdrawl Amount] ], )</f>
        <v>0</v>
      </c>
      <c r="J59" s="129">
        <f>IF(Table40[[#This Row],[CODE]]=2, Table40[ [#This Row],[Account Deposit Amount] ]-Table40[ [#This Row],[Account Withdrawl Amount] ], )</f>
        <v>0</v>
      </c>
      <c r="K59" s="129">
        <f>IF(Table40[[#This Row],[CODE]]=3, Table40[ [#This Row],[Account Deposit Amount] ]-Table40[ [#This Row],[Account Withdrawl Amount] ], )</f>
        <v>0</v>
      </c>
      <c r="L59" s="128">
        <f>IF(Table40[[#This Row],[CODE]]=4, Table40[ [#This Row],[Account Deposit Amount] ]-Table40[ [#This Row],[Account Withdrawl Amount] ], )</f>
        <v>0</v>
      </c>
      <c r="M59" s="128">
        <f>IF(Table40[[#This Row],[CODE]]=5, Table40[ [#This Row],[Account Deposit Amount] ]-Table40[ [#This Row],[Account Withdrawl Amount] ], )</f>
        <v>0</v>
      </c>
      <c r="N59" s="128">
        <f>IF(Table40[[#This Row],[CODE]]=6, Table40[ [#This Row],[Account Deposit Amount] ]-Table40[ [#This Row],[Account Withdrawl Amount] ], )</f>
        <v>0</v>
      </c>
      <c r="O59" s="128">
        <f>IF(Table40[[#This Row],[CODE]]=11, Table40[ [#This Row],[Account Deposit Amount] ]-Table40[ [#This Row],[Account Withdrawl Amount] ], )</f>
        <v>0</v>
      </c>
      <c r="P59" s="128">
        <f>IF(Table40[[#This Row],[CODE]]=12, Table40[ [#This Row],[Account Deposit Amount] ]-Table40[ [#This Row],[Account Withdrawl Amount] ], )</f>
        <v>0</v>
      </c>
      <c r="Q59" s="128">
        <f>IF(Table40[[#This Row],[CODE]]=13, Table40[ [#This Row],[Account Deposit Amount] ]-Table40[ [#This Row],[Account Withdrawl Amount] ], )</f>
        <v>0</v>
      </c>
      <c r="R59" s="128">
        <f>IF(Table40[[#This Row],[CODE]]=14, Table40[ [#This Row],[Account Deposit Amount] ]-Table40[ [#This Row],[Account Withdrawl Amount] ], )</f>
        <v>0</v>
      </c>
      <c r="S59" s="128">
        <f>IF(Table40[[#This Row],[CODE]]=15, Table40[ [#This Row],[Account Deposit Amount] ]-Table40[ [#This Row],[Account Withdrawl Amount] ], )</f>
        <v>0</v>
      </c>
      <c r="T59" s="128">
        <f>IF(Table40[[#This Row],[CODE]]=16, Table40[ [#This Row],[Account Deposit Amount] ]-Table40[ [#This Row],[Account Withdrawl Amount] ], )</f>
        <v>0</v>
      </c>
      <c r="U59" s="127">
        <f>IF(Table40[[#This Row],[CODE]]=17, Table40[ [#This Row],[Account Deposit Amount] ]-Table40[ [#This Row],[Account Withdrawl Amount] ], )</f>
        <v>0</v>
      </c>
      <c r="V59" s="127">
        <f>IF(Table40[[#This Row],[CODE]]=17, Table40[ [#This Row],[Account Deposit Amount] ]-Table40[ [#This Row],[Account Withdrawl Amount] ], )</f>
        <v>0</v>
      </c>
    </row>
    <row r="60" spans="1:22" ht="16.2" thickBot="1">
      <c r="A60" s="130"/>
      <c r="B60" s="133"/>
      <c r="C60" s="130"/>
      <c r="D60" s="132"/>
      <c r="E60" s="128"/>
      <c r="F60" s="128"/>
      <c r="G60" s="131">
        <f t="shared" si="3"/>
        <v>18348.999999999993</v>
      </c>
      <c r="H60" s="130"/>
      <c r="I60" s="127">
        <f>IF(Table40[[#This Row],[CODE]]=1, Table40[ [#This Row],[Account Deposit Amount] ]-Table40[ [#This Row],[Account Withdrawl Amount] ], )</f>
        <v>0</v>
      </c>
      <c r="J60" s="129">
        <f>IF(Table40[[#This Row],[CODE]]=2, Table40[ [#This Row],[Account Deposit Amount] ]-Table40[ [#This Row],[Account Withdrawl Amount] ], )</f>
        <v>0</v>
      </c>
      <c r="K60" s="129">
        <f>IF(Table40[[#This Row],[CODE]]=3, Table40[ [#This Row],[Account Deposit Amount] ]-Table40[ [#This Row],[Account Withdrawl Amount] ], )</f>
        <v>0</v>
      </c>
      <c r="L60" s="128">
        <f>IF(Table40[[#This Row],[CODE]]=4, Table40[ [#This Row],[Account Deposit Amount] ]-Table40[ [#This Row],[Account Withdrawl Amount] ], )</f>
        <v>0</v>
      </c>
      <c r="M60" s="128">
        <f>IF(Table40[[#This Row],[CODE]]=5, Table40[ [#This Row],[Account Deposit Amount] ]-Table40[ [#This Row],[Account Withdrawl Amount] ], )</f>
        <v>0</v>
      </c>
      <c r="N60" s="128">
        <f>IF(Table40[[#This Row],[CODE]]=6, Table40[ [#This Row],[Account Deposit Amount] ]-Table40[ [#This Row],[Account Withdrawl Amount] ], )</f>
        <v>0</v>
      </c>
      <c r="O60" s="128">
        <f>IF(Table40[[#This Row],[CODE]]=11, Table40[ [#This Row],[Account Deposit Amount] ]-Table40[ [#This Row],[Account Withdrawl Amount] ], )</f>
        <v>0</v>
      </c>
      <c r="P60" s="128">
        <f>IF(Table40[[#This Row],[CODE]]=12, Table40[ [#This Row],[Account Deposit Amount] ]-Table40[ [#This Row],[Account Withdrawl Amount] ], )</f>
        <v>0</v>
      </c>
      <c r="Q60" s="128">
        <f>IF(Table40[[#This Row],[CODE]]=13, Table40[ [#This Row],[Account Deposit Amount] ]-Table40[ [#This Row],[Account Withdrawl Amount] ], )</f>
        <v>0</v>
      </c>
      <c r="R60" s="128">
        <f>IF(Table40[[#This Row],[CODE]]=14, Table40[ [#This Row],[Account Deposit Amount] ]-Table40[ [#This Row],[Account Withdrawl Amount] ], )</f>
        <v>0</v>
      </c>
      <c r="S60" s="128">
        <f>IF(Table40[[#This Row],[CODE]]=15, Table40[ [#This Row],[Account Deposit Amount] ]-Table40[ [#This Row],[Account Withdrawl Amount] ], )</f>
        <v>0</v>
      </c>
      <c r="T60" s="128">
        <f>IF(Table40[[#This Row],[CODE]]=16, Table40[ [#This Row],[Account Deposit Amount] ]-Table40[ [#This Row],[Account Withdrawl Amount] ], )</f>
        <v>0</v>
      </c>
      <c r="U60" s="127">
        <f>IF(Table40[[#This Row],[CODE]]=17, Table40[ [#This Row],[Account Deposit Amount] ]-Table40[ [#This Row],[Account Withdrawl Amount] ], )</f>
        <v>0</v>
      </c>
      <c r="V60" s="127">
        <f>IF(Table40[[#This Row],[CODE]]=17, Table40[ [#This Row],[Account Deposit Amount] ]-Table40[ [#This Row],[Account Withdrawl Amount] ], )</f>
        <v>0</v>
      </c>
    </row>
    <row r="61" spans="1:22" ht="16.2" thickBot="1">
      <c r="A61" s="130"/>
      <c r="B61" s="133"/>
      <c r="C61" s="130"/>
      <c r="D61" s="132"/>
      <c r="E61" s="128"/>
      <c r="F61" s="128"/>
      <c r="G61" s="131">
        <f t="shared" si="3"/>
        <v>18348.999999999993</v>
      </c>
      <c r="H61" s="130"/>
      <c r="I61" s="127">
        <f>IF(Table40[[#This Row],[CODE]]=1, Table40[ [#This Row],[Account Deposit Amount] ]-Table40[ [#This Row],[Account Withdrawl Amount] ], )</f>
        <v>0</v>
      </c>
      <c r="J61" s="129">
        <f>IF(Table40[[#This Row],[CODE]]=2, Table40[ [#This Row],[Account Deposit Amount] ]-Table40[ [#This Row],[Account Withdrawl Amount] ], )</f>
        <v>0</v>
      </c>
      <c r="K61" s="129">
        <f>IF(Table40[[#This Row],[CODE]]=3, Table40[ [#This Row],[Account Deposit Amount] ]-Table40[ [#This Row],[Account Withdrawl Amount] ], )</f>
        <v>0</v>
      </c>
      <c r="L61" s="128">
        <f>IF(Table40[[#This Row],[CODE]]=4, Table40[ [#This Row],[Account Deposit Amount] ]-Table40[ [#This Row],[Account Withdrawl Amount] ], )</f>
        <v>0</v>
      </c>
      <c r="M61" s="128">
        <f>IF(Table40[[#This Row],[CODE]]=5, Table40[ [#This Row],[Account Deposit Amount] ]-Table40[ [#This Row],[Account Withdrawl Amount] ], )</f>
        <v>0</v>
      </c>
      <c r="N61" s="128">
        <f>IF(Table40[[#This Row],[CODE]]=6, Table40[ [#This Row],[Account Deposit Amount] ]-Table40[ [#This Row],[Account Withdrawl Amount] ], )</f>
        <v>0</v>
      </c>
      <c r="O61" s="128">
        <f>IF(Table40[[#This Row],[CODE]]=11, Table40[ [#This Row],[Account Deposit Amount] ]-Table40[ [#This Row],[Account Withdrawl Amount] ], )</f>
        <v>0</v>
      </c>
      <c r="P61" s="128">
        <f>IF(Table40[[#This Row],[CODE]]=12, Table40[ [#This Row],[Account Deposit Amount] ]-Table40[ [#This Row],[Account Withdrawl Amount] ], )</f>
        <v>0</v>
      </c>
      <c r="Q61" s="128">
        <f>IF(Table40[[#This Row],[CODE]]=13, Table40[ [#This Row],[Account Deposit Amount] ]-Table40[ [#This Row],[Account Withdrawl Amount] ], )</f>
        <v>0</v>
      </c>
      <c r="R61" s="128">
        <f>IF(Table40[[#This Row],[CODE]]=14, Table40[ [#This Row],[Account Deposit Amount] ]-Table40[ [#This Row],[Account Withdrawl Amount] ], )</f>
        <v>0</v>
      </c>
      <c r="S61" s="128">
        <f>IF(Table40[[#This Row],[CODE]]=15, Table40[ [#This Row],[Account Deposit Amount] ]-Table40[ [#This Row],[Account Withdrawl Amount] ], )</f>
        <v>0</v>
      </c>
      <c r="T61" s="128">
        <f>IF(Table40[[#This Row],[CODE]]=16, Table40[ [#This Row],[Account Deposit Amount] ]-Table40[ [#This Row],[Account Withdrawl Amount] ], )</f>
        <v>0</v>
      </c>
      <c r="U61" s="127">
        <f>IF(Table40[[#This Row],[CODE]]=17, Table40[ [#This Row],[Account Deposit Amount] ]-Table40[ [#This Row],[Account Withdrawl Amount] ], )</f>
        <v>0</v>
      </c>
      <c r="V61" s="127">
        <f>IF(Table40[[#This Row],[CODE]]=17, Table40[ [#This Row],[Account Deposit Amount] ]-Table40[ [#This Row],[Account Withdrawl Amount] ], )</f>
        <v>0</v>
      </c>
    </row>
    <row r="62" spans="1:22" ht="16.2" thickBot="1">
      <c r="A62" s="130"/>
      <c r="B62" s="133"/>
      <c r="C62" s="130"/>
      <c r="D62" s="132"/>
      <c r="E62" s="128"/>
      <c r="F62" s="128"/>
      <c r="G62" s="131">
        <f t="shared" si="3"/>
        <v>18348.999999999993</v>
      </c>
      <c r="H62" s="130"/>
      <c r="I62" s="127">
        <f>IF(Table40[[#This Row],[CODE]]=1, Table40[ [#This Row],[Account Deposit Amount] ]-Table40[ [#This Row],[Account Withdrawl Amount] ], )</f>
        <v>0</v>
      </c>
      <c r="J62" s="129">
        <f>IF(Table40[[#This Row],[CODE]]=2, Table40[ [#This Row],[Account Deposit Amount] ]-Table40[ [#This Row],[Account Withdrawl Amount] ], )</f>
        <v>0</v>
      </c>
      <c r="K62" s="129">
        <f>IF(Table40[[#This Row],[CODE]]=3, Table40[ [#This Row],[Account Deposit Amount] ]-Table40[ [#This Row],[Account Withdrawl Amount] ], )</f>
        <v>0</v>
      </c>
      <c r="L62" s="128">
        <f>IF(Table40[[#This Row],[CODE]]=4, Table40[ [#This Row],[Account Deposit Amount] ]-Table40[ [#This Row],[Account Withdrawl Amount] ], )</f>
        <v>0</v>
      </c>
      <c r="M62" s="128">
        <f>IF(Table40[[#This Row],[CODE]]=5, Table40[ [#This Row],[Account Deposit Amount] ]-Table40[ [#This Row],[Account Withdrawl Amount] ], )</f>
        <v>0</v>
      </c>
      <c r="N62" s="128">
        <f>IF(Table40[[#This Row],[CODE]]=6, Table40[ [#This Row],[Account Deposit Amount] ]-Table40[ [#This Row],[Account Withdrawl Amount] ], )</f>
        <v>0</v>
      </c>
      <c r="O62" s="128">
        <f>IF(Table40[[#This Row],[CODE]]=11, Table40[ [#This Row],[Account Deposit Amount] ]-Table40[ [#This Row],[Account Withdrawl Amount] ], )</f>
        <v>0</v>
      </c>
      <c r="P62" s="128">
        <f>IF(Table40[[#This Row],[CODE]]=12, Table40[ [#This Row],[Account Deposit Amount] ]-Table40[ [#This Row],[Account Withdrawl Amount] ], )</f>
        <v>0</v>
      </c>
      <c r="Q62" s="128">
        <f>IF(Table40[[#This Row],[CODE]]=13, Table40[ [#This Row],[Account Deposit Amount] ]-Table40[ [#This Row],[Account Withdrawl Amount] ], )</f>
        <v>0</v>
      </c>
      <c r="R62" s="128">
        <f>IF(Table40[[#This Row],[CODE]]=14, Table40[ [#This Row],[Account Deposit Amount] ]-Table40[ [#This Row],[Account Withdrawl Amount] ], )</f>
        <v>0</v>
      </c>
      <c r="S62" s="128">
        <f>IF(Table40[[#This Row],[CODE]]=15, Table40[ [#This Row],[Account Deposit Amount] ]-Table40[ [#This Row],[Account Withdrawl Amount] ], )</f>
        <v>0</v>
      </c>
      <c r="T62" s="128">
        <f>IF(Table40[[#This Row],[CODE]]=16, Table40[ [#This Row],[Account Deposit Amount] ]-Table40[ [#This Row],[Account Withdrawl Amount] ], )</f>
        <v>0</v>
      </c>
      <c r="U62" s="127">
        <f>IF(Table40[[#This Row],[CODE]]=17, Table40[ [#This Row],[Account Deposit Amount] ]-Table40[ [#This Row],[Account Withdrawl Amount] ], )</f>
        <v>0</v>
      </c>
      <c r="V62" s="127">
        <f>IF(Table40[[#This Row],[CODE]]=17, Table40[ [#This Row],[Account Deposit Amount] ]-Table40[ [#This Row],[Account Withdrawl Amount] ], )</f>
        <v>0</v>
      </c>
    </row>
    <row r="63" spans="1:22" ht="16.2" thickBot="1">
      <c r="A63" s="130"/>
      <c r="B63" s="133"/>
      <c r="C63" s="130"/>
      <c r="D63" s="132"/>
      <c r="E63" s="128"/>
      <c r="F63" s="128"/>
      <c r="G63" s="131">
        <f t="shared" si="3"/>
        <v>18348.999999999993</v>
      </c>
      <c r="H63" s="130"/>
      <c r="I63" s="127">
        <f>IF(Table40[[#This Row],[CODE]]=1, Table40[ [#This Row],[Account Deposit Amount] ]-Table40[ [#This Row],[Account Withdrawl Amount] ], )</f>
        <v>0</v>
      </c>
      <c r="J63" s="129">
        <f>IF(Table40[[#This Row],[CODE]]=2, Table40[ [#This Row],[Account Deposit Amount] ]-Table40[ [#This Row],[Account Withdrawl Amount] ], )</f>
        <v>0</v>
      </c>
      <c r="K63" s="129">
        <f>IF(Table40[[#This Row],[CODE]]=3, Table40[ [#This Row],[Account Deposit Amount] ]-Table40[ [#This Row],[Account Withdrawl Amount] ], )</f>
        <v>0</v>
      </c>
      <c r="L63" s="128">
        <f>IF(Table40[[#This Row],[CODE]]=4, Table40[ [#This Row],[Account Deposit Amount] ]-Table40[ [#This Row],[Account Withdrawl Amount] ], )</f>
        <v>0</v>
      </c>
      <c r="M63" s="128">
        <f>IF(Table40[[#This Row],[CODE]]=5, Table40[ [#This Row],[Account Deposit Amount] ]-Table40[ [#This Row],[Account Withdrawl Amount] ], )</f>
        <v>0</v>
      </c>
      <c r="N63" s="128">
        <f>IF(Table40[[#This Row],[CODE]]=6, Table40[ [#This Row],[Account Deposit Amount] ]-Table40[ [#This Row],[Account Withdrawl Amount] ], )</f>
        <v>0</v>
      </c>
      <c r="O63" s="128">
        <f>IF(Table40[[#This Row],[CODE]]=11, Table40[ [#This Row],[Account Deposit Amount] ]-Table40[ [#This Row],[Account Withdrawl Amount] ], )</f>
        <v>0</v>
      </c>
      <c r="P63" s="128">
        <f>IF(Table40[[#This Row],[CODE]]=12, Table40[ [#This Row],[Account Deposit Amount] ]-Table40[ [#This Row],[Account Withdrawl Amount] ], )</f>
        <v>0</v>
      </c>
      <c r="Q63" s="128">
        <f>IF(Table40[[#This Row],[CODE]]=13, Table40[ [#This Row],[Account Deposit Amount] ]-Table40[ [#This Row],[Account Withdrawl Amount] ], )</f>
        <v>0</v>
      </c>
      <c r="R63" s="128">
        <f>IF(Table40[[#This Row],[CODE]]=14, Table40[ [#This Row],[Account Deposit Amount] ]-Table40[ [#This Row],[Account Withdrawl Amount] ], )</f>
        <v>0</v>
      </c>
      <c r="S63" s="128">
        <f>IF(Table40[[#This Row],[CODE]]=15, Table40[ [#This Row],[Account Deposit Amount] ]-Table40[ [#This Row],[Account Withdrawl Amount] ], )</f>
        <v>0</v>
      </c>
      <c r="T63" s="128">
        <f>IF(Table40[[#This Row],[CODE]]=16, Table40[ [#This Row],[Account Deposit Amount] ]-Table40[ [#This Row],[Account Withdrawl Amount] ], )</f>
        <v>0</v>
      </c>
      <c r="U63" s="127">
        <f>IF(Table40[[#This Row],[CODE]]=17, Table40[ [#This Row],[Account Deposit Amount] ]-Table40[ [#This Row],[Account Withdrawl Amount] ], )</f>
        <v>0</v>
      </c>
      <c r="V63" s="127">
        <f>IF(Table40[[#This Row],[CODE]]=17, Table40[ [#This Row],[Account Deposit Amount] ]-Table40[ [#This Row],[Account Withdrawl Amount] ], )</f>
        <v>0</v>
      </c>
    </row>
    <row r="64" spans="1:22" ht="16.2" thickBot="1">
      <c r="A64" s="130"/>
      <c r="B64" s="133"/>
      <c r="C64" s="130"/>
      <c r="D64" s="132"/>
      <c r="E64" s="128"/>
      <c r="F64" s="128"/>
      <c r="G64" s="131">
        <f t="shared" si="3"/>
        <v>18348.999999999993</v>
      </c>
      <c r="H64" s="130"/>
      <c r="I64" s="127">
        <f>IF(Table40[[#This Row],[CODE]]=1, Table40[ [#This Row],[Account Deposit Amount] ]-Table40[ [#This Row],[Account Withdrawl Amount] ], )</f>
        <v>0</v>
      </c>
      <c r="J64" s="129">
        <f>IF(Table40[[#This Row],[CODE]]=2, Table40[ [#This Row],[Account Deposit Amount] ]-Table40[ [#This Row],[Account Withdrawl Amount] ], )</f>
        <v>0</v>
      </c>
      <c r="K64" s="129">
        <f>IF(Table40[[#This Row],[CODE]]=3, Table40[ [#This Row],[Account Deposit Amount] ]-Table40[ [#This Row],[Account Withdrawl Amount] ], )</f>
        <v>0</v>
      </c>
      <c r="L64" s="128">
        <f>IF(Table40[[#This Row],[CODE]]=4, Table40[ [#This Row],[Account Deposit Amount] ]-Table40[ [#This Row],[Account Withdrawl Amount] ], )</f>
        <v>0</v>
      </c>
      <c r="M64" s="128">
        <f>IF(Table40[[#This Row],[CODE]]=5, Table40[ [#This Row],[Account Deposit Amount] ]-Table40[ [#This Row],[Account Withdrawl Amount] ], )</f>
        <v>0</v>
      </c>
      <c r="N64" s="128">
        <f>IF(Table40[[#This Row],[CODE]]=6, Table40[ [#This Row],[Account Deposit Amount] ]-Table40[ [#This Row],[Account Withdrawl Amount] ], )</f>
        <v>0</v>
      </c>
      <c r="O64" s="128">
        <f>IF(Table40[[#This Row],[CODE]]=11, Table40[ [#This Row],[Account Deposit Amount] ]-Table40[ [#This Row],[Account Withdrawl Amount] ], )</f>
        <v>0</v>
      </c>
      <c r="P64" s="128">
        <f>IF(Table40[[#This Row],[CODE]]=12, Table40[ [#This Row],[Account Deposit Amount] ]-Table40[ [#This Row],[Account Withdrawl Amount] ], )</f>
        <v>0</v>
      </c>
      <c r="Q64" s="128">
        <f>IF(Table40[[#This Row],[CODE]]=13, Table40[ [#This Row],[Account Deposit Amount] ]-Table40[ [#This Row],[Account Withdrawl Amount] ], )</f>
        <v>0</v>
      </c>
      <c r="R64" s="128">
        <f>IF(Table40[[#This Row],[CODE]]=14, Table40[ [#This Row],[Account Deposit Amount] ]-Table40[ [#This Row],[Account Withdrawl Amount] ], )</f>
        <v>0</v>
      </c>
      <c r="S64" s="128">
        <f>IF(Table40[[#This Row],[CODE]]=15, Table40[ [#This Row],[Account Deposit Amount] ]-Table40[ [#This Row],[Account Withdrawl Amount] ], )</f>
        <v>0</v>
      </c>
      <c r="T64" s="128">
        <f>IF(Table40[[#This Row],[CODE]]=16, Table40[ [#This Row],[Account Deposit Amount] ]-Table40[ [#This Row],[Account Withdrawl Amount] ], )</f>
        <v>0</v>
      </c>
      <c r="U64" s="127">
        <f>IF(Table40[[#This Row],[CODE]]=17, Table40[ [#This Row],[Account Deposit Amount] ]-Table40[ [#This Row],[Account Withdrawl Amount] ], )</f>
        <v>0</v>
      </c>
      <c r="V64" s="127">
        <f>IF(Table40[[#This Row],[CODE]]=17, Table40[ [#This Row],[Account Deposit Amount] ]-Table40[ [#This Row],[Account Withdrawl Amount] ], )</f>
        <v>0</v>
      </c>
    </row>
    <row r="65" spans="1:22" ht="16.2" thickBot="1">
      <c r="A65" s="130"/>
      <c r="B65" s="133"/>
      <c r="C65" s="130"/>
      <c r="D65" s="132"/>
      <c r="E65" s="128"/>
      <c r="F65" s="128"/>
      <c r="G65" s="131">
        <f t="shared" si="3"/>
        <v>18348.999999999993</v>
      </c>
      <c r="H65" s="130"/>
      <c r="I65" s="127">
        <f>IF(Table40[[#This Row],[CODE]]=1, Table40[ [#This Row],[Account Deposit Amount] ]-Table40[ [#This Row],[Account Withdrawl Amount] ], )</f>
        <v>0</v>
      </c>
      <c r="J65" s="129">
        <f>IF(Table40[[#This Row],[CODE]]=2, Table40[ [#This Row],[Account Deposit Amount] ]-Table40[ [#This Row],[Account Withdrawl Amount] ], )</f>
        <v>0</v>
      </c>
      <c r="K65" s="129">
        <f>IF(Table40[[#This Row],[CODE]]=3, Table40[ [#This Row],[Account Deposit Amount] ]-Table40[ [#This Row],[Account Withdrawl Amount] ], )</f>
        <v>0</v>
      </c>
      <c r="L65" s="128">
        <f>IF(Table40[[#This Row],[CODE]]=4, Table40[ [#This Row],[Account Deposit Amount] ]-Table40[ [#This Row],[Account Withdrawl Amount] ], )</f>
        <v>0</v>
      </c>
      <c r="M65" s="128">
        <f>IF(Table40[[#This Row],[CODE]]=5, Table40[ [#This Row],[Account Deposit Amount] ]-Table40[ [#This Row],[Account Withdrawl Amount] ], )</f>
        <v>0</v>
      </c>
      <c r="N65" s="128">
        <f>IF(Table40[[#This Row],[CODE]]=6, Table40[ [#This Row],[Account Deposit Amount] ]-Table40[ [#This Row],[Account Withdrawl Amount] ], )</f>
        <v>0</v>
      </c>
      <c r="O65" s="128">
        <f>IF(Table40[[#This Row],[CODE]]=11, Table40[ [#This Row],[Account Deposit Amount] ]-Table40[ [#This Row],[Account Withdrawl Amount] ], )</f>
        <v>0</v>
      </c>
      <c r="P65" s="128">
        <f>IF(Table40[[#This Row],[CODE]]=12, Table40[ [#This Row],[Account Deposit Amount] ]-Table40[ [#This Row],[Account Withdrawl Amount] ], )</f>
        <v>0</v>
      </c>
      <c r="Q65" s="128">
        <f>IF(Table40[[#This Row],[CODE]]=13, Table40[ [#This Row],[Account Deposit Amount] ]-Table40[ [#This Row],[Account Withdrawl Amount] ], )</f>
        <v>0</v>
      </c>
      <c r="R65" s="128">
        <f>IF(Table40[[#This Row],[CODE]]=14, Table40[ [#This Row],[Account Deposit Amount] ]-Table40[ [#This Row],[Account Withdrawl Amount] ], )</f>
        <v>0</v>
      </c>
      <c r="S65" s="128">
        <f>IF(Table40[[#This Row],[CODE]]=15, Table40[ [#This Row],[Account Deposit Amount] ]-Table40[ [#This Row],[Account Withdrawl Amount] ], )</f>
        <v>0</v>
      </c>
      <c r="T65" s="128">
        <f>IF(Table40[[#This Row],[CODE]]=16, Table40[ [#This Row],[Account Deposit Amount] ]-Table40[ [#This Row],[Account Withdrawl Amount] ], )</f>
        <v>0</v>
      </c>
      <c r="U65" s="127">
        <f>IF(Table40[[#This Row],[CODE]]=17, Table40[ [#This Row],[Account Deposit Amount] ]-Table40[ [#This Row],[Account Withdrawl Amount] ], )</f>
        <v>0</v>
      </c>
      <c r="V65" s="127">
        <f>IF(Table40[[#This Row],[CODE]]=17, Table40[ [#This Row],[Account Deposit Amount] ]-Table40[ [#This Row],[Account Withdrawl Amount] ], )</f>
        <v>0</v>
      </c>
    </row>
    <row r="66" spans="1:22" ht="16.2" thickBot="1">
      <c r="A66" s="130"/>
      <c r="B66" s="133"/>
      <c r="C66" s="130"/>
      <c r="D66" s="132"/>
      <c r="E66" s="128"/>
      <c r="F66" s="128"/>
      <c r="G66" s="131">
        <f t="shared" si="3"/>
        <v>18348.999999999993</v>
      </c>
      <c r="H66" s="130"/>
      <c r="I66" s="127">
        <f>IF(Table40[[#This Row],[CODE]]=1, Table40[ [#This Row],[Account Deposit Amount] ]-Table40[ [#This Row],[Account Withdrawl Amount] ], )</f>
        <v>0</v>
      </c>
      <c r="J66" s="129">
        <f>IF(Table40[[#This Row],[CODE]]=2, Table40[ [#This Row],[Account Deposit Amount] ]-Table40[ [#This Row],[Account Withdrawl Amount] ], )</f>
        <v>0</v>
      </c>
      <c r="K66" s="129">
        <f>IF(Table40[[#This Row],[CODE]]=3, Table40[ [#This Row],[Account Deposit Amount] ]-Table40[ [#This Row],[Account Withdrawl Amount] ], )</f>
        <v>0</v>
      </c>
      <c r="L66" s="128">
        <f>IF(Table40[[#This Row],[CODE]]=4, Table40[ [#This Row],[Account Deposit Amount] ]-Table40[ [#This Row],[Account Withdrawl Amount] ], )</f>
        <v>0</v>
      </c>
      <c r="M66" s="128">
        <f>IF(Table40[[#This Row],[CODE]]=5, Table40[ [#This Row],[Account Deposit Amount] ]-Table40[ [#This Row],[Account Withdrawl Amount] ], )</f>
        <v>0</v>
      </c>
      <c r="N66" s="128">
        <f>IF(Table40[[#This Row],[CODE]]=6, Table40[ [#This Row],[Account Deposit Amount] ]-Table40[ [#This Row],[Account Withdrawl Amount] ], )</f>
        <v>0</v>
      </c>
      <c r="O66" s="128">
        <f>IF(Table40[[#This Row],[CODE]]=11, Table40[ [#This Row],[Account Deposit Amount] ]-Table40[ [#This Row],[Account Withdrawl Amount] ], )</f>
        <v>0</v>
      </c>
      <c r="P66" s="128">
        <f>IF(Table40[[#This Row],[CODE]]=12, Table40[ [#This Row],[Account Deposit Amount] ]-Table40[ [#This Row],[Account Withdrawl Amount] ], )</f>
        <v>0</v>
      </c>
      <c r="Q66" s="128">
        <f>IF(Table40[[#This Row],[CODE]]=13, Table40[ [#This Row],[Account Deposit Amount] ]-Table40[ [#This Row],[Account Withdrawl Amount] ], )</f>
        <v>0</v>
      </c>
      <c r="R66" s="128">
        <f>IF(Table40[[#This Row],[CODE]]=14, Table40[ [#This Row],[Account Deposit Amount] ]-Table40[ [#This Row],[Account Withdrawl Amount] ], )</f>
        <v>0</v>
      </c>
      <c r="S66" s="128">
        <f>IF(Table40[[#This Row],[CODE]]=15, Table40[ [#This Row],[Account Deposit Amount] ]-Table40[ [#This Row],[Account Withdrawl Amount] ], )</f>
        <v>0</v>
      </c>
      <c r="T66" s="128">
        <f>IF(Table40[[#This Row],[CODE]]=16, Table40[ [#This Row],[Account Deposit Amount] ]-Table40[ [#This Row],[Account Withdrawl Amount] ], )</f>
        <v>0</v>
      </c>
      <c r="U66" s="127">
        <f>IF(Table40[[#This Row],[CODE]]=17, Table40[ [#This Row],[Account Deposit Amount] ]-Table40[ [#This Row],[Account Withdrawl Amount] ], )</f>
        <v>0</v>
      </c>
      <c r="V66" s="127">
        <f>IF(Table40[[#This Row],[CODE]]=17, Table40[ [#This Row],[Account Deposit Amount] ]-Table40[ [#This Row],[Account Withdrawl Amount] ], )</f>
        <v>0</v>
      </c>
    </row>
    <row r="67" spans="1:22" ht="16.2" thickBot="1">
      <c r="A67" s="130"/>
      <c r="B67" s="133"/>
      <c r="C67" s="130"/>
      <c r="D67" s="132"/>
      <c r="E67" s="128"/>
      <c r="F67" s="128"/>
      <c r="G67" s="131">
        <f t="shared" si="3"/>
        <v>18348.999999999993</v>
      </c>
      <c r="H67" s="130"/>
      <c r="I67" s="127">
        <f>IF(Table40[[#This Row],[CODE]]=1, Table40[ [#This Row],[Account Deposit Amount] ]-Table40[ [#This Row],[Account Withdrawl Amount] ], )</f>
        <v>0</v>
      </c>
      <c r="J67" s="129">
        <f>IF(Table40[[#This Row],[CODE]]=2, Table40[ [#This Row],[Account Deposit Amount] ]-Table40[ [#This Row],[Account Withdrawl Amount] ], )</f>
        <v>0</v>
      </c>
      <c r="K67" s="129">
        <f>IF(Table40[[#This Row],[CODE]]=3, Table40[ [#This Row],[Account Deposit Amount] ]-Table40[ [#This Row],[Account Withdrawl Amount] ], )</f>
        <v>0</v>
      </c>
      <c r="L67" s="128">
        <f>IF(Table40[[#This Row],[CODE]]=4, Table40[ [#This Row],[Account Deposit Amount] ]-Table40[ [#This Row],[Account Withdrawl Amount] ], )</f>
        <v>0</v>
      </c>
      <c r="M67" s="128">
        <f>IF(Table40[[#This Row],[CODE]]=5, Table40[ [#This Row],[Account Deposit Amount] ]-Table40[ [#This Row],[Account Withdrawl Amount] ], )</f>
        <v>0</v>
      </c>
      <c r="N67" s="128">
        <f>IF(Table40[[#This Row],[CODE]]=6, Table40[ [#This Row],[Account Deposit Amount] ]-Table40[ [#This Row],[Account Withdrawl Amount] ], )</f>
        <v>0</v>
      </c>
      <c r="O67" s="128">
        <f>IF(Table40[[#This Row],[CODE]]=11, Table40[ [#This Row],[Account Deposit Amount] ]-Table40[ [#This Row],[Account Withdrawl Amount] ], )</f>
        <v>0</v>
      </c>
      <c r="P67" s="128">
        <f>IF(Table40[[#This Row],[CODE]]=12, Table40[ [#This Row],[Account Deposit Amount] ]-Table40[ [#This Row],[Account Withdrawl Amount] ], )</f>
        <v>0</v>
      </c>
      <c r="Q67" s="128">
        <f>IF(Table40[[#This Row],[CODE]]=13, Table40[ [#This Row],[Account Deposit Amount] ]-Table40[ [#This Row],[Account Withdrawl Amount] ], )</f>
        <v>0</v>
      </c>
      <c r="R67" s="128">
        <f>IF(Table40[[#This Row],[CODE]]=14, Table40[ [#This Row],[Account Deposit Amount] ]-Table40[ [#This Row],[Account Withdrawl Amount] ], )</f>
        <v>0</v>
      </c>
      <c r="S67" s="128">
        <f>IF(Table40[[#This Row],[CODE]]=15, Table40[ [#This Row],[Account Deposit Amount] ]-Table40[ [#This Row],[Account Withdrawl Amount] ], )</f>
        <v>0</v>
      </c>
      <c r="T67" s="128">
        <f>IF(Table40[[#This Row],[CODE]]=16, Table40[ [#This Row],[Account Deposit Amount] ]-Table40[ [#This Row],[Account Withdrawl Amount] ], )</f>
        <v>0</v>
      </c>
      <c r="U67" s="127">
        <f>IF(Table40[[#This Row],[CODE]]=17, Table40[ [#This Row],[Account Deposit Amount] ]-Table40[ [#This Row],[Account Withdrawl Amount] ], )</f>
        <v>0</v>
      </c>
      <c r="V67" s="127">
        <f>IF(Table40[[#This Row],[CODE]]=17, Table40[ [#This Row],[Account Deposit Amount] ]-Table40[ [#This Row],[Account Withdrawl Amount] ], )</f>
        <v>0</v>
      </c>
    </row>
    <row r="68" spans="1:22" ht="16.2" thickBot="1">
      <c r="A68" s="130"/>
      <c r="B68" s="133"/>
      <c r="C68" s="130"/>
      <c r="D68" s="132"/>
      <c r="E68" s="128"/>
      <c r="F68" s="128"/>
      <c r="G68" s="131">
        <f t="shared" si="3"/>
        <v>18348.999999999993</v>
      </c>
      <c r="H68" s="130"/>
      <c r="I68" s="127">
        <f>IF(Table40[[#This Row],[CODE]]=1, Table40[ [#This Row],[Account Deposit Amount] ]-Table40[ [#This Row],[Account Withdrawl Amount] ], )</f>
        <v>0</v>
      </c>
      <c r="J68" s="129">
        <f>IF(Table40[[#This Row],[CODE]]=2, Table40[ [#This Row],[Account Deposit Amount] ]-Table40[ [#This Row],[Account Withdrawl Amount] ], )</f>
        <v>0</v>
      </c>
      <c r="K68" s="129">
        <f>IF(Table40[[#This Row],[CODE]]=3, Table40[ [#This Row],[Account Deposit Amount] ]-Table40[ [#This Row],[Account Withdrawl Amount] ], )</f>
        <v>0</v>
      </c>
      <c r="L68" s="128">
        <f>IF(Table40[[#This Row],[CODE]]=4, Table40[ [#This Row],[Account Deposit Amount] ]-Table40[ [#This Row],[Account Withdrawl Amount] ], )</f>
        <v>0</v>
      </c>
      <c r="M68" s="128">
        <f>IF(Table40[[#This Row],[CODE]]=5, Table40[ [#This Row],[Account Deposit Amount] ]-Table40[ [#This Row],[Account Withdrawl Amount] ], )</f>
        <v>0</v>
      </c>
      <c r="N68" s="128">
        <f>IF(Table40[[#This Row],[CODE]]=6, Table40[ [#This Row],[Account Deposit Amount] ]-Table40[ [#This Row],[Account Withdrawl Amount] ], )</f>
        <v>0</v>
      </c>
      <c r="O68" s="128">
        <f>IF(Table40[[#This Row],[CODE]]=11, Table40[ [#This Row],[Account Deposit Amount] ]-Table40[ [#This Row],[Account Withdrawl Amount] ], )</f>
        <v>0</v>
      </c>
      <c r="P68" s="128">
        <f>IF(Table40[[#This Row],[CODE]]=12, Table40[ [#This Row],[Account Deposit Amount] ]-Table40[ [#This Row],[Account Withdrawl Amount] ], )</f>
        <v>0</v>
      </c>
      <c r="Q68" s="128">
        <f>IF(Table40[[#This Row],[CODE]]=13, Table40[ [#This Row],[Account Deposit Amount] ]-Table40[ [#This Row],[Account Withdrawl Amount] ], )</f>
        <v>0</v>
      </c>
      <c r="R68" s="128">
        <f>IF(Table40[[#This Row],[CODE]]=14, Table40[ [#This Row],[Account Deposit Amount] ]-Table40[ [#This Row],[Account Withdrawl Amount] ], )</f>
        <v>0</v>
      </c>
      <c r="S68" s="128">
        <f>IF(Table40[[#This Row],[CODE]]=15, Table40[ [#This Row],[Account Deposit Amount] ]-Table40[ [#This Row],[Account Withdrawl Amount] ], )</f>
        <v>0</v>
      </c>
      <c r="T68" s="128">
        <f>IF(Table40[[#This Row],[CODE]]=16, Table40[ [#This Row],[Account Deposit Amount] ]-Table40[ [#This Row],[Account Withdrawl Amount] ], )</f>
        <v>0</v>
      </c>
      <c r="U68" s="127">
        <f>IF(Table40[[#This Row],[CODE]]=17, Table40[ [#This Row],[Account Deposit Amount] ]-Table40[ [#This Row],[Account Withdrawl Amount] ], )</f>
        <v>0</v>
      </c>
      <c r="V68" s="127">
        <f>IF(Table40[[#This Row],[CODE]]=17, Table40[ [#This Row],[Account Deposit Amount] ]-Table40[ [#This Row],[Account Withdrawl Amount] ], )</f>
        <v>0</v>
      </c>
    </row>
    <row r="69" spans="1:22" ht="16.2" thickBot="1">
      <c r="A69" s="130"/>
      <c r="B69" s="133"/>
      <c r="C69" s="130"/>
      <c r="D69" s="132"/>
      <c r="E69" s="128"/>
      <c r="F69" s="128"/>
      <c r="G69" s="131">
        <f t="shared" ref="G69:G100" si="4">G68+E69-F69</f>
        <v>18348.999999999993</v>
      </c>
      <c r="H69" s="130"/>
      <c r="I69" s="127">
        <f>IF(Table40[[#This Row],[CODE]]=1, Table40[ [#This Row],[Account Deposit Amount] ]-Table40[ [#This Row],[Account Withdrawl Amount] ], )</f>
        <v>0</v>
      </c>
      <c r="J69" s="129">
        <f>IF(Table40[[#This Row],[CODE]]=2, Table40[ [#This Row],[Account Deposit Amount] ]-Table40[ [#This Row],[Account Withdrawl Amount] ], )</f>
        <v>0</v>
      </c>
      <c r="K69" s="129">
        <f>IF(Table40[[#This Row],[CODE]]=3, Table40[ [#This Row],[Account Deposit Amount] ]-Table40[ [#This Row],[Account Withdrawl Amount] ], )</f>
        <v>0</v>
      </c>
      <c r="L69" s="128">
        <f>IF(Table40[[#This Row],[CODE]]=4, Table40[ [#This Row],[Account Deposit Amount] ]-Table40[ [#This Row],[Account Withdrawl Amount] ], )</f>
        <v>0</v>
      </c>
      <c r="M69" s="128">
        <f>IF(Table40[[#This Row],[CODE]]=5, Table40[ [#This Row],[Account Deposit Amount] ]-Table40[ [#This Row],[Account Withdrawl Amount] ], )</f>
        <v>0</v>
      </c>
      <c r="N69" s="128">
        <f>IF(Table40[[#This Row],[CODE]]=6, Table40[ [#This Row],[Account Deposit Amount] ]-Table40[ [#This Row],[Account Withdrawl Amount] ], )</f>
        <v>0</v>
      </c>
      <c r="O69" s="128">
        <f>IF(Table40[[#This Row],[CODE]]=11, Table40[ [#This Row],[Account Deposit Amount] ]-Table40[ [#This Row],[Account Withdrawl Amount] ], )</f>
        <v>0</v>
      </c>
      <c r="P69" s="128">
        <f>IF(Table40[[#This Row],[CODE]]=12, Table40[ [#This Row],[Account Deposit Amount] ]-Table40[ [#This Row],[Account Withdrawl Amount] ], )</f>
        <v>0</v>
      </c>
      <c r="Q69" s="128">
        <f>IF(Table40[[#This Row],[CODE]]=13, Table40[ [#This Row],[Account Deposit Amount] ]-Table40[ [#This Row],[Account Withdrawl Amount] ], )</f>
        <v>0</v>
      </c>
      <c r="R69" s="128">
        <f>IF(Table40[[#This Row],[CODE]]=14, Table40[ [#This Row],[Account Deposit Amount] ]-Table40[ [#This Row],[Account Withdrawl Amount] ], )</f>
        <v>0</v>
      </c>
      <c r="S69" s="128">
        <f>IF(Table40[[#This Row],[CODE]]=15, Table40[ [#This Row],[Account Deposit Amount] ]-Table40[ [#This Row],[Account Withdrawl Amount] ], )</f>
        <v>0</v>
      </c>
      <c r="T69" s="128">
        <f>IF(Table40[[#This Row],[CODE]]=16, Table40[ [#This Row],[Account Deposit Amount] ]-Table40[ [#This Row],[Account Withdrawl Amount] ], )</f>
        <v>0</v>
      </c>
      <c r="U69" s="127">
        <f>IF(Table40[[#This Row],[CODE]]=17, Table40[ [#This Row],[Account Deposit Amount] ]-Table40[ [#This Row],[Account Withdrawl Amount] ], )</f>
        <v>0</v>
      </c>
      <c r="V69" s="127">
        <f>IF(Table40[[#This Row],[CODE]]=17, Table40[ [#This Row],[Account Deposit Amount] ]-Table40[ [#This Row],[Account Withdrawl Amount] ], )</f>
        <v>0</v>
      </c>
    </row>
    <row r="70" spans="1:22" ht="16.2" thickBot="1">
      <c r="A70" s="130"/>
      <c r="B70" s="133"/>
      <c r="C70" s="130"/>
      <c r="D70" s="132"/>
      <c r="E70" s="128"/>
      <c r="F70" s="128"/>
      <c r="G70" s="131">
        <f t="shared" si="4"/>
        <v>18348.999999999993</v>
      </c>
      <c r="H70" s="130"/>
      <c r="I70" s="127">
        <f>IF(Table40[[#This Row],[CODE]]=1, Table40[ [#This Row],[Account Deposit Amount] ]-Table40[ [#This Row],[Account Withdrawl Amount] ], )</f>
        <v>0</v>
      </c>
      <c r="J70" s="129">
        <f>IF(Table40[[#This Row],[CODE]]=2, Table40[ [#This Row],[Account Deposit Amount] ]-Table40[ [#This Row],[Account Withdrawl Amount] ], )</f>
        <v>0</v>
      </c>
      <c r="K70" s="129">
        <f>IF(Table40[[#This Row],[CODE]]=3, Table40[ [#This Row],[Account Deposit Amount] ]-Table40[ [#This Row],[Account Withdrawl Amount] ], )</f>
        <v>0</v>
      </c>
      <c r="L70" s="128">
        <f>IF(Table40[[#This Row],[CODE]]=4, Table40[ [#This Row],[Account Deposit Amount] ]-Table40[ [#This Row],[Account Withdrawl Amount] ], )</f>
        <v>0</v>
      </c>
      <c r="M70" s="128">
        <f>IF(Table40[[#This Row],[CODE]]=5, Table40[ [#This Row],[Account Deposit Amount] ]-Table40[ [#This Row],[Account Withdrawl Amount] ], )</f>
        <v>0</v>
      </c>
      <c r="N70" s="128">
        <f>IF(Table40[[#This Row],[CODE]]=6, Table40[ [#This Row],[Account Deposit Amount] ]-Table40[ [#This Row],[Account Withdrawl Amount] ], )</f>
        <v>0</v>
      </c>
      <c r="O70" s="128">
        <f>IF(Table40[[#This Row],[CODE]]=11, Table40[ [#This Row],[Account Deposit Amount] ]-Table40[ [#This Row],[Account Withdrawl Amount] ], )</f>
        <v>0</v>
      </c>
      <c r="P70" s="128">
        <f>IF(Table40[[#This Row],[CODE]]=12, Table40[ [#This Row],[Account Deposit Amount] ]-Table40[ [#This Row],[Account Withdrawl Amount] ], )</f>
        <v>0</v>
      </c>
      <c r="Q70" s="128">
        <f>IF(Table40[[#This Row],[CODE]]=13, Table40[ [#This Row],[Account Deposit Amount] ]-Table40[ [#This Row],[Account Withdrawl Amount] ], )</f>
        <v>0</v>
      </c>
      <c r="R70" s="128">
        <f>IF(Table40[[#This Row],[CODE]]=14, Table40[ [#This Row],[Account Deposit Amount] ]-Table40[ [#This Row],[Account Withdrawl Amount] ], )</f>
        <v>0</v>
      </c>
      <c r="S70" s="128">
        <f>IF(Table40[[#This Row],[CODE]]=15, Table40[ [#This Row],[Account Deposit Amount] ]-Table40[ [#This Row],[Account Withdrawl Amount] ], )</f>
        <v>0</v>
      </c>
      <c r="T70" s="128">
        <f>IF(Table40[[#This Row],[CODE]]=16, Table40[ [#This Row],[Account Deposit Amount] ]-Table40[ [#This Row],[Account Withdrawl Amount] ], )</f>
        <v>0</v>
      </c>
      <c r="U70" s="127">
        <f>IF(Table40[[#This Row],[CODE]]=17, Table40[ [#This Row],[Account Deposit Amount] ]-Table40[ [#This Row],[Account Withdrawl Amount] ], )</f>
        <v>0</v>
      </c>
      <c r="V70" s="127">
        <f>IF(Table40[[#This Row],[CODE]]=17, Table40[ [#This Row],[Account Deposit Amount] ]-Table40[ [#This Row],[Account Withdrawl Amount] ], )</f>
        <v>0</v>
      </c>
    </row>
    <row r="71" spans="1:22" ht="16.2" thickBot="1">
      <c r="A71" s="130"/>
      <c r="B71" s="133"/>
      <c r="C71" s="130"/>
      <c r="D71" s="132"/>
      <c r="E71" s="128"/>
      <c r="F71" s="128"/>
      <c r="G71" s="131">
        <f t="shared" si="4"/>
        <v>18348.999999999993</v>
      </c>
      <c r="H71" s="130"/>
      <c r="I71" s="127">
        <f>IF(Table40[[#This Row],[CODE]]=1, Table40[ [#This Row],[Account Deposit Amount] ]-Table40[ [#This Row],[Account Withdrawl Amount] ], )</f>
        <v>0</v>
      </c>
      <c r="J71" s="129">
        <f>IF(Table40[[#This Row],[CODE]]=2, Table40[ [#This Row],[Account Deposit Amount] ]-Table40[ [#This Row],[Account Withdrawl Amount] ], )</f>
        <v>0</v>
      </c>
      <c r="K71" s="129">
        <f>IF(Table40[[#This Row],[CODE]]=3, Table40[ [#This Row],[Account Deposit Amount] ]-Table40[ [#This Row],[Account Withdrawl Amount] ], )</f>
        <v>0</v>
      </c>
      <c r="L71" s="128">
        <f>IF(Table40[[#This Row],[CODE]]=4, Table40[ [#This Row],[Account Deposit Amount] ]-Table40[ [#This Row],[Account Withdrawl Amount] ], )</f>
        <v>0</v>
      </c>
      <c r="M71" s="128">
        <f>IF(Table40[[#This Row],[CODE]]=5, Table40[ [#This Row],[Account Deposit Amount] ]-Table40[ [#This Row],[Account Withdrawl Amount] ], )</f>
        <v>0</v>
      </c>
      <c r="N71" s="128">
        <f>IF(Table40[[#This Row],[CODE]]=6, Table40[ [#This Row],[Account Deposit Amount] ]-Table40[ [#This Row],[Account Withdrawl Amount] ], )</f>
        <v>0</v>
      </c>
      <c r="O71" s="128">
        <f>IF(Table40[[#This Row],[CODE]]=11, Table40[ [#This Row],[Account Deposit Amount] ]-Table40[ [#This Row],[Account Withdrawl Amount] ], )</f>
        <v>0</v>
      </c>
      <c r="P71" s="128">
        <f>IF(Table40[[#This Row],[CODE]]=12, Table40[ [#This Row],[Account Deposit Amount] ]-Table40[ [#This Row],[Account Withdrawl Amount] ], )</f>
        <v>0</v>
      </c>
      <c r="Q71" s="128">
        <f>IF(Table40[[#This Row],[CODE]]=13, Table40[ [#This Row],[Account Deposit Amount] ]-Table40[ [#This Row],[Account Withdrawl Amount] ], )</f>
        <v>0</v>
      </c>
      <c r="R71" s="128">
        <f>IF(Table40[[#This Row],[CODE]]=14, Table40[ [#This Row],[Account Deposit Amount] ]-Table40[ [#This Row],[Account Withdrawl Amount] ], )</f>
        <v>0</v>
      </c>
      <c r="S71" s="128">
        <f>IF(Table40[[#This Row],[CODE]]=15, Table40[ [#This Row],[Account Deposit Amount] ]-Table40[ [#This Row],[Account Withdrawl Amount] ], )</f>
        <v>0</v>
      </c>
      <c r="T71" s="128">
        <f>IF(Table40[[#This Row],[CODE]]=16, Table40[ [#This Row],[Account Deposit Amount] ]-Table40[ [#This Row],[Account Withdrawl Amount] ], )</f>
        <v>0</v>
      </c>
      <c r="U71" s="127">
        <f>IF(Table40[[#This Row],[CODE]]=17, Table40[ [#This Row],[Account Deposit Amount] ]-Table40[ [#This Row],[Account Withdrawl Amount] ], )</f>
        <v>0</v>
      </c>
      <c r="V71" s="127">
        <f>IF(Table40[[#This Row],[CODE]]=17, Table40[ [#This Row],[Account Deposit Amount] ]-Table40[ [#This Row],[Account Withdrawl Amount] ], )</f>
        <v>0</v>
      </c>
    </row>
    <row r="72" spans="1:22" ht="16.2" thickBot="1">
      <c r="A72" s="130"/>
      <c r="B72" s="133"/>
      <c r="C72" s="130"/>
      <c r="D72" s="132"/>
      <c r="E72" s="128"/>
      <c r="F72" s="128"/>
      <c r="G72" s="131">
        <f t="shared" si="4"/>
        <v>18348.999999999993</v>
      </c>
      <c r="H72" s="130"/>
      <c r="I72" s="127">
        <f>IF(Table40[[#This Row],[CODE]]=1, Table40[ [#This Row],[Account Deposit Amount] ]-Table40[ [#This Row],[Account Withdrawl Amount] ], )</f>
        <v>0</v>
      </c>
      <c r="J72" s="129">
        <f>IF(Table40[[#This Row],[CODE]]=2, Table40[ [#This Row],[Account Deposit Amount] ]-Table40[ [#This Row],[Account Withdrawl Amount] ], )</f>
        <v>0</v>
      </c>
      <c r="K72" s="129">
        <f>IF(Table40[[#This Row],[CODE]]=3, Table40[ [#This Row],[Account Deposit Amount] ]-Table40[ [#This Row],[Account Withdrawl Amount] ], )</f>
        <v>0</v>
      </c>
      <c r="L72" s="128">
        <f>IF(Table40[[#This Row],[CODE]]=4, Table40[ [#This Row],[Account Deposit Amount] ]-Table40[ [#This Row],[Account Withdrawl Amount] ], )</f>
        <v>0</v>
      </c>
      <c r="M72" s="128">
        <f>IF(Table40[[#This Row],[CODE]]=5, Table40[ [#This Row],[Account Deposit Amount] ]-Table40[ [#This Row],[Account Withdrawl Amount] ], )</f>
        <v>0</v>
      </c>
      <c r="N72" s="128">
        <f>IF(Table40[[#This Row],[CODE]]=6, Table40[ [#This Row],[Account Deposit Amount] ]-Table40[ [#This Row],[Account Withdrawl Amount] ], )</f>
        <v>0</v>
      </c>
      <c r="O72" s="128">
        <f>IF(Table40[[#This Row],[CODE]]=11, Table40[ [#This Row],[Account Deposit Amount] ]-Table40[ [#This Row],[Account Withdrawl Amount] ], )</f>
        <v>0</v>
      </c>
      <c r="P72" s="128">
        <f>IF(Table40[[#This Row],[CODE]]=12, Table40[ [#This Row],[Account Deposit Amount] ]-Table40[ [#This Row],[Account Withdrawl Amount] ], )</f>
        <v>0</v>
      </c>
      <c r="Q72" s="128">
        <f>IF(Table40[[#This Row],[CODE]]=13, Table40[ [#This Row],[Account Deposit Amount] ]-Table40[ [#This Row],[Account Withdrawl Amount] ], )</f>
        <v>0</v>
      </c>
      <c r="R72" s="128">
        <f>IF(Table40[[#This Row],[CODE]]=14, Table40[ [#This Row],[Account Deposit Amount] ]-Table40[ [#This Row],[Account Withdrawl Amount] ], )</f>
        <v>0</v>
      </c>
      <c r="S72" s="128">
        <f>IF(Table40[[#This Row],[CODE]]=15, Table40[ [#This Row],[Account Deposit Amount] ]-Table40[ [#This Row],[Account Withdrawl Amount] ], )</f>
        <v>0</v>
      </c>
      <c r="T72" s="128">
        <f>IF(Table40[[#This Row],[CODE]]=16, Table40[ [#This Row],[Account Deposit Amount] ]-Table40[ [#This Row],[Account Withdrawl Amount] ], )</f>
        <v>0</v>
      </c>
      <c r="U72" s="127">
        <f>IF(Table40[[#This Row],[CODE]]=17, Table40[ [#This Row],[Account Deposit Amount] ]-Table40[ [#This Row],[Account Withdrawl Amount] ], )</f>
        <v>0</v>
      </c>
      <c r="V72" s="127">
        <f>IF(Table40[[#This Row],[CODE]]=17, Table40[ [#This Row],[Account Deposit Amount] ]-Table40[ [#This Row],[Account Withdrawl Amount] ], )</f>
        <v>0</v>
      </c>
    </row>
    <row r="73" spans="1:22" ht="16.2" thickBot="1">
      <c r="A73" s="130"/>
      <c r="B73" s="133"/>
      <c r="C73" s="130"/>
      <c r="D73" s="132"/>
      <c r="E73" s="128"/>
      <c r="F73" s="128"/>
      <c r="G73" s="131">
        <f t="shared" si="4"/>
        <v>18348.999999999993</v>
      </c>
      <c r="H73" s="130"/>
      <c r="I73" s="127">
        <f>IF(Table40[[#This Row],[CODE]]=1, Table40[ [#This Row],[Account Deposit Amount] ]-Table40[ [#This Row],[Account Withdrawl Amount] ], )</f>
        <v>0</v>
      </c>
      <c r="J73" s="129">
        <f>IF(Table40[[#This Row],[CODE]]=2, Table40[ [#This Row],[Account Deposit Amount] ]-Table40[ [#This Row],[Account Withdrawl Amount] ], )</f>
        <v>0</v>
      </c>
      <c r="K73" s="129">
        <f>IF(Table40[[#This Row],[CODE]]=3, Table40[ [#This Row],[Account Deposit Amount] ]-Table40[ [#This Row],[Account Withdrawl Amount] ], )</f>
        <v>0</v>
      </c>
      <c r="L73" s="128">
        <f>IF(Table40[[#This Row],[CODE]]=4, Table40[ [#This Row],[Account Deposit Amount] ]-Table40[ [#This Row],[Account Withdrawl Amount] ], )</f>
        <v>0</v>
      </c>
      <c r="M73" s="128">
        <f>IF(Table40[[#This Row],[CODE]]=5, Table40[ [#This Row],[Account Deposit Amount] ]-Table40[ [#This Row],[Account Withdrawl Amount] ], )</f>
        <v>0</v>
      </c>
      <c r="N73" s="128">
        <f>IF(Table40[[#This Row],[CODE]]=6, Table40[ [#This Row],[Account Deposit Amount] ]-Table40[ [#This Row],[Account Withdrawl Amount] ], )</f>
        <v>0</v>
      </c>
      <c r="O73" s="128">
        <f>IF(Table40[[#This Row],[CODE]]=11, Table40[ [#This Row],[Account Deposit Amount] ]-Table40[ [#This Row],[Account Withdrawl Amount] ], )</f>
        <v>0</v>
      </c>
      <c r="P73" s="128">
        <f>IF(Table40[[#This Row],[CODE]]=12, Table40[ [#This Row],[Account Deposit Amount] ]-Table40[ [#This Row],[Account Withdrawl Amount] ], )</f>
        <v>0</v>
      </c>
      <c r="Q73" s="128">
        <f>IF(Table40[[#This Row],[CODE]]=13, Table40[ [#This Row],[Account Deposit Amount] ]-Table40[ [#This Row],[Account Withdrawl Amount] ], )</f>
        <v>0</v>
      </c>
      <c r="R73" s="128">
        <f>IF(Table40[[#This Row],[CODE]]=14, Table40[ [#This Row],[Account Deposit Amount] ]-Table40[ [#This Row],[Account Withdrawl Amount] ], )</f>
        <v>0</v>
      </c>
      <c r="S73" s="128">
        <f>IF(Table40[[#This Row],[CODE]]=15, Table40[ [#This Row],[Account Deposit Amount] ]-Table40[ [#This Row],[Account Withdrawl Amount] ], )</f>
        <v>0</v>
      </c>
      <c r="T73" s="128">
        <f>IF(Table40[[#This Row],[CODE]]=16, Table40[ [#This Row],[Account Deposit Amount] ]-Table40[ [#This Row],[Account Withdrawl Amount] ], )</f>
        <v>0</v>
      </c>
      <c r="U73" s="127">
        <f>IF(Table40[[#This Row],[CODE]]=17, Table40[ [#This Row],[Account Deposit Amount] ]-Table40[ [#This Row],[Account Withdrawl Amount] ], )</f>
        <v>0</v>
      </c>
      <c r="V73" s="127">
        <f>IF(Table40[[#This Row],[CODE]]=17, Table40[ [#This Row],[Account Deposit Amount] ]-Table40[ [#This Row],[Account Withdrawl Amount] ], )</f>
        <v>0</v>
      </c>
    </row>
    <row r="74" spans="1:22" ht="16.2" thickBot="1">
      <c r="A74" s="130"/>
      <c r="B74" s="133"/>
      <c r="C74" s="130"/>
      <c r="D74" s="132"/>
      <c r="E74" s="128"/>
      <c r="F74" s="128"/>
      <c r="G74" s="131">
        <f t="shared" si="4"/>
        <v>18348.999999999993</v>
      </c>
      <c r="H74" s="130"/>
      <c r="I74" s="127">
        <f>IF(Table40[[#This Row],[CODE]]=1, Table40[ [#This Row],[Account Deposit Amount] ]-Table40[ [#This Row],[Account Withdrawl Amount] ], )</f>
        <v>0</v>
      </c>
      <c r="J74" s="129">
        <f>IF(Table40[[#This Row],[CODE]]=2, Table40[ [#This Row],[Account Deposit Amount] ]-Table40[ [#This Row],[Account Withdrawl Amount] ], )</f>
        <v>0</v>
      </c>
      <c r="K74" s="129">
        <f>IF(Table40[[#This Row],[CODE]]=3, Table40[ [#This Row],[Account Deposit Amount] ]-Table40[ [#This Row],[Account Withdrawl Amount] ], )</f>
        <v>0</v>
      </c>
      <c r="L74" s="128">
        <f>IF(Table40[[#This Row],[CODE]]=4, Table40[ [#This Row],[Account Deposit Amount] ]-Table40[ [#This Row],[Account Withdrawl Amount] ], )</f>
        <v>0</v>
      </c>
      <c r="M74" s="128">
        <f>IF(Table40[[#This Row],[CODE]]=5, Table40[ [#This Row],[Account Deposit Amount] ]-Table40[ [#This Row],[Account Withdrawl Amount] ], )</f>
        <v>0</v>
      </c>
      <c r="N74" s="128">
        <f>IF(Table40[[#This Row],[CODE]]=6, Table40[ [#This Row],[Account Deposit Amount] ]-Table40[ [#This Row],[Account Withdrawl Amount] ], )</f>
        <v>0</v>
      </c>
      <c r="O74" s="128">
        <f>IF(Table40[[#This Row],[CODE]]=11, Table40[ [#This Row],[Account Deposit Amount] ]-Table40[ [#This Row],[Account Withdrawl Amount] ], )</f>
        <v>0</v>
      </c>
      <c r="P74" s="128">
        <f>IF(Table40[[#This Row],[CODE]]=12, Table40[ [#This Row],[Account Deposit Amount] ]-Table40[ [#This Row],[Account Withdrawl Amount] ], )</f>
        <v>0</v>
      </c>
      <c r="Q74" s="128">
        <f>IF(Table40[[#This Row],[CODE]]=13, Table40[ [#This Row],[Account Deposit Amount] ]-Table40[ [#This Row],[Account Withdrawl Amount] ], )</f>
        <v>0</v>
      </c>
      <c r="R74" s="128">
        <f>IF(Table40[[#This Row],[CODE]]=14, Table40[ [#This Row],[Account Deposit Amount] ]-Table40[ [#This Row],[Account Withdrawl Amount] ], )</f>
        <v>0</v>
      </c>
      <c r="S74" s="128">
        <f>IF(Table40[[#This Row],[CODE]]=15, Table40[ [#This Row],[Account Deposit Amount] ]-Table40[ [#This Row],[Account Withdrawl Amount] ], )</f>
        <v>0</v>
      </c>
      <c r="T74" s="128">
        <f>IF(Table40[[#This Row],[CODE]]=16, Table40[ [#This Row],[Account Deposit Amount] ]-Table40[ [#This Row],[Account Withdrawl Amount] ], )</f>
        <v>0</v>
      </c>
      <c r="U74" s="127">
        <f>IF(Table40[[#This Row],[CODE]]=17, Table40[ [#This Row],[Account Deposit Amount] ]-Table40[ [#This Row],[Account Withdrawl Amount] ], )</f>
        <v>0</v>
      </c>
      <c r="V74" s="127">
        <f>IF(Table40[[#This Row],[CODE]]=17, Table40[ [#This Row],[Account Deposit Amount] ]-Table40[ [#This Row],[Account Withdrawl Amount] ], )</f>
        <v>0</v>
      </c>
    </row>
    <row r="75" spans="1:22" ht="16.2" thickBot="1">
      <c r="A75" s="130"/>
      <c r="B75" s="133"/>
      <c r="C75" s="130"/>
      <c r="D75" s="132"/>
      <c r="E75" s="128"/>
      <c r="F75" s="128"/>
      <c r="G75" s="131">
        <f t="shared" si="4"/>
        <v>18348.999999999993</v>
      </c>
      <c r="H75" s="130"/>
      <c r="I75" s="127">
        <f>IF(Table40[[#This Row],[CODE]]=1, Table40[ [#This Row],[Account Deposit Amount] ]-Table40[ [#This Row],[Account Withdrawl Amount] ], )</f>
        <v>0</v>
      </c>
      <c r="J75" s="129">
        <f>IF(Table40[[#This Row],[CODE]]=2, Table40[ [#This Row],[Account Deposit Amount] ]-Table40[ [#This Row],[Account Withdrawl Amount] ], )</f>
        <v>0</v>
      </c>
      <c r="K75" s="129">
        <f>IF(Table40[[#This Row],[CODE]]=3, Table40[ [#This Row],[Account Deposit Amount] ]-Table40[ [#This Row],[Account Withdrawl Amount] ], )</f>
        <v>0</v>
      </c>
      <c r="L75" s="128">
        <f>IF(Table40[[#This Row],[CODE]]=4, Table40[ [#This Row],[Account Deposit Amount] ]-Table40[ [#This Row],[Account Withdrawl Amount] ], )</f>
        <v>0</v>
      </c>
      <c r="M75" s="128">
        <f>IF(Table40[[#This Row],[CODE]]=5, Table40[ [#This Row],[Account Deposit Amount] ]-Table40[ [#This Row],[Account Withdrawl Amount] ], )</f>
        <v>0</v>
      </c>
      <c r="N75" s="128">
        <f>IF(Table40[[#This Row],[CODE]]=6, Table40[ [#This Row],[Account Deposit Amount] ]-Table40[ [#This Row],[Account Withdrawl Amount] ], )</f>
        <v>0</v>
      </c>
      <c r="O75" s="128">
        <f>IF(Table40[[#This Row],[CODE]]=11, Table40[ [#This Row],[Account Deposit Amount] ]-Table40[ [#This Row],[Account Withdrawl Amount] ], )</f>
        <v>0</v>
      </c>
      <c r="P75" s="128">
        <f>IF(Table40[[#This Row],[CODE]]=12, Table40[ [#This Row],[Account Deposit Amount] ]-Table40[ [#This Row],[Account Withdrawl Amount] ], )</f>
        <v>0</v>
      </c>
      <c r="Q75" s="128">
        <f>IF(Table40[[#This Row],[CODE]]=13, Table40[ [#This Row],[Account Deposit Amount] ]-Table40[ [#This Row],[Account Withdrawl Amount] ], )</f>
        <v>0</v>
      </c>
      <c r="R75" s="128">
        <f>IF(Table40[[#This Row],[CODE]]=14, Table40[ [#This Row],[Account Deposit Amount] ]-Table40[ [#This Row],[Account Withdrawl Amount] ], )</f>
        <v>0</v>
      </c>
      <c r="S75" s="128">
        <f>IF(Table40[[#This Row],[CODE]]=15, Table40[ [#This Row],[Account Deposit Amount] ]-Table40[ [#This Row],[Account Withdrawl Amount] ], )</f>
        <v>0</v>
      </c>
      <c r="T75" s="128">
        <f>IF(Table40[[#This Row],[CODE]]=16, Table40[ [#This Row],[Account Deposit Amount] ]-Table40[ [#This Row],[Account Withdrawl Amount] ], )</f>
        <v>0</v>
      </c>
      <c r="U75" s="127">
        <f>IF(Table40[[#This Row],[CODE]]=17, Table40[ [#This Row],[Account Deposit Amount] ]-Table40[ [#This Row],[Account Withdrawl Amount] ], )</f>
        <v>0</v>
      </c>
      <c r="V75" s="127">
        <f>IF(Table40[[#This Row],[CODE]]=17, Table40[ [#This Row],[Account Deposit Amount] ]-Table40[ [#This Row],[Account Withdrawl Amount] ], )</f>
        <v>0</v>
      </c>
    </row>
    <row r="76" spans="1:22" ht="16.2" thickBot="1">
      <c r="A76" s="130"/>
      <c r="B76" s="133"/>
      <c r="C76" s="130"/>
      <c r="D76" s="132"/>
      <c r="E76" s="128"/>
      <c r="F76" s="128"/>
      <c r="G76" s="131">
        <f t="shared" si="4"/>
        <v>18348.999999999993</v>
      </c>
      <c r="H76" s="130"/>
      <c r="I76" s="127">
        <f>IF(Table40[[#This Row],[CODE]]=1, Table40[ [#This Row],[Account Deposit Amount] ]-Table40[ [#This Row],[Account Withdrawl Amount] ], )</f>
        <v>0</v>
      </c>
      <c r="J76" s="129">
        <f>IF(Table40[[#This Row],[CODE]]=2, Table40[ [#This Row],[Account Deposit Amount] ]-Table40[ [#This Row],[Account Withdrawl Amount] ], )</f>
        <v>0</v>
      </c>
      <c r="K76" s="129">
        <f>IF(Table40[[#This Row],[CODE]]=3, Table40[ [#This Row],[Account Deposit Amount] ]-Table40[ [#This Row],[Account Withdrawl Amount] ], )</f>
        <v>0</v>
      </c>
      <c r="L76" s="128">
        <f>IF(Table40[[#This Row],[CODE]]=4, Table40[ [#This Row],[Account Deposit Amount] ]-Table40[ [#This Row],[Account Withdrawl Amount] ], )</f>
        <v>0</v>
      </c>
      <c r="M76" s="128">
        <f>IF(Table40[[#This Row],[CODE]]=5, Table40[ [#This Row],[Account Deposit Amount] ]-Table40[ [#This Row],[Account Withdrawl Amount] ], )</f>
        <v>0</v>
      </c>
      <c r="N76" s="128">
        <f>IF(Table40[[#This Row],[CODE]]=6, Table40[ [#This Row],[Account Deposit Amount] ]-Table40[ [#This Row],[Account Withdrawl Amount] ], )</f>
        <v>0</v>
      </c>
      <c r="O76" s="128">
        <f>IF(Table40[[#This Row],[CODE]]=11, Table40[ [#This Row],[Account Deposit Amount] ]-Table40[ [#This Row],[Account Withdrawl Amount] ], )</f>
        <v>0</v>
      </c>
      <c r="P76" s="128">
        <f>IF(Table40[[#This Row],[CODE]]=12, Table40[ [#This Row],[Account Deposit Amount] ]-Table40[ [#This Row],[Account Withdrawl Amount] ], )</f>
        <v>0</v>
      </c>
      <c r="Q76" s="128">
        <f>IF(Table40[[#This Row],[CODE]]=13, Table40[ [#This Row],[Account Deposit Amount] ]-Table40[ [#This Row],[Account Withdrawl Amount] ], )</f>
        <v>0</v>
      </c>
      <c r="R76" s="128">
        <f>IF(Table40[[#This Row],[CODE]]=14, Table40[ [#This Row],[Account Deposit Amount] ]-Table40[ [#This Row],[Account Withdrawl Amount] ], )</f>
        <v>0</v>
      </c>
      <c r="S76" s="128">
        <f>IF(Table40[[#This Row],[CODE]]=15, Table40[ [#This Row],[Account Deposit Amount] ]-Table40[ [#This Row],[Account Withdrawl Amount] ], )</f>
        <v>0</v>
      </c>
      <c r="T76" s="128">
        <f>IF(Table40[[#This Row],[CODE]]=16, Table40[ [#This Row],[Account Deposit Amount] ]-Table40[ [#This Row],[Account Withdrawl Amount] ], )</f>
        <v>0</v>
      </c>
      <c r="U76" s="127">
        <f>IF(Table40[[#This Row],[CODE]]=17, Table40[ [#This Row],[Account Deposit Amount] ]-Table40[ [#This Row],[Account Withdrawl Amount] ], )</f>
        <v>0</v>
      </c>
      <c r="V76" s="127">
        <f>IF(Table40[[#This Row],[CODE]]=17, Table40[ [#This Row],[Account Deposit Amount] ]-Table40[ [#This Row],[Account Withdrawl Amount] ], )</f>
        <v>0</v>
      </c>
    </row>
    <row r="77" spans="1:22" ht="16.2" thickBot="1">
      <c r="A77" s="130"/>
      <c r="B77" s="133"/>
      <c r="C77" s="130"/>
      <c r="D77" s="132"/>
      <c r="E77" s="128"/>
      <c r="F77" s="128"/>
      <c r="G77" s="131">
        <f t="shared" si="4"/>
        <v>18348.999999999993</v>
      </c>
      <c r="H77" s="130"/>
      <c r="I77" s="127">
        <f>IF(Table40[[#This Row],[CODE]]=1, Table40[ [#This Row],[Account Deposit Amount] ]-Table40[ [#This Row],[Account Withdrawl Amount] ], )</f>
        <v>0</v>
      </c>
      <c r="J77" s="129">
        <f>IF(Table40[[#This Row],[CODE]]=2, Table40[ [#This Row],[Account Deposit Amount] ]-Table40[ [#This Row],[Account Withdrawl Amount] ], )</f>
        <v>0</v>
      </c>
      <c r="K77" s="129">
        <f>IF(Table40[[#This Row],[CODE]]=3, Table40[ [#This Row],[Account Deposit Amount] ]-Table40[ [#This Row],[Account Withdrawl Amount] ], )</f>
        <v>0</v>
      </c>
      <c r="L77" s="128">
        <f>IF(Table40[[#This Row],[CODE]]=4, Table40[ [#This Row],[Account Deposit Amount] ]-Table40[ [#This Row],[Account Withdrawl Amount] ], )</f>
        <v>0</v>
      </c>
      <c r="M77" s="128">
        <f>IF(Table40[[#This Row],[CODE]]=5, Table40[ [#This Row],[Account Deposit Amount] ]-Table40[ [#This Row],[Account Withdrawl Amount] ], )</f>
        <v>0</v>
      </c>
      <c r="N77" s="128">
        <f>IF(Table40[[#This Row],[CODE]]=6, Table40[ [#This Row],[Account Deposit Amount] ]-Table40[ [#This Row],[Account Withdrawl Amount] ], )</f>
        <v>0</v>
      </c>
      <c r="O77" s="128">
        <f>IF(Table40[[#This Row],[CODE]]=11, Table40[ [#This Row],[Account Deposit Amount] ]-Table40[ [#This Row],[Account Withdrawl Amount] ], )</f>
        <v>0</v>
      </c>
      <c r="P77" s="128">
        <f>IF(Table40[[#This Row],[CODE]]=12, Table40[ [#This Row],[Account Deposit Amount] ]-Table40[ [#This Row],[Account Withdrawl Amount] ], )</f>
        <v>0</v>
      </c>
      <c r="Q77" s="128">
        <f>IF(Table40[[#This Row],[CODE]]=13, Table40[ [#This Row],[Account Deposit Amount] ]-Table40[ [#This Row],[Account Withdrawl Amount] ], )</f>
        <v>0</v>
      </c>
      <c r="R77" s="128">
        <f>IF(Table40[[#This Row],[CODE]]=14, Table40[ [#This Row],[Account Deposit Amount] ]-Table40[ [#This Row],[Account Withdrawl Amount] ], )</f>
        <v>0</v>
      </c>
      <c r="S77" s="128">
        <f>IF(Table40[[#This Row],[CODE]]=15, Table40[ [#This Row],[Account Deposit Amount] ]-Table40[ [#This Row],[Account Withdrawl Amount] ], )</f>
        <v>0</v>
      </c>
      <c r="T77" s="128">
        <f>IF(Table40[[#This Row],[CODE]]=16, Table40[ [#This Row],[Account Deposit Amount] ]-Table40[ [#This Row],[Account Withdrawl Amount] ], )</f>
        <v>0</v>
      </c>
      <c r="U77" s="127">
        <f>IF(Table40[[#This Row],[CODE]]=17, Table40[ [#This Row],[Account Deposit Amount] ]-Table40[ [#This Row],[Account Withdrawl Amount] ], )</f>
        <v>0</v>
      </c>
      <c r="V77" s="127">
        <f>IF(Table40[[#This Row],[CODE]]=17, Table40[ [#This Row],[Account Deposit Amount] ]-Table40[ [#This Row],[Account Withdrawl Amount] ], )</f>
        <v>0</v>
      </c>
    </row>
    <row r="78" spans="1:22" ht="16.2" thickBot="1">
      <c r="A78" s="130"/>
      <c r="B78" s="133"/>
      <c r="C78" s="130"/>
      <c r="D78" s="132"/>
      <c r="E78" s="128"/>
      <c r="F78" s="128"/>
      <c r="G78" s="131">
        <f t="shared" si="4"/>
        <v>18348.999999999993</v>
      </c>
      <c r="H78" s="130"/>
      <c r="I78" s="127">
        <f>IF(Table40[[#This Row],[CODE]]=1, Table40[ [#This Row],[Account Deposit Amount] ]-Table40[ [#This Row],[Account Withdrawl Amount] ], )</f>
        <v>0</v>
      </c>
      <c r="J78" s="129">
        <f>IF(Table40[[#This Row],[CODE]]=2, Table40[ [#This Row],[Account Deposit Amount] ]-Table40[ [#This Row],[Account Withdrawl Amount] ], )</f>
        <v>0</v>
      </c>
      <c r="K78" s="129">
        <f>IF(Table40[[#This Row],[CODE]]=3, Table40[ [#This Row],[Account Deposit Amount] ]-Table40[ [#This Row],[Account Withdrawl Amount] ], )</f>
        <v>0</v>
      </c>
      <c r="L78" s="128">
        <f>IF(Table40[[#This Row],[CODE]]=4, Table40[ [#This Row],[Account Deposit Amount] ]-Table40[ [#This Row],[Account Withdrawl Amount] ], )</f>
        <v>0</v>
      </c>
      <c r="M78" s="128">
        <f>IF(Table40[[#This Row],[CODE]]=5, Table40[ [#This Row],[Account Deposit Amount] ]-Table40[ [#This Row],[Account Withdrawl Amount] ], )</f>
        <v>0</v>
      </c>
      <c r="N78" s="128">
        <f>IF(Table40[[#This Row],[CODE]]=6, Table40[ [#This Row],[Account Deposit Amount] ]-Table40[ [#This Row],[Account Withdrawl Amount] ], )</f>
        <v>0</v>
      </c>
      <c r="O78" s="128">
        <f>IF(Table40[[#This Row],[CODE]]=11, Table40[ [#This Row],[Account Deposit Amount] ]-Table40[ [#This Row],[Account Withdrawl Amount] ], )</f>
        <v>0</v>
      </c>
      <c r="P78" s="128">
        <f>IF(Table40[[#This Row],[CODE]]=12, Table40[ [#This Row],[Account Deposit Amount] ]-Table40[ [#This Row],[Account Withdrawl Amount] ], )</f>
        <v>0</v>
      </c>
      <c r="Q78" s="128">
        <f>IF(Table40[[#This Row],[CODE]]=13, Table40[ [#This Row],[Account Deposit Amount] ]-Table40[ [#This Row],[Account Withdrawl Amount] ], )</f>
        <v>0</v>
      </c>
      <c r="R78" s="128">
        <f>IF(Table40[[#This Row],[CODE]]=14, Table40[ [#This Row],[Account Deposit Amount] ]-Table40[ [#This Row],[Account Withdrawl Amount] ], )</f>
        <v>0</v>
      </c>
      <c r="S78" s="128">
        <f>IF(Table40[[#This Row],[CODE]]=15, Table40[ [#This Row],[Account Deposit Amount] ]-Table40[ [#This Row],[Account Withdrawl Amount] ], )</f>
        <v>0</v>
      </c>
      <c r="T78" s="128">
        <f>IF(Table40[[#This Row],[CODE]]=16, Table40[ [#This Row],[Account Deposit Amount] ]-Table40[ [#This Row],[Account Withdrawl Amount] ], )</f>
        <v>0</v>
      </c>
      <c r="U78" s="127">
        <f>IF(Table40[[#This Row],[CODE]]=17, Table40[ [#This Row],[Account Deposit Amount] ]-Table40[ [#This Row],[Account Withdrawl Amount] ], )</f>
        <v>0</v>
      </c>
      <c r="V78" s="127">
        <f>IF(Table40[[#This Row],[CODE]]=17, Table40[ [#This Row],[Account Deposit Amount] ]-Table40[ [#This Row],[Account Withdrawl Amount] ], )</f>
        <v>0</v>
      </c>
    </row>
    <row r="79" spans="1:22" ht="16.2" thickBot="1">
      <c r="A79" s="130"/>
      <c r="B79" s="133"/>
      <c r="C79" s="130"/>
      <c r="D79" s="132"/>
      <c r="E79" s="128"/>
      <c r="F79" s="128"/>
      <c r="G79" s="131">
        <f t="shared" si="4"/>
        <v>18348.999999999993</v>
      </c>
      <c r="H79" s="130"/>
      <c r="I79" s="127">
        <f>IF(Table40[[#This Row],[CODE]]=1, Table40[ [#This Row],[Account Deposit Amount] ]-Table40[ [#This Row],[Account Withdrawl Amount] ], )</f>
        <v>0</v>
      </c>
      <c r="J79" s="129">
        <f>IF(Table40[[#This Row],[CODE]]=2, Table40[ [#This Row],[Account Deposit Amount] ]-Table40[ [#This Row],[Account Withdrawl Amount] ], )</f>
        <v>0</v>
      </c>
      <c r="K79" s="129">
        <f>IF(Table40[[#This Row],[CODE]]=3, Table40[ [#This Row],[Account Deposit Amount] ]-Table40[ [#This Row],[Account Withdrawl Amount] ], )</f>
        <v>0</v>
      </c>
      <c r="L79" s="128">
        <f>IF(Table40[[#This Row],[CODE]]=4, Table40[ [#This Row],[Account Deposit Amount] ]-Table40[ [#This Row],[Account Withdrawl Amount] ], )</f>
        <v>0</v>
      </c>
      <c r="M79" s="128">
        <f>IF(Table40[[#This Row],[CODE]]=5, Table40[ [#This Row],[Account Deposit Amount] ]-Table40[ [#This Row],[Account Withdrawl Amount] ], )</f>
        <v>0</v>
      </c>
      <c r="N79" s="128">
        <f>IF(Table40[[#This Row],[CODE]]=6, Table40[ [#This Row],[Account Deposit Amount] ]-Table40[ [#This Row],[Account Withdrawl Amount] ], )</f>
        <v>0</v>
      </c>
      <c r="O79" s="128">
        <f>IF(Table40[[#This Row],[CODE]]=11, Table40[ [#This Row],[Account Deposit Amount] ]-Table40[ [#This Row],[Account Withdrawl Amount] ], )</f>
        <v>0</v>
      </c>
      <c r="P79" s="128">
        <f>IF(Table40[[#This Row],[CODE]]=12, Table40[ [#This Row],[Account Deposit Amount] ]-Table40[ [#This Row],[Account Withdrawl Amount] ], )</f>
        <v>0</v>
      </c>
      <c r="Q79" s="128">
        <f>IF(Table40[[#This Row],[CODE]]=13, Table40[ [#This Row],[Account Deposit Amount] ]-Table40[ [#This Row],[Account Withdrawl Amount] ], )</f>
        <v>0</v>
      </c>
      <c r="R79" s="128">
        <f>IF(Table40[[#This Row],[CODE]]=14, Table40[ [#This Row],[Account Deposit Amount] ]-Table40[ [#This Row],[Account Withdrawl Amount] ], )</f>
        <v>0</v>
      </c>
      <c r="S79" s="128">
        <f>IF(Table40[[#This Row],[CODE]]=15, Table40[ [#This Row],[Account Deposit Amount] ]-Table40[ [#This Row],[Account Withdrawl Amount] ], )</f>
        <v>0</v>
      </c>
      <c r="T79" s="128">
        <f>IF(Table40[[#This Row],[CODE]]=16, Table40[ [#This Row],[Account Deposit Amount] ]-Table40[ [#This Row],[Account Withdrawl Amount] ], )</f>
        <v>0</v>
      </c>
      <c r="U79" s="127">
        <f>IF(Table40[[#This Row],[CODE]]=17, Table40[ [#This Row],[Account Deposit Amount] ]-Table40[ [#This Row],[Account Withdrawl Amount] ], )</f>
        <v>0</v>
      </c>
      <c r="V79" s="127">
        <f>IF(Table40[[#This Row],[CODE]]=17, Table40[ [#This Row],[Account Deposit Amount] ]-Table40[ [#This Row],[Account Withdrawl Amount] ], )</f>
        <v>0</v>
      </c>
    </row>
    <row r="80" spans="1:22" ht="16.2" thickBot="1">
      <c r="A80" s="130"/>
      <c r="B80" s="133"/>
      <c r="C80" s="130"/>
      <c r="D80" s="132"/>
      <c r="E80" s="128"/>
      <c r="F80" s="128"/>
      <c r="G80" s="131">
        <f t="shared" si="4"/>
        <v>18348.999999999993</v>
      </c>
      <c r="H80" s="130"/>
      <c r="I80" s="127">
        <f>IF(Table40[[#This Row],[CODE]]=1, Table40[ [#This Row],[Account Deposit Amount] ]-Table40[ [#This Row],[Account Withdrawl Amount] ], )</f>
        <v>0</v>
      </c>
      <c r="J80" s="129">
        <f>IF(Table40[[#This Row],[CODE]]=2, Table40[ [#This Row],[Account Deposit Amount] ]-Table40[ [#This Row],[Account Withdrawl Amount] ], )</f>
        <v>0</v>
      </c>
      <c r="K80" s="129">
        <f>IF(Table40[[#This Row],[CODE]]=3, Table40[ [#This Row],[Account Deposit Amount] ]-Table40[ [#This Row],[Account Withdrawl Amount] ], )</f>
        <v>0</v>
      </c>
      <c r="L80" s="128">
        <f>IF(Table40[[#This Row],[CODE]]=4, Table40[ [#This Row],[Account Deposit Amount] ]-Table40[ [#This Row],[Account Withdrawl Amount] ], )</f>
        <v>0</v>
      </c>
      <c r="M80" s="128">
        <f>IF(Table40[[#This Row],[CODE]]=5, Table40[ [#This Row],[Account Deposit Amount] ]-Table40[ [#This Row],[Account Withdrawl Amount] ], )</f>
        <v>0</v>
      </c>
      <c r="N80" s="128">
        <f>IF(Table40[[#This Row],[CODE]]=6, Table40[ [#This Row],[Account Deposit Amount] ]-Table40[ [#This Row],[Account Withdrawl Amount] ], )</f>
        <v>0</v>
      </c>
      <c r="O80" s="128">
        <f>IF(Table40[[#This Row],[CODE]]=11, Table40[ [#This Row],[Account Deposit Amount] ]-Table40[ [#This Row],[Account Withdrawl Amount] ], )</f>
        <v>0</v>
      </c>
      <c r="P80" s="128">
        <f>IF(Table40[[#This Row],[CODE]]=12, Table40[ [#This Row],[Account Deposit Amount] ]-Table40[ [#This Row],[Account Withdrawl Amount] ], )</f>
        <v>0</v>
      </c>
      <c r="Q80" s="128">
        <f>IF(Table40[[#This Row],[CODE]]=13, Table40[ [#This Row],[Account Deposit Amount] ]-Table40[ [#This Row],[Account Withdrawl Amount] ], )</f>
        <v>0</v>
      </c>
      <c r="R80" s="128">
        <f>IF(Table40[[#This Row],[CODE]]=14, Table40[ [#This Row],[Account Deposit Amount] ]-Table40[ [#This Row],[Account Withdrawl Amount] ], )</f>
        <v>0</v>
      </c>
      <c r="S80" s="128">
        <f>IF(Table40[[#This Row],[CODE]]=15, Table40[ [#This Row],[Account Deposit Amount] ]-Table40[ [#This Row],[Account Withdrawl Amount] ], )</f>
        <v>0</v>
      </c>
      <c r="T80" s="128">
        <f>IF(Table40[[#This Row],[CODE]]=16, Table40[ [#This Row],[Account Deposit Amount] ]-Table40[ [#This Row],[Account Withdrawl Amount] ], )</f>
        <v>0</v>
      </c>
      <c r="U80" s="127">
        <f>IF(Table40[[#This Row],[CODE]]=17, Table40[ [#This Row],[Account Deposit Amount] ]-Table40[ [#This Row],[Account Withdrawl Amount] ], )</f>
        <v>0</v>
      </c>
      <c r="V80" s="127">
        <f>IF(Table40[[#This Row],[CODE]]=17, Table40[ [#This Row],[Account Deposit Amount] ]-Table40[ [#This Row],[Account Withdrawl Amount] ], )</f>
        <v>0</v>
      </c>
    </row>
    <row r="81" spans="1:22" ht="16.2" thickBot="1">
      <c r="A81" s="130"/>
      <c r="B81" s="133"/>
      <c r="C81" s="130"/>
      <c r="D81" s="132"/>
      <c r="E81" s="128"/>
      <c r="F81" s="128"/>
      <c r="G81" s="131">
        <f t="shared" si="4"/>
        <v>18348.999999999993</v>
      </c>
      <c r="H81" s="130"/>
      <c r="I81" s="127">
        <f>IF(Table40[[#This Row],[CODE]]=1, Table40[ [#This Row],[Account Deposit Amount] ]-Table40[ [#This Row],[Account Withdrawl Amount] ], )</f>
        <v>0</v>
      </c>
      <c r="J81" s="129">
        <f>IF(Table40[[#This Row],[CODE]]=2, Table40[ [#This Row],[Account Deposit Amount] ]-Table40[ [#This Row],[Account Withdrawl Amount] ], )</f>
        <v>0</v>
      </c>
      <c r="K81" s="129">
        <f>IF(Table40[[#This Row],[CODE]]=3, Table40[ [#This Row],[Account Deposit Amount] ]-Table40[ [#This Row],[Account Withdrawl Amount] ], )</f>
        <v>0</v>
      </c>
      <c r="L81" s="128">
        <f>IF(Table40[[#This Row],[CODE]]=4, Table40[ [#This Row],[Account Deposit Amount] ]-Table40[ [#This Row],[Account Withdrawl Amount] ], )</f>
        <v>0</v>
      </c>
      <c r="M81" s="128">
        <f>IF(Table40[[#This Row],[CODE]]=5, Table40[ [#This Row],[Account Deposit Amount] ]-Table40[ [#This Row],[Account Withdrawl Amount] ], )</f>
        <v>0</v>
      </c>
      <c r="N81" s="128">
        <f>IF(Table40[[#This Row],[CODE]]=6, Table40[ [#This Row],[Account Deposit Amount] ]-Table40[ [#This Row],[Account Withdrawl Amount] ], )</f>
        <v>0</v>
      </c>
      <c r="O81" s="128">
        <f>IF(Table40[[#This Row],[CODE]]=11, Table40[ [#This Row],[Account Deposit Amount] ]-Table40[ [#This Row],[Account Withdrawl Amount] ], )</f>
        <v>0</v>
      </c>
      <c r="P81" s="128">
        <f>IF(Table40[[#This Row],[CODE]]=12, Table40[ [#This Row],[Account Deposit Amount] ]-Table40[ [#This Row],[Account Withdrawl Amount] ], )</f>
        <v>0</v>
      </c>
      <c r="Q81" s="128">
        <f>IF(Table40[[#This Row],[CODE]]=13, Table40[ [#This Row],[Account Deposit Amount] ]-Table40[ [#This Row],[Account Withdrawl Amount] ], )</f>
        <v>0</v>
      </c>
      <c r="R81" s="128">
        <f>IF(Table40[[#This Row],[CODE]]=14, Table40[ [#This Row],[Account Deposit Amount] ]-Table40[ [#This Row],[Account Withdrawl Amount] ], )</f>
        <v>0</v>
      </c>
      <c r="S81" s="128">
        <f>IF(Table40[[#This Row],[CODE]]=15, Table40[ [#This Row],[Account Deposit Amount] ]-Table40[ [#This Row],[Account Withdrawl Amount] ], )</f>
        <v>0</v>
      </c>
      <c r="T81" s="128">
        <f>IF(Table40[[#This Row],[CODE]]=16, Table40[ [#This Row],[Account Deposit Amount] ]-Table40[ [#This Row],[Account Withdrawl Amount] ], )</f>
        <v>0</v>
      </c>
      <c r="U81" s="127">
        <f>IF(Table40[[#This Row],[CODE]]=17, Table40[ [#This Row],[Account Deposit Amount] ]-Table40[ [#This Row],[Account Withdrawl Amount] ], )</f>
        <v>0</v>
      </c>
      <c r="V81" s="127">
        <f>IF(Table40[[#This Row],[CODE]]=17, Table40[ [#This Row],[Account Deposit Amount] ]-Table40[ [#This Row],[Account Withdrawl Amount] ], )</f>
        <v>0</v>
      </c>
    </row>
    <row r="82" spans="1:22" ht="16.2" thickBot="1">
      <c r="A82" s="130"/>
      <c r="B82" s="133"/>
      <c r="C82" s="130"/>
      <c r="D82" s="132"/>
      <c r="E82" s="128"/>
      <c r="F82" s="128"/>
      <c r="G82" s="131">
        <f t="shared" si="4"/>
        <v>18348.999999999993</v>
      </c>
      <c r="H82" s="130"/>
      <c r="I82" s="127">
        <f>IF(Table40[[#This Row],[CODE]]=1, Table40[ [#This Row],[Account Deposit Amount] ]-Table40[ [#This Row],[Account Withdrawl Amount] ], )</f>
        <v>0</v>
      </c>
      <c r="J82" s="129">
        <f>IF(Table40[[#This Row],[CODE]]=2, Table40[ [#This Row],[Account Deposit Amount] ]-Table40[ [#This Row],[Account Withdrawl Amount] ], )</f>
        <v>0</v>
      </c>
      <c r="K82" s="129">
        <f>IF(Table40[[#This Row],[CODE]]=3, Table40[ [#This Row],[Account Deposit Amount] ]-Table40[ [#This Row],[Account Withdrawl Amount] ], )</f>
        <v>0</v>
      </c>
      <c r="L82" s="128">
        <f>IF(Table40[[#This Row],[CODE]]=4, Table40[ [#This Row],[Account Deposit Amount] ]-Table40[ [#This Row],[Account Withdrawl Amount] ], )</f>
        <v>0</v>
      </c>
      <c r="M82" s="128">
        <f>IF(Table40[[#This Row],[CODE]]=5, Table40[ [#This Row],[Account Deposit Amount] ]-Table40[ [#This Row],[Account Withdrawl Amount] ], )</f>
        <v>0</v>
      </c>
      <c r="N82" s="128">
        <f>IF(Table40[[#This Row],[CODE]]=6, Table40[ [#This Row],[Account Deposit Amount] ]-Table40[ [#This Row],[Account Withdrawl Amount] ], )</f>
        <v>0</v>
      </c>
      <c r="O82" s="128">
        <f>IF(Table40[[#This Row],[CODE]]=11, Table40[ [#This Row],[Account Deposit Amount] ]-Table40[ [#This Row],[Account Withdrawl Amount] ], )</f>
        <v>0</v>
      </c>
      <c r="P82" s="128">
        <f>IF(Table40[[#This Row],[CODE]]=12, Table40[ [#This Row],[Account Deposit Amount] ]-Table40[ [#This Row],[Account Withdrawl Amount] ], )</f>
        <v>0</v>
      </c>
      <c r="Q82" s="128">
        <f>IF(Table40[[#This Row],[CODE]]=13, Table40[ [#This Row],[Account Deposit Amount] ]-Table40[ [#This Row],[Account Withdrawl Amount] ], )</f>
        <v>0</v>
      </c>
      <c r="R82" s="128">
        <f>IF(Table40[[#This Row],[CODE]]=14, Table40[ [#This Row],[Account Deposit Amount] ]-Table40[ [#This Row],[Account Withdrawl Amount] ], )</f>
        <v>0</v>
      </c>
      <c r="S82" s="128">
        <f>IF(Table40[[#This Row],[CODE]]=15, Table40[ [#This Row],[Account Deposit Amount] ]-Table40[ [#This Row],[Account Withdrawl Amount] ], )</f>
        <v>0</v>
      </c>
      <c r="T82" s="128">
        <f>IF(Table40[[#This Row],[CODE]]=16, Table40[ [#This Row],[Account Deposit Amount] ]-Table40[ [#This Row],[Account Withdrawl Amount] ], )</f>
        <v>0</v>
      </c>
      <c r="U82" s="127">
        <f>IF(Table40[[#This Row],[CODE]]=17, Table40[ [#This Row],[Account Deposit Amount] ]-Table40[ [#This Row],[Account Withdrawl Amount] ], )</f>
        <v>0</v>
      </c>
      <c r="V82" s="127">
        <f>IF(Table40[[#This Row],[CODE]]=17, Table40[ [#This Row],[Account Deposit Amount] ]-Table40[ [#This Row],[Account Withdrawl Amount] ], )</f>
        <v>0</v>
      </c>
    </row>
    <row r="83" spans="1:22" ht="16.2" thickBot="1">
      <c r="A83" s="130"/>
      <c r="B83" s="133"/>
      <c r="C83" s="130"/>
      <c r="D83" s="132"/>
      <c r="E83" s="128"/>
      <c r="F83" s="128"/>
      <c r="G83" s="131">
        <f t="shared" si="4"/>
        <v>18348.999999999993</v>
      </c>
      <c r="H83" s="130"/>
      <c r="I83" s="127">
        <f>IF(Table40[[#This Row],[CODE]]=1, Table40[ [#This Row],[Account Deposit Amount] ]-Table40[ [#This Row],[Account Withdrawl Amount] ], )</f>
        <v>0</v>
      </c>
      <c r="J83" s="129">
        <f>IF(Table40[[#This Row],[CODE]]=2, Table40[ [#This Row],[Account Deposit Amount] ]-Table40[ [#This Row],[Account Withdrawl Amount] ], )</f>
        <v>0</v>
      </c>
      <c r="K83" s="129">
        <f>IF(Table40[[#This Row],[CODE]]=3, Table40[ [#This Row],[Account Deposit Amount] ]-Table40[ [#This Row],[Account Withdrawl Amount] ], )</f>
        <v>0</v>
      </c>
      <c r="L83" s="128">
        <f>IF(Table40[[#This Row],[CODE]]=4, Table40[ [#This Row],[Account Deposit Amount] ]-Table40[ [#This Row],[Account Withdrawl Amount] ], )</f>
        <v>0</v>
      </c>
      <c r="M83" s="128">
        <f>IF(Table40[[#This Row],[CODE]]=5, Table40[ [#This Row],[Account Deposit Amount] ]-Table40[ [#This Row],[Account Withdrawl Amount] ], )</f>
        <v>0</v>
      </c>
      <c r="N83" s="128">
        <f>IF(Table40[[#This Row],[CODE]]=6, Table40[ [#This Row],[Account Deposit Amount] ]-Table40[ [#This Row],[Account Withdrawl Amount] ], )</f>
        <v>0</v>
      </c>
      <c r="O83" s="128">
        <f>IF(Table40[[#This Row],[CODE]]=11, Table40[ [#This Row],[Account Deposit Amount] ]-Table40[ [#This Row],[Account Withdrawl Amount] ], )</f>
        <v>0</v>
      </c>
      <c r="P83" s="128">
        <f>IF(Table40[[#This Row],[CODE]]=12, Table40[ [#This Row],[Account Deposit Amount] ]-Table40[ [#This Row],[Account Withdrawl Amount] ], )</f>
        <v>0</v>
      </c>
      <c r="Q83" s="128">
        <f>IF(Table40[[#This Row],[CODE]]=13, Table40[ [#This Row],[Account Deposit Amount] ]-Table40[ [#This Row],[Account Withdrawl Amount] ], )</f>
        <v>0</v>
      </c>
      <c r="R83" s="128">
        <f>IF(Table40[[#This Row],[CODE]]=14, Table40[ [#This Row],[Account Deposit Amount] ]-Table40[ [#This Row],[Account Withdrawl Amount] ], )</f>
        <v>0</v>
      </c>
      <c r="S83" s="128">
        <f>IF(Table40[[#This Row],[CODE]]=15, Table40[ [#This Row],[Account Deposit Amount] ]-Table40[ [#This Row],[Account Withdrawl Amount] ], )</f>
        <v>0</v>
      </c>
      <c r="T83" s="128">
        <f>IF(Table40[[#This Row],[CODE]]=16, Table40[ [#This Row],[Account Deposit Amount] ]-Table40[ [#This Row],[Account Withdrawl Amount] ], )</f>
        <v>0</v>
      </c>
      <c r="U83" s="127">
        <f>IF(Table40[[#This Row],[CODE]]=17, Table40[ [#This Row],[Account Deposit Amount] ]-Table40[ [#This Row],[Account Withdrawl Amount] ], )</f>
        <v>0</v>
      </c>
      <c r="V83" s="127">
        <f>IF(Table40[[#This Row],[CODE]]=17, Table40[ [#This Row],[Account Deposit Amount] ]-Table40[ [#This Row],[Account Withdrawl Amount] ], )</f>
        <v>0</v>
      </c>
    </row>
    <row r="84" spans="1:22" ht="16.2" thickBot="1">
      <c r="A84" s="130"/>
      <c r="B84" s="133"/>
      <c r="C84" s="130"/>
      <c r="D84" s="132"/>
      <c r="E84" s="128"/>
      <c r="F84" s="128"/>
      <c r="G84" s="131">
        <f t="shared" si="4"/>
        <v>18348.999999999993</v>
      </c>
      <c r="H84" s="130"/>
      <c r="I84" s="127">
        <f>IF(Table40[[#This Row],[CODE]]=1, Table40[ [#This Row],[Account Deposit Amount] ]-Table40[ [#This Row],[Account Withdrawl Amount] ], )</f>
        <v>0</v>
      </c>
      <c r="J84" s="129">
        <f>IF(Table40[[#This Row],[CODE]]=2, Table40[ [#This Row],[Account Deposit Amount] ]-Table40[ [#This Row],[Account Withdrawl Amount] ], )</f>
        <v>0</v>
      </c>
      <c r="K84" s="129">
        <f>IF(Table40[[#This Row],[CODE]]=3, Table40[ [#This Row],[Account Deposit Amount] ]-Table40[ [#This Row],[Account Withdrawl Amount] ], )</f>
        <v>0</v>
      </c>
      <c r="L84" s="128">
        <f>IF(Table40[[#This Row],[CODE]]=4, Table40[ [#This Row],[Account Deposit Amount] ]-Table40[ [#This Row],[Account Withdrawl Amount] ], )</f>
        <v>0</v>
      </c>
      <c r="M84" s="128">
        <f>IF(Table40[[#This Row],[CODE]]=5, Table40[ [#This Row],[Account Deposit Amount] ]-Table40[ [#This Row],[Account Withdrawl Amount] ], )</f>
        <v>0</v>
      </c>
      <c r="N84" s="128">
        <f>IF(Table40[[#This Row],[CODE]]=6, Table40[ [#This Row],[Account Deposit Amount] ]-Table40[ [#This Row],[Account Withdrawl Amount] ], )</f>
        <v>0</v>
      </c>
      <c r="O84" s="128">
        <f>IF(Table40[[#This Row],[CODE]]=11, Table40[ [#This Row],[Account Deposit Amount] ]-Table40[ [#This Row],[Account Withdrawl Amount] ], )</f>
        <v>0</v>
      </c>
      <c r="P84" s="128">
        <f>IF(Table40[[#This Row],[CODE]]=12, Table40[ [#This Row],[Account Deposit Amount] ]-Table40[ [#This Row],[Account Withdrawl Amount] ], )</f>
        <v>0</v>
      </c>
      <c r="Q84" s="128">
        <f>IF(Table40[[#This Row],[CODE]]=13, Table40[ [#This Row],[Account Deposit Amount] ]-Table40[ [#This Row],[Account Withdrawl Amount] ], )</f>
        <v>0</v>
      </c>
      <c r="R84" s="128">
        <f>IF(Table40[[#This Row],[CODE]]=14, Table40[ [#This Row],[Account Deposit Amount] ]-Table40[ [#This Row],[Account Withdrawl Amount] ], )</f>
        <v>0</v>
      </c>
      <c r="S84" s="128">
        <f>IF(Table40[[#This Row],[CODE]]=15, Table40[ [#This Row],[Account Deposit Amount] ]-Table40[ [#This Row],[Account Withdrawl Amount] ], )</f>
        <v>0</v>
      </c>
      <c r="T84" s="128">
        <f>IF(Table40[[#This Row],[CODE]]=16, Table40[ [#This Row],[Account Deposit Amount] ]-Table40[ [#This Row],[Account Withdrawl Amount] ], )</f>
        <v>0</v>
      </c>
      <c r="U84" s="127">
        <f>IF(Table40[[#This Row],[CODE]]=17, Table40[ [#This Row],[Account Deposit Amount] ]-Table40[ [#This Row],[Account Withdrawl Amount] ], )</f>
        <v>0</v>
      </c>
      <c r="V84" s="127">
        <f>IF(Table40[[#This Row],[CODE]]=17, Table40[ [#This Row],[Account Deposit Amount] ]-Table40[ [#This Row],[Account Withdrawl Amount] ], )</f>
        <v>0</v>
      </c>
    </row>
    <row r="85" spans="1:22" ht="16.2" thickBot="1">
      <c r="A85" s="130"/>
      <c r="B85" s="133"/>
      <c r="C85" s="130"/>
      <c r="D85" s="132"/>
      <c r="E85" s="128"/>
      <c r="F85" s="128"/>
      <c r="G85" s="131">
        <f t="shared" si="4"/>
        <v>18348.999999999993</v>
      </c>
      <c r="H85" s="130"/>
      <c r="I85" s="127">
        <f>IF(Table40[[#This Row],[CODE]]=1, Table40[ [#This Row],[Account Deposit Amount] ]-Table40[ [#This Row],[Account Withdrawl Amount] ], )</f>
        <v>0</v>
      </c>
      <c r="J85" s="129">
        <f>IF(Table40[[#This Row],[CODE]]=2, Table40[ [#This Row],[Account Deposit Amount] ]-Table40[ [#This Row],[Account Withdrawl Amount] ], )</f>
        <v>0</v>
      </c>
      <c r="K85" s="129">
        <f>IF(Table40[[#This Row],[CODE]]=3, Table40[ [#This Row],[Account Deposit Amount] ]-Table40[ [#This Row],[Account Withdrawl Amount] ], )</f>
        <v>0</v>
      </c>
      <c r="L85" s="128">
        <f>IF(Table40[[#This Row],[CODE]]=4, Table40[ [#This Row],[Account Deposit Amount] ]-Table40[ [#This Row],[Account Withdrawl Amount] ], )</f>
        <v>0</v>
      </c>
      <c r="M85" s="128">
        <f>IF(Table40[[#This Row],[CODE]]=5, Table40[ [#This Row],[Account Deposit Amount] ]-Table40[ [#This Row],[Account Withdrawl Amount] ], )</f>
        <v>0</v>
      </c>
      <c r="N85" s="128">
        <f>IF(Table40[[#This Row],[CODE]]=6, Table40[ [#This Row],[Account Deposit Amount] ]-Table40[ [#This Row],[Account Withdrawl Amount] ], )</f>
        <v>0</v>
      </c>
      <c r="O85" s="128">
        <f>IF(Table40[[#This Row],[CODE]]=11, Table40[ [#This Row],[Account Deposit Amount] ]-Table40[ [#This Row],[Account Withdrawl Amount] ], )</f>
        <v>0</v>
      </c>
      <c r="P85" s="128">
        <f>IF(Table40[[#This Row],[CODE]]=12, Table40[ [#This Row],[Account Deposit Amount] ]-Table40[ [#This Row],[Account Withdrawl Amount] ], )</f>
        <v>0</v>
      </c>
      <c r="Q85" s="128">
        <f>IF(Table40[[#This Row],[CODE]]=13, Table40[ [#This Row],[Account Deposit Amount] ]-Table40[ [#This Row],[Account Withdrawl Amount] ], )</f>
        <v>0</v>
      </c>
      <c r="R85" s="128">
        <f>IF(Table40[[#This Row],[CODE]]=14, Table40[ [#This Row],[Account Deposit Amount] ]-Table40[ [#This Row],[Account Withdrawl Amount] ], )</f>
        <v>0</v>
      </c>
      <c r="S85" s="128">
        <f>IF(Table40[[#This Row],[CODE]]=15, Table40[ [#This Row],[Account Deposit Amount] ]-Table40[ [#This Row],[Account Withdrawl Amount] ], )</f>
        <v>0</v>
      </c>
      <c r="T85" s="128">
        <f>IF(Table40[[#This Row],[CODE]]=16, Table40[ [#This Row],[Account Deposit Amount] ]-Table40[ [#This Row],[Account Withdrawl Amount] ], )</f>
        <v>0</v>
      </c>
      <c r="U85" s="127">
        <f>IF(Table40[[#This Row],[CODE]]=17, Table40[ [#This Row],[Account Deposit Amount] ]-Table40[ [#This Row],[Account Withdrawl Amount] ], )</f>
        <v>0</v>
      </c>
      <c r="V85" s="127">
        <f>IF(Table40[[#This Row],[CODE]]=17, Table40[ [#This Row],[Account Deposit Amount] ]-Table40[ [#This Row],[Account Withdrawl Amount] ], )</f>
        <v>0</v>
      </c>
    </row>
    <row r="86" spans="1:22" ht="16.2" thickBot="1">
      <c r="A86" s="130"/>
      <c r="B86" s="133"/>
      <c r="C86" s="130"/>
      <c r="D86" s="132"/>
      <c r="E86" s="128"/>
      <c r="F86" s="128"/>
      <c r="G86" s="131">
        <f t="shared" si="4"/>
        <v>18348.999999999993</v>
      </c>
      <c r="H86" s="130"/>
      <c r="I86" s="127">
        <f>IF(Table40[[#This Row],[CODE]]=1, Table40[ [#This Row],[Account Deposit Amount] ]-Table40[ [#This Row],[Account Withdrawl Amount] ], )</f>
        <v>0</v>
      </c>
      <c r="J86" s="129">
        <f>IF(Table40[[#This Row],[CODE]]=2, Table40[ [#This Row],[Account Deposit Amount] ]-Table40[ [#This Row],[Account Withdrawl Amount] ], )</f>
        <v>0</v>
      </c>
      <c r="K86" s="129">
        <f>IF(Table40[[#This Row],[CODE]]=3, Table40[ [#This Row],[Account Deposit Amount] ]-Table40[ [#This Row],[Account Withdrawl Amount] ], )</f>
        <v>0</v>
      </c>
      <c r="L86" s="128">
        <f>IF(Table40[[#This Row],[CODE]]=4, Table40[ [#This Row],[Account Deposit Amount] ]-Table40[ [#This Row],[Account Withdrawl Amount] ], )</f>
        <v>0</v>
      </c>
      <c r="M86" s="128">
        <f>IF(Table40[[#This Row],[CODE]]=5, Table40[ [#This Row],[Account Deposit Amount] ]-Table40[ [#This Row],[Account Withdrawl Amount] ], )</f>
        <v>0</v>
      </c>
      <c r="N86" s="128">
        <f>IF(Table40[[#This Row],[CODE]]=6, Table40[ [#This Row],[Account Deposit Amount] ]-Table40[ [#This Row],[Account Withdrawl Amount] ], )</f>
        <v>0</v>
      </c>
      <c r="O86" s="128">
        <f>IF(Table40[[#This Row],[CODE]]=11, Table40[ [#This Row],[Account Deposit Amount] ]-Table40[ [#This Row],[Account Withdrawl Amount] ], )</f>
        <v>0</v>
      </c>
      <c r="P86" s="128">
        <f>IF(Table40[[#This Row],[CODE]]=12, Table40[ [#This Row],[Account Deposit Amount] ]-Table40[ [#This Row],[Account Withdrawl Amount] ], )</f>
        <v>0</v>
      </c>
      <c r="Q86" s="128">
        <f>IF(Table40[[#This Row],[CODE]]=13, Table40[ [#This Row],[Account Deposit Amount] ]-Table40[ [#This Row],[Account Withdrawl Amount] ], )</f>
        <v>0</v>
      </c>
      <c r="R86" s="128">
        <f>IF(Table40[[#This Row],[CODE]]=14, Table40[ [#This Row],[Account Deposit Amount] ]-Table40[ [#This Row],[Account Withdrawl Amount] ], )</f>
        <v>0</v>
      </c>
      <c r="S86" s="128">
        <f>IF(Table40[[#This Row],[CODE]]=15, Table40[ [#This Row],[Account Deposit Amount] ]-Table40[ [#This Row],[Account Withdrawl Amount] ], )</f>
        <v>0</v>
      </c>
      <c r="T86" s="128">
        <f>IF(Table40[[#This Row],[CODE]]=16, Table40[ [#This Row],[Account Deposit Amount] ]-Table40[ [#This Row],[Account Withdrawl Amount] ], )</f>
        <v>0</v>
      </c>
      <c r="U86" s="127">
        <f>IF(Table40[[#This Row],[CODE]]=17, Table40[ [#This Row],[Account Deposit Amount] ]-Table40[ [#This Row],[Account Withdrawl Amount] ], )</f>
        <v>0</v>
      </c>
      <c r="V86" s="127">
        <f>IF(Table40[[#This Row],[CODE]]=17, Table40[ [#This Row],[Account Deposit Amount] ]-Table40[ [#This Row],[Account Withdrawl Amount] ], )</f>
        <v>0</v>
      </c>
    </row>
    <row r="87" spans="1:22" ht="16.2" thickBot="1">
      <c r="A87" s="130"/>
      <c r="B87" s="133"/>
      <c r="C87" s="130"/>
      <c r="D87" s="132"/>
      <c r="E87" s="128"/>
      <c r="F87" s="128"/>
      <c r="G87" s="131">
        <f t="shared" si="4"/>
        <v>18348.999999999993</v>
      </c>
      <c r="H87" s="130"/>
      <c r="I87" s="127">
        <f>IF(Table40[[#This Row],[CODE]]=1, Table40[ [#This Row],[Account Deposit Amount] ]-Table40[ [#This Row],[Account Withdrawl Amount] ], )</f>
        <v>0</v>
      </c>
      <c r="J87" s="129">
        <f>IF(Table40[[#This Row],[CODE]]=2, Table40[ [#This Row],[Account Deposit Amount] ]-Table40[ [#This Row],[Account Withdrawl Amount] ], )</f>
        <v>0</v>
      </c>
      <c r="K87" s="129">
        <f>IF(Table40[[#This Row],[CODE]]=3, Table40[ [#This Row],[Account Deposit Amount] ]-Table40[ [#This Row],[Account Withdrawl Amount] ], )</f>
        <v>0</v>
      </c>
      <c r="L87" s="128">
        <f>IF(Table40[[#This Row],[CODE]]=4, Table40[ [#This Row],[Account Deposit Amount] ]-Table40[ [#This Row],[Account Withdrawl Amount] ], )</f>
        <v>0</v>
      </c>
      <c r="M87" s="128">
        <f>IF(Table40[[#This Row],[CODE]]=5, Table40[ [#This Row],[Account Deposit Amount] ]-Table40[ [#This Row],[Account Withdrawl Amount] ], )</f>
        <v>0</v>
      </c>
      <c r="N87" s="128">
        <f>IF(Table40[[#This Row],[CODE]]=6, Table40[ [#This Row],[Account Deposit Amount] ]-Table40[ [#This Row],[Account Withdrawl Amount] ], )</f>
        <v>0</v>
      </c>
      <c r="O87" s="128">
        <f>IF(Table40[[#This Row],[CODE]]=11, Table40[ [#This Row],[Account Deposit Amount] ]-Table40[ [#This Row],[Account Withdrawl Amount] ], )</f>
        <v>0</v>
      </c>
      <c r="P87" s="128">
        <f>IF(Table40[[#This Row],[CODE]]=12, Table40[ [#This Row],[Account Deposit Amount] ]-Table40[ [#This Row],[Account Withdrawl Amount] ], )</f>
        <v>0</v>
      </c>
      <c r="Q87" s="128">
        <f>IF(Table40[[#This Row],[CODE]]=13, Table40[ [#This Row],[Account Deposit Amount] ]-Table40[ [#This Row],[Account Withdrawl Amount] ], )</f>
        <v>0</v>
      </c>
      <c r="R87" s="128">
        <f>IF(Table40[[#This Row],[CODE]]=14, Table40[ [#This Row],[Account Deposit Amount] ]-Table40[ [#This Row],[Account Withdrawl Amount] ], )</f>
        <v>0</v>
      </c>
      <c r="S87" s="128">
        <f>IF(Table40[[#This Row],[CODE]]=15, Table40[ [#This Row],[Account Deposit Amount] ]-Table40[ [#This Row],[Account Withdrawl Amount] ], )</f>
        <v>0</v>
      </c>
      <c r="T87" s="128">
        <f>IF(Table40[[#This Row],[CODE]]=16, Table40[ [#This Row],[Account Deposit Amount] ]-Table40[ [#This Row],[Account Withdrawl Amount] ], )</f>
        <v>0</v>
      </c>
      <c r="U87" s="127">
        <f>IF(Table40[[#This Row],[CODE]]=17, Table40[ [#This Row],[Account Deposit Amount] ]-Table40[ [#This Row],[Account Withdrawl Amount] ], )</f>
        <v>0</v>
      </c>
      <c r="V87" s="127">
        <f>IF(Table40[[#This Row],[CODE]]=17, Table40[ [#This Row],[Account Deposit Amount] ]-Table40[ [#This Row],[Account Withdrawl Amount] ], )</f>
        <v>0</v>
      </c>
    </row>
    <row r="88" spans="1:22" ht="16.2" thickBot="1">
      <c r="A88" s="130"/>
      <c r="B88" s="133"/>
      <c r="C88" s="130"/>
      <c r="D88" s="132"/>
      <c r="E88" s="128"/>
      <c r="F88" s="128"/>
      <c r="G88" s="131">
        <f t="shared" si="4"/>
        <v>18348.999999999993</v>
      </c>
      <c r="H88" s="130"/>
      <c r="I88" s="127">
        <f>IF(Table40[[#This Row],[CODE]]=1, Table40[ [#This Row],[Account Deposit Amount] ]-Table40[ [#This Row],[Account Withdrawl Amount] ], )</f>
        <v>0</v>
      </c>
      <c r="J88" s="129">
        <f>IF(Table40[[#This Row],[CODE]]=2, Table40[ [#This Row],[Account Deposit Amount] ]-Table40[ [#This Row],[Account Withdrawl Amount] ], )</f>
        <v>0</v>
      </c>
      <c r="K88" s="129">
        <f>IF(Table40[[#This Row],[CODE]]=3, Table40[ [#This Row],[Account Deposit Amount] ]-Table40[ [#This Row],[Account Withdrawl Amount] ], )</f>
        <v>0</v>
      </c>
      <c r="L88" s="128">
        <f>IF(Table40[[#This Row],[CODE]]=4, Table40[ [#This Row],[Account Deposit Amount] ]-Table40[ [#This Row],[Account Withdrawl Amount] ], )</f>
        <v>0</v>
      </c>
      <c r="M88" s="128">
        <f>IF(Table40[[#This Row],[CODE]]=5, Table40[ [#This Row],[Account Deposit Amount] ]-Table40[ [#This Row],[Account Withdrawl Amount] ], )</f>
        <v>0</v>
      </c>
      <c r="N88" s="128">
        <f>IF(Table40[[#This Row],[CODE]]=6, Table40[ [#This Row],[Account Deposit Amount] ]-Table40[ [#This Row],[Account Withdrawl Amount] ], )</f>
        <v>0</v>
      </c>
      <c r="O88" s="128">
        <f>IF(Table40[[#This Row],[CODE]]=11, Table40[ [#This Row],[Account Deposit Amount] ]-Table40[ [#This Row],[Account Withdrawl Amount] ], )</f>
        <v>0</v>
      </c>
      <c r="P88" s="128">
        <f>IF(Table40[[#This Row],[CODE]]=12, Table40[ [#This Row],[Account Deposit Amount] ]-Table40[ [#This Row],[Account Withdrawl Amount] ], )</f>
        <v>0</v>
      </c>
      <c r="Q88" s="128">
        <f>IF(Table40[[#This Row],[CODE]]=13, Table40[ [#This Row],[Account Deposit Amount] ]-Table40[ [#This Row],[Account Withdrawl Amount] ], )</f>
        <v>0</v>
      </c>
      <c r="R88" s="128">
        <f>IF(Table40[[#This Row],[CODE]]=14, Table40[ [#This Row],[Account Deposit Amount] ]-Table40[ [#This Row],[Account Withdrawl Amount] ], )</f>
        <v>0</v>
      </c>
      <c r="S88" s="128">
        <f>IF(Table40[[#This Row],[CODE]]=15, Table40[ [#This Row],[Account Deposit Amount] ]-Table40[ [#This Row],[Account Withdrawl Amount] ], )</f>
        <v>0</v>
      </c>
      <c r="T88" s="128">
        <f>IF(Table40[[#This Row],[CODE]]=16, Table40[ [#This Row],[Account Deposit Amount] ]-Table40[ [#This Row],[Account Withdrawl Amount] ], )</f>
        <v>0</v>
      </c>
      <c r="U88" s="127">
        <f>IF(Table40[[#This Row],[CODE]]=17, Table40[ [#This Row],[Account Deposit Amount] ]-Table40[ [#This Row],[Account Withdrawl Amount] ], )</f>
        <v>0</v>
      </c>
      <c r="V88" s="127">
        <f>IF(Table40[[#This Row],[CODE]]=17, Table40[ [#This Row],[Account Deposit Amount] ]-Table40[ [#This Row],[Account Withdrawl Amount] ], )</f>
        <v>0</v>
      </c>
    </row>
    <row r="89" spans="1:22" ht="16.2" thickBot="1">
      <c r="A89" s="130"/>
      <c r="B89" s="133"/>
      <c r="C89" s="130"/>
      <c r="D89" s="132"/>
      <c r="E89" s="128"/>
      <c r="F89" s="128"/>
      <c r="G89" s="131">
        <f t="shared" si="4"/>
        <v>18348.999999999993</v>
      </c>
      <c r="H89" s="130"/>
      <c r="I89" s="127">
        <f>IF(Table40[[#This Row],[CODE]]=1, Table40[ [#This Row],[Account Deposit Amount] ]-Table40[ [#This Row],[Account Withdrawl Amount] ], )</f>
        <v>0</v>
      </c>
      <c r="J89" s="129">
        <f>IF(Table40[[#This Row],[CODE]]=2, Table40[ [#This Row],[Account Deposit Amount] ]-Table40[ [#This Row],[Account Withdrawl Amount] ], )</f>
        <v>0</v>
      </c>
      <c r="K89" s="129">
        <f>IF(Table40[[#This Row],[CODE]]=3, Table40[ [#This Row],[Account Deposit Amount] ]-Table40[ [#This Row],[Account Withdrawl Amount] ], )</f>
        <v>0</v>
      </c>
      <c r="L89" s="128">
        <f>IF(Table40[[#This Row],[CODE]]=4, Table40[ [#This Row],[Account Deposit Amount] ]-Table40[ [#This Row],[Account Withdrawl Amount] ], )</f>
        <v>0</v>
      </c>
      <c r="M89" s="128">
        <f>IF(Table40[[#This Row],[CODE]]=5, Table40[ [#This Row],[Account Deposit Amount] ]-Table40[ [#This Row],[Account Withdrawl Amount] ], )</f>
        <v>0</v>
      </c>
      <c r="N89" s="128">
        <f>IF(Table40[[#This Row],[CODE]]=6, Table40[ [#This Row],[Account Deposit Amount] ]-Table40[ [#This Row],[Account Withdrawl Amount] ], )</f>
        <v>0</v>
      </c>
      <c r="O89" s="128">
        <f>IF(Table40[[#This Row],[CODE]]=11, Table40[ [#This Row],[Account Deposit Amount] ]-Table40[ [#This Row],[Account Withdrawl Amount] ], )</f>
        <v>0</v>
      </c>
      <c r="P89" s="128">
        <f>IF(Table40[[#This Row],[CODE]]=12, Table40[ [#This Row],[Account Deposit Amount] ]-Table40[ [#This Row],[Account Withdrawl Amount] ], )</f>
        <v>0</v>
      </c>
      <c r="Q89" s="128">
        <f>IF(Table40[[#This Row],[CODE]]=13, Table40[ [#This Row],[Account Deposit Amount] ]-Table40[ [#This Row],[Account Withdrawl Amount] ], )</f>
        <v>0</v>
      </c>
      <c r="R89" s="128">
        <f>IF(Table40[[#This Row],[CODE]]=14, Table40[ [#This Row],[Account Deposit Amount] ]-Table40[ [#This Row],[Account Withdrawl Amount] ], )</f>
        <v>0</v>
      </c>
      <c r="S89" s="128">
        <f>IF(Table40[[#This Row],[CODE]]=15, Table40[ [#This Row],[Account Deposit Amount] ]-Table40[ [#This Row],[Account Withdrawl Amount] ], )</f>
        <v>0</v>
      </c>
      <c r="T89" s="128">
        <f>IF(Table40[[#This Row],[CODE]]=16, Table40[ [#This Row],[Account Deposit Amount] ]-Table40[ [#This Row],[Account Withdrawl Amount] ], )</f>
        <v>0</v>
      </c>
      <c r="U89" s="127">
        <f>IF(Table40[[#This Row],[CODE]]=17, Table40[ [#This Row],[Account Deposit Amount] ]-Table40[ [#This Row],[Account Withdrawl Amount] ], )</f>
        <v>0</v>
      </c>
      <c r="V89" s="127">
        <f>IF(Table40[[#This Row],[CODE]]=17, Table40[ [#This Row],[Account Deposit Amount] ]-Table40[ [#This Row],[Account Withdrawl Amount] ], )</f>
        <v>0</v>
      </c>
    </row>
    <row r="90" spans="1:22" ht="16.2" thickBot="1">
      <c r="A90" s="130"/>
      <c r="B90" s="133"/>
      <c r="C90" s="130"/>
      <c r="D90" s="132"/>
      <c r="E90" s="128"/>
      <c r="F90" s="128"/>
      <c r="G90" s="131">
        <f t="shared" si="4"/>
        <v>18348.999999999993</v>
      </c>
      <c r="H90" s="130"/>
      <c r="I90" s="127">
        <f>IF(Table40[[#This Row],[CODE]]=1, Table40[ [#This Row],[Account Deposit Amount] ]-Table40[ [#This Row],[Account Withdrawl Amount] ], )</f>
        <v>0</v>
      </c>
      <c r="J90" s="129">
        <f>IF(Table40[[#This Row],[CODE]]=2, Table40[ [#This Row],[Account Deposit Amount] ]-Table40[ [#This Row],[Account Withdrawl Amount] ], )</f>
        <v>0</v>
      </c>
      <c r="K90" s="129">
        <f>IF(Table40[[#This Row],[CODE]]=3, Table40[ [#This Row],[Account Deposit Amount] ]-Table40[ [#This Row],[Account Withdrawl Amount] ], )</f>
        <v>0</v>
      </c>
      <c r="L90" s="128">
        <f>IF(Table40[[#This Row],[CODE]]=4, Table40[ [#This Row],[Account Deposit Amount] ]-Table40[ [#This Row],[Account Withdrawl Amount] ], )</f>
        <v>0</v>
      </c>
      <c r="M90" s="128">
        <f>IF(Table40[[#This Row],[CODE]]=5, Table40[ [#This Row],[Account Deposit Amount] ]-Table40[ [#This Row],[Account Withdrawl Amount] ], )</f>
        <v>0</v>
      </c>
      <c r="N90" s="128">
        <f>IF(Table40[[#This Row],[CODE]]=6, Table40[ [#This Row],[Account Deposit Amount] ]-Table40[ [#This Row],[Account Withdrawl Amount] ], )</f>
        <v>0</v>
      </c>
      <c r="O90" s="128">
        <f>IF(Table40[[#This Row],[CODE]]=11, Table40[ [#This Row],[Account Deposit Amount] ]-Table40[ [#This Row],[Account Withdrawl Amount] ], )</f>
        <v>0</v>
      </c>
      <c r="P90" s="128">
        <f>IF(Table40[[#This Row],[CODE]]=12, Table40[ [#This Row],[Account Deposit Amount] ]-Table40[ [#This Row],[Account Withdrawl Amount] ], )</f>
        <v>0</v>
      </c>
      <c r="Q90" s="128">
        <f>IF(Table40[[#This Row],[CODE]]=13, Table40[ [#This Row],[Account Deposit Amount] ]-Table40[ [#This Row],[Account Withdrawl Amount] ], )</f>
        <v>0</v>
      </c>
      <c r="R90" s="128">
        <f>IF(Table40[[#This Row],[CODE]]=14, Table40[ [#This Row],[Account Deposit Amount] ]-Table40[ [#This Row],[Account Withdrawl Amount] ], )</f>
        <v>0</v>
      </c>
      <c r="S90" s="128">
        <f>IF(Table40[[#This Row],[CODE]]=15, Table40[ [#This Row],[Account Deposit Amount] ]-Table40[ [#This Row],[Account Withdrawl Amount] ], )</f>
        <v>0</v>
      </c>
      <c r="T90" s="128">
        <f>IF(Table40[[#This Row],[CODE]]=16, Table40[ [#This Row],[Account Deposit Amount] ]-Table40[ [#This Row],[Account Withdrawl Amount] ], )</f>
        <v>0</v>
      </c>
      <c r="U90" s="127">
        <f>IF(Table40[[#This Row],[CODE]]=17, Table40[ [#This Row],[Account Deposit Amount] ]-Table40[ [#This Row],[Account Withdrawl Amount] ], )</f>
        <v>0</v>
      </c>
      <c r="V90" s="127">
        <f>IF(Table40[[#This Row],[CODE]]=17, Table40[ [#This Row],[Account Deposit Amount] ]-Table40[ [#This Row],[Account Withdrawl Amount] ], )</f>
        <v>0</v>
      </c>
    </row>
    <row r="91" spans="1:22" ht="16.2" thickBot="1">
      <c r="A91" s="130"/>
      <c r="B91" s="133"/>
      <c r="C91" s="130"/>
      <c r="D91" s="132"/>
      <c r="E91" s="128"/>
      <c r="F91" s="128"/>
      <c r="G91" s="131">
        <f t="shared" si="4"/>
        <v>18348.999999999993</v>
      </c>
      <c r="H91" s="130"/>
      <c r="I91" s="127">
        <f>IF(Table40[[#This Row],[CODE]]=1, Table40[ [#This Row],[Account Deposit Amount] ]-Table40[ [#This Row],[Account Withdrawl Amount] ], )</f>
        <v>0</v>
      </c>
      <c r="J91" s="129">
        <f>IF(Table40[[#This Row],[CODE]]=2, Table40[ [#This Row],[Account Deposit Amount] ]-Table40[ [#This Row],[Account Withdrawl Amount] ], )</f>
        <v>0</v>
      </c>
      <c r="K91" s="129">
        <f>IF(Table40[[#This Row],[CODE]]=3, Table40[ [#This Row],[Account Deposit Amount] ]-Table40[ [#This Row],[Account Withdrawl Amount] ], )</f>
        <v>0</v>
      </c>
      <c r="L91" s="128">
        <f>IF(Table40[[#This Row],[CODE]]=4, Table40[ [#This Row],[Account Deposit Amount] ]-Table40[ [#This Row],[Account Withdrawl Amount] ], )</f>
        <v>0</v>
      </c>
      <c r="M91" s="128">
        <f>IF(Table40[[#This Row],[CODE]]=5, Table40[ [#This Row],[Account Deposit Amount] ]-Table40[ [#This Row],[Account Withdrawl Amount] ], )</f>
        <v>0</v>
      </c>
      <c r="N91" s="128">
        <f>IF(Table40[[#This Row],[CODE]]=6, Table40[ [#This Row],[Account Deposit Amount] ]-Table40[ [#This Row],[Account Withdrawl Amount] ], )</f>
        <v>0</v>
      </c>
      <c r="O91" s="128">
        <f>IF(Table40[[#This Row],[CODE]]=11, Table40[ [#This Row],[Account Deposit Amount] ]-Table40[ [#This Row],[Account Withdrawl Amount] ], )</f>
        <v>0</v>
      </c>
      <c r="P91" s="128">
        <f>IF(Table40[[#This Row],[CODE]]=12, Table40[ [#This Row],[Account Deposit Amount] ]-Table40[ [#This Row],[Account Withdrawl Amount] ], )</f>
        <v>0</v>
      </c>
      <c r="Q91" s="128">
        <f>IF(Table40[[#This Row],[CODE]]=13, Table40[ [#This Row],[Account Deposit Amount] ]-Table40[ [#This Row],[Account Withdrawl Amount] ], )</f>
        <v>0</v>
      </c>
      <c r="R91" s="128">
        <f>IF(Table40[[#This Row],[CODE]]=14, Table40[ [#This Row],[Account Deposit Amount] ]-Table40[ [#This Row],[Account Withdrawl Amount] ], )</f>
        <v>0</v>
      </c>
      <c r="S91" s="128">
        <f>IF(Table40[[#This Row],[CODE]]=15, Table40[ [#This Row],[Account Deposit Amount] ]-Table40[ [#This Row],[Account Withdrawl Amount] ], )</f>
        <v>0</v>
      </c>
      <c r="T91" s="128">
        <f>IF(Table40[[#This Row],[CODE]]=16, Table40[ [#This Row],[Account Deposit Amount] ]-Table40[ [#This Row],[Account Withdrawl Amount] ], )</f>
        <v>0</v>
      </c>
      <c r="U91" s="127">
        <f>IF(Table40[[#This Row],[CODE]]=17, Table40[ [#This Row],[Account Deposit Amount] ]-Table40[ [#This Row],[Account Withdrawl Amount] ], )</f>
        <v>0</v>
      </c>
      <c r="V91" s="127">
        <f>IF(Table40[[#This Row],[CODE]]=17, Table40[ [#This Row],[Account Deposit Amount] ]-Table40[ [#This Row],[Account Withdrawl Amount] ], )</f>
        <v>0</v>
      </c>
    </row>
    <row r="92" spans="1:22" ht="16.2" thickBot="1">
      <c r="A92" s="130"/>
      <c r="B92" s="133"/>
      <c r="C92" s="130"/>
      <c r="D92" s="132"/>
      <c r="E92" s="128"/>
      <c r="F92" s="128"/>
      <c r="G92" s="131">
        <f t="shared" si="4"/>
        <v>18348.999999999993</v>
      </c>
      <c r="H92" s="130"/>
      <c r="I92" s="127">
        <f>IF(Table40[[#This Row],[CODE]]=1, Table40[ [#This Row],[Account Deposit Amount] ]-Table40[ [#This Row],[Account Withdrawl Amount] ], )</f>
        <v>0</v>
      </c>
      <c r="J92" s="129">
        <f>IF(Table40[[#This Row],[CODE]]=2, Table40[ [#This Row],[Account Deposit Amount] ]-Table40[ [#This Row],[Account Withdrawl Amount] ], )</f>
        <v>0</v>
      </c>
      <c r="K92" s="129">
        <f>IF(Table40[[#This Row],[CODE]]=3, Table40[ [#This Row],[Account Deposit Amount] ]-Table40[ [#This Row],[Account Withdrawl Amount] ], )</f>
        <v>0</v>
      </c>
      <c r="L92" s="128">
        <f>IF(Table40[[#This Row],[CODE]]=4, Table40[ [#This Row],[Account Deposit Amount] ]-Table40[ [#This Row],[Account Withdrawl Amount] ], )</f>
        <v>0</v>
      </c>
      <c r="M92" s="128">
        <f>IF(Table40[[#This Row],[CODE]]=5, Table40[ [#This Row],[Account Deposit Amount] ]-Table40[ [#This Row],[Account Withdrawl Amount] ], )</f>
        <v>0</v>
      </c>
      <c r="N92" s="128">
        <f>IF(Table40[[#This Row],[CODE]]=6, Table40[ [#This Row],[Account Deposit Amount] ]-Table40[ [#This Row],[Account Withdrawl Amount] ], )</f>
        <v>0</v>
      </c>
      <c r="O92" s="128">
        <f>IF(Table40[[#This Row],[CODE]]=11, Table40[ [#This Row],[Account Deposit Amount] ]-Table40[ [#This Row],[Account Withdrawl Amount] ], )</f>
        <v>0</v>
      </c>
      <c r="P92" s="128">
        <f>IF(Table40[[#This Row],[CODE]]=12, Table40[ [#This Row],[Account Deposit Amount] ]-Table40[ [#This Row],[Account Withdrawl Amount] ], )</f>
        <v>0</v>
      </c>
      <c r="Q92" s="128">
        <f>IF(Table40[[#This Row],[CODE]]=13, Table40[ [#This Row],[Account Deposit Amount] ]-Table40[ [#This Row],[Account Withdrawl Amount] ], )</f>
        <v>0</v>
      </c>
      <c r="R92" s="128">
        <f>IF(Table40[[#This Row],[CODE]]=14, Table40[ [#This Row],[Account Deposit Amount] ]-Table40[ [#This Row],[Account Withdrawl Amount] ], )</f>
        <v>0</v>
      </c>
      <c r="S92" s="128">
        <f>IF(Table40[[#This Row],[CODE]]=15, Table40[ [#This Row],[Account Deposit Amount] ]-Table40[ [#This Row],[Account Withdrawl Amount] ], )</f>
        <v>0</v>
      </c>
      <c r="T92" s="128">
        <f>IF(Table40[[#This Row],[CODE]]=16, Table40[ [#This Row],[Account Deposit Amount] ]-Table40[ [#This Row],[Account Withdrawl Amount] ], )</f>
        <v>0</v>
      </c>
      <c r="U92" s="127">
        <f>IF(Table40[[#This Row],[CODE]]=17, Table40[ [#This Row],[Account Deposit Amount] ]-Table40[ [#This Row],[Account Withdrawl Amount] ], )</f>
        <v>0</v>
      </c>
      <c r="V92" s="127">
        <f>IF(Table40[[#This Row],[CODE]]=17, Table40[ [#This Row],[Account Deposit Amount] ]-Table40[ [#This Row],[Account Withdrawl Amount] ], )</f>
        <v>0</v>
      </c>
    </row>
    <row r="93" spans="1:22" ht="16.2" thickBot="1">
      <c r="A93" s="130"/>
      <c r="B93" s="133"/>
      <c r="C93" s="130"/>
      <c r="D93" s="132"/>
      <c r="E93" s="128"/>
      <c r="F93" s="128"/>
      <c r="G93" s="131">
        <f t="shared" si="4"/>
        <v>18348.999999999993</v>
      </c>
      <c r="H93" s="130"/>
      <c r="I93" s="127">
        <f>IF(Table40[[#This Row],[CODE]]=1, Table40[ [#This Row],[Account Deposit Amount] ]-Table40[ [#This Row],[Account Withdrawl Amount] ], )</f>
        <v>0</v>
      </c>
      <c r="J93" s="129">
        <f>IF(Table40[[#This Row],[CODE]]=2, Table40[ [#This Row],[Account Deposit Amount] ]-Table40[ [#This Row],[Account Withdrawl Amount] ], )</f>
        <v>0</v>
      </c>
      <c r="K93" s="129">
        <f>IF(Table40[[#This Row],[CODE]]=3, Table40[ [#This Row],[Account Deposit Amount] ]-Table40[ [#This Row],[Account Withdrawl Amount] ], )</f>
        <v>0</v>
      </c>
      <c r="L93" s="128">
        <f>IF(Table40[[#This Row],[CODE]]=4, Table40[ [#This Row],[Account Deposit Amount] ]-Table40[ [#This Row],[Account Withdrawl Amount] ], )</f>
        <v>0</v>
      </c>
      <c r="M93" s="128">
        <f>IF(Table40[[#This Row],[CODE]]=5, Table40[ [#This Row],[Account Deposit Amount] ]-Table40[ [#This Row],[Account Withdrawl Amount] ], )</f>
        <v>0</v>
      </c>
      <c r="N93" s="128">
        <f>IF(Table40[[#This Row],[CODE]]=6, Table40[ [#This Row],[Account Deposit Amount] ]-Table40[ [#This Row],[Account Withdrawl Amount] ], )</f>
        <v>0</v>
      </c>
      <c r="O93" s="128">
        <f>IF(Table40[[#This Row],[CODE]]=11, Table40[ [#This Row],[Account Deposit Amount] ]-Table40[ [#This Row],[Account Withdrawl Amount] ], )</f>
        <v>0</v>
      </c>
      <c r="P93" s="128">
        <f>IF(Table40[[#This Row],[CODE]]=12, Table40[ [#This Row],[Account Deposit Amount] ]-Table40[ [#This Row],[Account Withdrawl Amount] ], )</f>
        <v>0</v>
      </c>
      <c r="Q93" s="128">
        <f>IF(Table40[[#This Row],[CODE]]=13, Table40[ [#This Row],[Account Deposit Amount] ]-Table40[ [#This Row],[Account Withdrawl Amount] ], )</f>
        <v>0</v>
      </c>
      <c r="R93" s="128">
        <f>IF(Table40[[#This Row],[CODE]]=14, Table40[ [#This Row],[Account Deposit Amount] ]-Table40[ [#This Row],[Account Withdrawl Amount] ], )</f>
        <v>0</v>
      </c>
      <c r="S93" s="128">
        <f>IF(Table40[[#This Row],[CODE]]=15, Table40[ [#This Row],[Account Deposit Amount] ]-Table40[ [#This Row],[Account Withdrawl Amount] ], )</f>
        <v>0</v>
      </c>
      <c r="T93" s="128">
        <f>IF(Table40[[#This Row],[CODE]]=16, Table40[ [#This Row],[Account Deposit Amount] ]-Table40[ [#This Row],[Account Withdrawl Amount] ], )</f>
        <v>0</v>
      </c>
      <c r="U93" s="127">
        <f>IF(Table40[[#This Row],[CODE]]=17, Table40[ [#This Row],[Account Deposit Amount] ]-Table40[ [#This Row],[Account Withdrawl Amount] ], )</f>
        <v>0</v>
      </c>
      <c r="V93" s="127">
        <f>IF(Table40[[#This Row],[CODE]]=17, Table40[ [#This Row],[Account Deposit Amount] ]-Table40[ [#This Row],[Account Withdrawl Amount] ], )</f>
        <v>0</v>
      </c>
    </row>
    <row r="94" spans="1:22" ht="16.2" thickBot="1">
      <c r="A94" s="130"/>
      <c r="B94" s="133"/>
      <c r="C94" s="130"/>
      <c r="D94" s="132"/>
      <c r="E94" s="128"/>
      <c r="F94" s="128"/>
      <c r="G94" s="131">
        <f t="shared" si="4"/>
        <v>18348.999999999993</v>
      </c>
      <c r="H94" s="130"/>
      <c r="I94" s="127">
        <f>IF(Table40[[#This Row],[CODE]]=1, Table40[ [#This Row],[Account Deposit Amount] ]-Table40[ [#This Row],[Account Withdrawl Amount] ], )</f>
        <v>0</v>
      </c>
      <c r="J94" s="129">
        <f>IF(Table40[[#This Row],[CODE]]=2, Table40[ [#This Row],[Account Deposit Amount] ]-Table40[ [#This Row],[Account Withdrawl Amount] ], )</f>
        <v>0</v>
      </c>
      <c r="K94" s="129">
        <f>IF(Table40[[#This Row],[CODE]]=3, Table40[ [#This Row],[Account Deposit Amount] ]-Table40[ [#This Row],[Account Withdrawl Amount] ], )</f>
        <v>0</v>
      </c>
      <c r="L94" s="128">
        <f>IF(Table40[[#This Row],[CODE]]=4, Table40[ [#This Row],[Account Deposit Amount] ]-Table40[ [#This Row],[Account Withdrawl Amount] ], )</f>
        <v>0</v>
      </c>
      <c r="M94" s="128">
        <f>IF(Table40[[#This Row],[CODE]]=5, Table40[ [#This Row],[Account Deposit Amount] ]-Table40[ [#This Row],[Account Withdrawl Amount] ], )</f>
        <v>0</v>
      </c>
      <c r="N94" s="128">
        <f>IF(Table40[[#This Row],[CODE]]=6, Table40[ [#This Row],[Account Deposit Amount] ]-Table40[ [#This Row],[Account Withdrawl Amount] ], )</f>
        <v>0</v>
      </c>
      <c r="O94" s="128">
        <f>IF(Table40[[#This Row],[CODE]]=11, Table40[ [#This Row],[Account Deposit Amount] ]-Table40[ [#This Row],[Account Withdrawl Amount] ], )</f>
        <v>0</v>
      </c>
      <c r="P94" s="128">
        <f>IF(Table40[[#This Row],[CODE]]=12, Table40[ [#This Row],[Account Deposit Amount] ]-Table40[ [#This Row],[Account Withdrawl Amount] ], )</f>
        <v>0</v>
      </c>
      <c r="Q94" s="128">
        <f>IF(Table40[[#This Row],[CODE]]=13, Table40[ [#This Row],[Account Deposit Amount] ]-Table40[ [#This Row],[Account Withdrawl Amount] ], )</f>
        <v>0</v>
      </c>
      <c r="R94" s="128">
        <f>IF(Table40[[#This Row],[CODE]]=14, Table40[ [#This Row],[Account Deposit Amount] ]-Table40[ [#This Row],[Account Withdrawl Amount] ], )</f>
        <v>0</v>
      </c>
      <c r="S94" s="128">
        <f>IF(Table40[[#This Row],[CODE]]=15, Table40[ [#This Row],[Account Deposit Amount] ]-Table40[ [#This Row],[Account Withdrawl Amount] ], )</f>
        <v>0</v>
      </c>
      <c r="T94" s="128">
        <f>IF(Table40[[#This Row],[CODE]]=16, Table40[ [#This Row],[Account Deposit Amount] ]-Table40[ [#This Row],[Account Withdrawl Amount] ], )</f>
        <v>0</v>
      </c>
      <c r="U94" s="127">
        <f>IF(Table40[[#This Row],[CODE]]=17, Table40[ [#This Row],[Account Deposit Amount] ]-Table40[ [#This Row],[Account Withdrawl Amount] ], )</f>
        <v>0</v>
      </c>
      <c r="V94" s="127">
        <f>IF(Table40[[#This Row],[CODE]]=17, Table40[ [#This Row],[Account Deposit Amount] ]-Table40[ [#This Row],[Account Withdrawl Amount] ], )</f>
        <v>0</v>
      </c>
    </row>
    <row r="95" spans="1:22" ht="16.2" thickBot="1">
      <c r="A95" s="130"/>
      <c r="B95" s="133"/>
      <c r="C95" s="130"/>
      <c r="D95" s="132"/>
      <c r="E95" s="128"/>
      <c r="F95" s="128"/>
      <c r="G95" s="131">
        <f t="shared" si="4"/>
        <v>18348.999999999993</v>
      </c>
      <c r="H95" s="130"/>
      <c r="I95" s="127">
        <f>IF(Table40[[#This Row],[CODE]]=1, Table40[ [#This Row],[Account Deposit Amount] ]-Table40[ [#This Row],[Account Withdrawl Amount] ], )</f>
        <v>0</v>
      </c>
      <c r="J95" s="129">
        <f>IF(Table40[[#This Row],[CODE]]=2, Table40[ [#This Row],[Account Deposit Amount] ]-Table40[ [#This Row],[Account Withdrawl Amount] ], )</f>
        <v>0</v>
      </c>
      <c r="K95" s="129">
        <f>IF(Table40[[#This Row],[CODE]]=3, Table40[ [#This Row],[Account Deposit Amount] ]-Table40[ [#This Row],[Account Withdrawl Amount] ], )</f>
        <v>0</v>
      </c>
      <c r="L95" s="128">
        <f>IF(Table40[[#This Row],[CODE]]=4, Table40[ [#This Row],[Account Deposit Amount] ]-Table40[ [#This Row],[Account Withdrawl Amount] ], )</f>
        <v>0</v>
      </c>
      <c r="M95" s="128">
        <f>IF(Table40[[#This Row],[CODE]]=5, Table40[ [#This Row],[Account Deposit Amount] ]-Table40[ [#This Row],[Account Withdrawl Amount] ], )</f>
        <v>0</v>
      </c>
      <c r="N95" s="128">
        <f>IF(Table40[[#This Row],[CODE]]=6, Table40[ [#This Row],[Account Deposit Amount] ]-Table40[ [#This Row],[Account Withdrawl Amount] ], )</f>
        <v>0</v>
      </c>
      <c r="O95" s="128">
        <f>IF(Table40[[#This Row],[CODE]]=11, Table40[ [#This Row],[Account Deposit Amount] ]-Table40[ [#This Row],[Account Withdrawl Amount] ], )</f>
        <v>0</v>
      </c>
      <c r="P95" s="128">
        <f>IF(Table40[[#This Row],[CODE]]=12, Table40[ [#This Row],[Account Deposit Amount] ]-Table40[ [#This Row],[Account Withdrawl Amount] ], )</f>
        <v>0</v>
      </c>
      <c r="Q95" s="128">
        <f>IF(Table40[[#This Row],[CODE]]=13, Table40[ [#This Row],[Account Deposit Amount] ]-Table40[ [#This Row],[Account Withdrawl Amount] ], )</f>
        <v>0</v>
      </c>
      <c r="R95" s="128">
        <f>IF(Table40[[#This Row],[CODE]]=14, Table40[ [#This Row],[Account Deposit Amount] ]-Table40[ [#This Row],[Account Withdrawl Amount] ], )</f>
        <v>0</v>
      </c>
      <c r="S95" s="128">
        <f>IF(Table40[[#This Row],[CODE]]=15, Table40[ [#This Row],[Account Deposit Amount] ]-Table40[ [#This Row],[Account Withdrawl Amount] ], )</f>
        <v>0</v>
      </c>
      <c r="T95" s="128">
        <f>IF(Table40[[#This Row],[CODE]]=16, Table40[ [#This Row],[Account Deposit Amount] ]-Table40[ [#This Row],[Account Withdrawl Amount] ], )</f>
        <v>0</v>
      </c>
      <c r="U95" s="127">
        <f>IF(Table40[[#This Row],[CODE]]=17, Table40[ [#This Row],[Account Deposit Amount] ]-Table40[ [#This Row],[Account Withdrawl Amount] ], )</f>
        <v>0</v>
      </c>
      <c r="V95" s="127">
        <f>IF(Table40[[#This Row],[CODE]]=17, Table40[ [#This Row],[Account Deposit Amount] ]-Table40[ [#This Row],[Account Withdrawl Amount] ], )</f>
        <v>0</v>
      </c>
    </row>
    <row r="96" spans="1:22" ht="16.2" thickBot="1">
      <c r="A96" s="130"/>
      <c r="B96" s="133"/>
      <c r="C96" s="130"/>
      <c r="D96" s="132"/>
      <c r="E96" s="128"/>
      <c r="F96" s="128"/>
      <c r="G96" s="131">
        <f t="shared" si="4"/>
        <v>18348.999999999993</v>
      </c>
      <c r="H96" s="130"/>
      <c r="I96" s="127">
        <f>IF(Table40[[#This Row],[CODE]]=1, Table40[ [#This Row],[Account Deposit Amount] ]-Table40[ [#This Row],[Account Withdrawl Amount] ], )</f>
        <v>0</v>
      </c>
      <c r="J96" s="129">
        <f>IF(Table40[[#This Row],[CODE]]=2, Table40[ [#This Row],[Account Deposit Amount] ]-Table40[ [#This Row],[Account Withdrawl Amount] ], )</f>
        <v>0</v>
      </c>
      <c r="K96" s="129">
        <f>IF(Table40[[#This Row],[CODE]]=3, Table40[ [#This Row],[Account Deposit Amount] ]-Table40[ [#This Row],[Account Withdrawl Amount] ], )</f>
        <v>0</v>
      </c>
      <c r="L96" s="128">
        <f>IF(Table40[[#This Row],[CODE]]=4, Table40[ [#This Row],[Account Deposit Amount] ]-Table40[ [#This Row],[Account Withdrawl Amount] ], )</f>
        <v>0</v>
      </c>
      <c r="M96" s="128">
        <f>IF(Table40[[#This Row],[CODE]]=5, Table40[ [#This Row],[Account Deposit Amount] ]-Table40[ [#This Row],[Account Withdrawl Amount] ], )</f>
        <v>0</v>
      </c>
      <c r="N96" s="128">
        <f>IF(Table40[[#This Row],[CODE]]=6, Table40[ [#This Row],[Account Deposit Amount] ]-Table40[ [#This Row],[Account Withdrawl Amount] ], )</f>
        <v>0</v>
      </c>
      <c r="O96" s="128">
        <f>IF(Table40[[#This Row],[CODE]]=11, Table40[ [#This Row],[Account Deposit Amount] ]-Table40[ [#This Row],[Account Withdrawl Amount] ], )</f>
        <v>0</v>
      </c>
      <c r="P96" s="128">
        <f>IF(Table40[[#This Row],[CODE]]=12, Table40[ [#This Row],[Account Deposit Amount] ]-Table40[ [#This Row],[Account Withdrawl Amount] ], )</f>
        <v>0</v>
      </c>
      <c r="Q96" s="128">
        <f>IF(Table40[[#This Row],[CODE]]=13, Table40[ [#This Row],[Account Deposit Amount] ]-Table40[ [#This Row],[Account Withdrawl Amount] ], )</f>
        <v>0</v>
      </c>
      <c r="R96" s="128">
        <f>IF(Table40[[#This Row],[CODE]]=14, Table40[ [#This Row],[Account Deposit Amount] ]-Table40[ [#This Row],[Account Withdrawl Amount] ], )</f>
        <v>0</v>
      </c>
      <c r="S96" s="128">
        <f>IF(Table40[[#This Row],[CODE]]=15, Table40[ [#This Row],[Account Deposit Amount] ]-Table40[ [#This Row],[Account Withdrawl Amount] ], )</f>
        <v>0</v>
      </c>
      <c r="T96" s="128">
        <f>IF(Table40[[#This Row],[CODE]]=16, Table40[ [#This Row],[Account Deposit Amount] ]-Table40[ [#This Row],[Account Withdrawl Amount] ], )</f>
        <v>0</v>
      </c>
      <c r="U96" s="127">
        <f>IF(Table40[[#This Row],[CODE]]=17, Table40[ [#This Row],[Account Deposit Amount] ]-Table40[ [#This Row],[Account Withdrawl Amount] ], )</f>
        <v>0</v>
      </c>
      <c r="V96" s="127">
        <f>IF(Table40[[#This Row],[CODE]]=17, Table40[ [#This Row],[Account Deposit Amount] ]-Table40[ [#This Row],[Account Withdrawl Amount] ], )</f>
        <v>0</v>
      </c>
    </row>
    <row r="97" spans="1:22" ht="16.2" thickBot="1">
      <c r="A97" s="130"/>
      <c r="B97" s="133"/>
      <c r="C97" s="130"/>
      <c r="D97" s="132"/>
      <c r="E97" s="128"/>
      <c r="F97" s="128"/>
      <c r="G97" s="131">
        <f t="shared" si="4"/>
        <v>18348.999999999993</v>
      </c>
      <c r="H97" s="130"/>
      <c r="I97" s="127">
        <f>IF(Table40[[#This Row],[CODE]]=1, Table40[ [#This Row],[Account Deposit Amount] ]-Table40[ [#This Row],[Account Withdrawl Amount] ], )</f>
        <v>0</v>
      </c>
      <c r="J97" s="129">
        <f>IF(Table40[[#This Row],[CODE]]=2, Table40[ [#This Row],[Account Deposit Amount] ]-Table40[ [#This Row],[Account Withdrawl Amount] ], )</f>
        <v>0</v>
      </c>
      <c r="K97" s="129">
        <f>IF(Table40[[#This Row],[CODE]]=3, Table40[ [#This Row],[Account Deposit Amount] ]-Table40[ [#This Row],[Account Withdrawl Amount] ], )</f>
        <v>0</v>
      </c>
      <c r="L97" s="128">
        <f>IF(Table40[[#This Row],[CODE]]=4, Table40[ [#This Row],[Account Deposit Amount] ]-Table40[ [#This Row],[Account Withdrawl Amount] ], )</f>
        <v>0</v>
      </c>
      <c r="M97" s="128">
        <f>IF(Table40[[#This Row],[CODE]]=5, Table40[ [#This Row],[Account Deposit Amount] ]-Table40[ [#This Row],[Account Withdrawl Amount] ], )</f>
        <v>0</v>
      </c>
      <c r="N97" s="128">
        <f>IF(Table40[[#This Row],[CODE]]=6, Table40[ [#This Row],[Account Deposit Amount] ]-Table40[ [#This Row],[Account Withdrawl Amount] ], )</f>
        <v>0</v>
      </c>
      <c r="O97" s="128">
        <f>IF(Table40[[#This Row],[CODE]]=11, Table40[ [#This Row],[Account Deposit Amount] ]-Table40[ [#This Row],[Account Withdrawl Amount] ], )</f>
        <v>0</v>
      </c>
      <c r="P97" s="128">
        <f>IF(Table40[[#This Row],[CODE]]=12, Table40[ [#This Row],[Account Deposit Amount] ]-Table40[ [#This Row],[Account Withdrawl Amount] ], )</f>
        <v>0</v>
      </c>
      <c r="Q97" s="128">
        <f>IF(Table40[[#This Row],[CODE]]=13, Table40[ [#This Row],[Account Deposit Amount] ]-Table40[ [#This Row],[Account Withdrawl Amount] ], )</f>
        <v>0</v>
      </c>
      <c r="R97" s="128">
        <f>IF(Table40[[#This Row],[CODE]]=14, Table40[ [#This Row],[Account Deposit Amount] ]-Table40[ [#This Row],[Account Withdrawl Amount] ], )</f>
        <v>0</v>
      </c>
      <c r="S97" s="128">
        <f>IF(Table40[[#This Row],[CODE]]=15, Table40[ [#This Row],[Account Deposit Amount] ]-Table40[ [#This Row],[Account Withdrawl Amount] ], )</f>
        <v>0</v>
      </c>
      <c r="T97" s="128">
        <f>IF(Table40[[#This Row],[CODE]]=16, Table40[ [#This Row],[Account Deposit Amount] ]-Table40[ [#This Row],[Account Withdrawl Amount] ], )</f>
        <v>0</v>
      </c>
      <c r="U97" s="127">
        <f>IF(Table40[[#This Row],[CODE]]=17, Table40[ [#This Row],[Account Deposit Amount] ]-Table40[ [#This Row],[Account Withdrawl Amount] ], )</f>
        <v>0</v>
      </c>
      <c r="V97" s="127">
        <f>IF(Table40[[#This Row],[CODE]]=17, Table40[ [#This Row],[Account Deposit Amount] ]-Table40[ [#This Row],[Account Withdrawl Amount] ], )</f>
        <v>0</v>
      </c>
    </row>
    <row r="98" spans="1:22" ht="16.2" thickBot="1">
      <c r="A98" s="130"/>
      <c r="B98" s="133"/>
      <c r="C98" s="130"/>
      <c r="D98" s="132"/>
      <c r="E98" s="128"/>
      <c r="F98" s="128"/>
      <c r="G98" s="131">
        <f t="shared" si="4"/>
        <v>18348.999999999993</v>
      </c>
      <c r="H98" s="130"/>
      <c r="I98" s="127">
        <f>IF(Table40[[#This Row],[CODE]]=1, Table40[ [#This Row],[Account Deposit Amount] ]-Table40[ [#This Row],[Account Withdrawl Amount] ], )</f>
        <v>0</v>
      </c>
      <c r="J98" s="129">
        <f>IF(Table40[[#This Row],[CODE]]=2, Table40[ [#This Row],[Account Deposit Amount] ]-Table40[ [#This Row],[Account Withdrawl Amount] ], )</f>
        <v>0</v>
      </c>
      <c r="K98" s="129">
        <f>IF(Table40[[#This Row],[CODE]]=3, Table40[ [#This Row],[Account Deposit Amount] ]-Table40[ [#This Row],[Account Withdrawl Amount] ], )</f>
        <v>0</v>
      </c>
      <c r="L98" s="128">
        <f>IF(Table40[[#This Row],[CODE]]=4, Table40[ [#This Row],[Account Deposit Amount] ]-Table40[ [#This Row],[Account Withdrawl Amount] ], )</f>
        <v>0</v>
      </c>
      <c r="M98" s="128">
        <f>IF(Table40[[#This Row],[CODE]]=5, Table40[ [#This Row],[Account Deposit Amount] ]-Table40[ [#This Row],[Account Withdrawl Amount] ], )</f>
        <v>0</v>
      </c>
      <c r="N98" s="128">
        <f>IF(Table40[[#This Row],[CODE]]=6, Table40[ [#This Row],[Account Deposit Amount] ]-Table40[ [#This Row],[Account Withdrawl Amount] ], )</f>
        <v>0</v>
      </c>
      <c r="O98" s="128">
        <f>IF(Table40[[#This Row],[CODE]]=11, Table40[ [#This Row],[Account Deposit Amount] ]-Table40[ [#This Row],[Account Withdrawl Amount] ], )</f>
        <v>0</v>
      </c>
      <c r="P98" s="128">
        <f>IF(Table40[[#This Row],[CODE]]=12, Table40[ [#This Row],[Account Deposit Amount] ]-Table40[ [#This Row],[Account Withdrawl Amount] ], )</f>
        <v>0</v>
      </c>
      <c r="Q98" s="128">
        <f>IF(Table40[[#This Row],[CODE]]=13, Table40[ [#This Row],[Account Deposit Amount] ]-Table40[ [#This Row],[Account Withdrawl Amount] ], )</f>
        <v>0</v>
      </c>
      <c r="R98" s="128">
        <f>IF(Table40[[#This Row],[CODE]]=14, Table40[ [#This Row],[Account Deposit Amount] ]-Table40[ [#This Row],[Account Withdrawl Amount] ], )</f>
        <v>0</v>
      </c>
      <c r="S98" s="128">
        <f>IF(Table40[[#This Row],[CODE]]=15, Table40[ [#This Row],[Account Deposit Amount] ]-Table40[ [#This Row],[Account Withdrawl Amount] ], )</f>
        <v>0</v>
      </c>
      <c r="T98" s="128">
        <f>IF(Table40[[#This Row],[CODE]]=16, Table40[ [#This Row],[Account Deposit Amount] ]-Table40[ [#This Row],[Account Withdrawl Amount] ], )</f>
        <v>0</v>
      </c>
      <c r="U98" s="127">
        <f>IF(Table40[[#This Row],[CODE]]=17, Table40[ [#This Row],[Account Deposit Amount] ]-Table40[ [#This Row],[Account Withdrawl Amount] ], )</f>
        <v>0</v>
      </c>
      <c r="V98" s="127">
        <f>IF(Table40[[#This Row],[CODE]]=17, Table40[ [#This Row],[Account Deposit Amount] ]-Table40[ [#This Row],[Account Withdrawl Amount] ], )</f>
        <v>0</v>
      </c>
    </row>
    <row r="99" spans="1:22" ht="16.2" thickBot="1">
      <c r="A99" s="130"/>
      <c r="B99" s="133"/>
      <c r="C99" s="130"/>
      <c r="D99" s="132"/>
      <c r="E99" s="128"/>
      <c r="F99" s="128"/>
      <c r="G99" s="131">
        <f t="shared" si="4"/>
        <v>18348.999999999993</v>
      </c>
      <c r="H99" s="130"/>
      <c r="I99" s="127">
        <f>IF(Table40[[#This Row],[CODE]]=1, Table40[ [#This Row],[Account Deposit Amount] ]-Table40[ [#This Row],[Account Withdrawl Amount] ], )</f>
        <v>0</v>
      </c>
      <c r="J99" s="129">
        <f>IF(Table40[[#This Row],[CODE]]=2, Table40[ [#This Row],[Account Deposit Amount] ]-Table40[ [#This Row],[Account Withdrawl Amount] ], )</f>
        <v>0</v>
      </c>
      <c r="K99" s="129">
        <f>IF(Table40[[#This Row],[CODE]]=3, Table40[ [#This Row],[Account Deposit Amount] ]-Table40[ [#This Row],[Account Withdrawl Amount] ], )</f>
        <v>0</v>
      </c>
      <c r="L99" s="128">
        <f>IF(Table40[[#This Row],[CODE]]=4, Table40[ [#This Row],[Account Deposit Amount] ]-Table40[ [#This Row],[Account Withdrawl Amount] ], )</f>
        <v>0</v>
      </c>
      <c r="M99" s="128">
        <f>IF(Table40[[#This Row],[CODE]]=5, Table40[ [#This Row],[Account Deposit Amount] ]-Table40[ [#This Row],[Account Withdrawl Amount] ], )</f>
        <v>0</v>
      </c>
      <c r="N99" s="128">
        <f>IF(Table40[[#This Row],[CODE]]=6, Table40[ [#This Row],[Account Deposit Amount] ]-Table40[ [#This Row],[Account Withdrawl Amount] ], )</f>
        <v>0</v>
      </c>
      <c r="O99" s="128">
        <f>IF(Table40[[#This Row],[CODE]]=11, Table40[ [#This Row],[Account Deposit Amount] ]-Table40[ [#This Row],[Account Withdrawl Amount] ], )</f>
        <v>0</v>
      </c>
      <c r="P99" s="128">
        <f>IF(Table40[[#This Row],[CODE]]=12, Table40[ [#This Row],[Account Deposit Amount] ]-Table40[ [#This Row],[Account Withdrawl Amount] ], )</f>
        <v>0</v>
      </c>
      <c r="Q99" s="128">
        <f>IF(Table40[[#This Row],[CODE]]=13, Table40[ [#This Row],[Account Deposit Amount] ]-Table40[ [#This Row],[Account Withdrawl Amount] ], )</f>
        <v>0</v>
      </c>
      <c r="R99" s="128">
        <f>IF(Table40[[#This Row],[CODE]]=14, Table40[ [#This Row],[Account Deposit Amount] ]-Table40[ [#This Row],[Account Withdrawl Amount] ], )</f>
        <v>0</v>
      </c>
      <c r="S99" s="128">
        <f>IF(Table40[[#This Row],[CODE]]=15, Table40[ [#This Row],[Account Deposit Amount] ]-Table40[ [#This Row],[Account Withdrawl Amount] ], )</f>
        <v>0</v>
      </c>
      <c r="T99" s="128">
        <f>IF(Table40[[#This Row],[CODE]]=16, Table40[ [#This Row],[Account Deposit Amount] ]-Table40[ [#This Row],[Account Withdrawl Amount] ], )</f>
        <v>0</v>
      </c>
      <c r="U99" s="127">
        <f>IF(Table40[[#This Row],[CODE]]=17, Table40[ [#This Row],[Account Deposit Amount] ]-Table40[ [#This Row],[Account Withdrawl Amount] ], )</f>
        <v>0</v>
      </c>
      <c r="V99" s="127">
        <f>IF(Table40[[#This Row],[CODE]]=17, Table40[ [#This Row],[Account Deposit Amount] ]-Table40[ [#This Row],[Account Withdrawl Amount] ], )</f>
        <v>0</v>
      </c>
    </row>
    <row r="100" spans="1:22" ht="16.2" thickBot="1">
      <c r="A100" s="130"/>
      <c r="B100" s="133"/>
      <c r="C100" s="130"/>
      <c r="D100" s="132"/>
      <c r="E100" s="128"/>
      <c r="F100" s="128"/>
      <c r="G100" s="131">
        <f t="shared" si="4"/>
        <v>18348.999999999993</v>
      </c>
      <c r="H100" s="130"/>
      <c r="I100" s="127">
        <f>IF(Table40[[#This Row],[CODE]]=1, Table40[ [#This Row],[Account Deposit Amount] ]-Table40[ [#This Row],[Account Withdrawl Amount] ], )</f>
        <v>0</v>
      </c>
      <c r="J100" s="129">
        <f>IF(Table40[[#This Row],[CODE]]=2, Table40[ [#This Row],[Account Deposit Amount] ]-Table40[ [#This Row],[Account Withdrawl Amount] ], )</f>
        <v>0</v>
      </c>
      <c r="K100" s="129">
        <f>IF(Table40[[#This Row],[CODE]]=3, Table40[ [#This Row],[Account Deposit Amount] ]-Table40[ [#This Row],[Account Withdrawl Amount] ], )</f>
        <v>0</v>
      </c>
      <c r="L100" s="128">
        <f>IF(Table40[[#This Row],[CODE]]=4, Table40[ [#This Row],[Account Deposit Amount] ]-Table40[ [#This Row],[Account Withdrawl Amount] ], )</f>
        <v>0</v>
      </c>
      <c r="M100" s="128">
        <f>IF(Table40[[#This Row],[CODE]]=5, Table40[ [#This Row],[Account Deposit Amount] ]-Table40[ [#This Row],[Account Withdrawl Amount] ], )</f>
        <v>0</v>
      </c>
      <c r="N100" s="128">
        <f>IF(Table40[[#This Row],[CODE]]=6, Table40[ [#This Row],[Account Deposit Amount] ]-Table40[ [#This Row],[Account Withdrawl Amount] ], )</f>
        <v>0</v>
      </c>
      <c r="O100" s="128">
        <f>IF(Table40[[#This Row],[CODE]]=11, Table40[ [#This Row],[Account Deposit Amount] ]-Table40[ [#This Row],[Account Withdrawl Amount] ], )</f>
        <v>0</v>
      </c>
      <c r="P100" s="128">
        <f>IF(Table40[[#This Row],[CODE]]=12, Table40[ [#This Row],[Account Deposit Amount] ]-Table40[ [#This Row],[Account Withdrawl Amount] ], )</f>
        <v>0</v>
      </c>
      <c r="Q100" s="128">
        <f>IF(Table40[[#This Row],[CODE]]=13, Table40[ [#This Row],[Account Deposit Amount] ]-Table40[ [#This Row],[Account Withdrawl Amount] ], )</f>
        <v>0</v>
      </c>
      <c r="R100" s="128">
        <f>IF(Table40[[#This Row],[CODE]]=14, Table40[ [#This Row],[Account Deposit Amount] ]-Table40[ [#This Row],[Account Withdrawl Amount] ], )</f>
        <v>0</v>
      </c>
      <c r="S100" s="128">
        <f>IF(Table40[[#This Row],[CODE]]=15, Table40[ [#This Row],[Account Deposit Amount] ]-Table40[ [#This Row],[Account Withdrawl Amount] ], )</f>
        <v>0</v>
      </c>
      <c r="T100" s="128">
        <f>IF(Table40[[#This Row],[CODE]]=16, Table40[ [#This Row],[Account Deposit Amount] ]-Table40[ [#This Row],[Account Withdrawl Amount] ], )</f>
        <v>0</v>
      </c>
      <c r="U100" s="127">
        <f>IF(Table40[[#This Row],[CODE]]=17, Table40[ [#This Row],[Account Deposit Amount] ]-Table40[ [#This Row],[Account Withdrawl Amount] ], )</f>
        <v>0</v>
      </c>
      <c r="V100" s="127">
        <f>IF(Table40[[#This Row],[CODE]]=17, Table40[ [#This Row],[Account Deposit Amount] ]-Table40[ [#This Row],[Account Withdrawl Amount] ], )</f>
        <v>0</v>
      </c>
    </row>
    <row r="101" spans="1:22" ht="16.2" thickBot="1">
      <c r="V101" s="19" t="e">
        <f>IF(Table39[[#This Row],[CODE]]=18, Table39[ [#This Row],[Account Deposit Amount] ]-Table39[ [#This Row],[Account Withdrawl Amount] ], )</f>
        <v>#VALUE!</v>
      </c>
    </row>
    <row r="102" spans="1:22" ht="16.2" thickBot="1">
      <c r="V102" s="19" t="e">
        <f>IF(Table39[[#This Row],[CODE]]=18, Table39[ [#This Row],[Account Deposit Amount] ]-Table39[ [#This Row],[Account Withdrawl Amount] ], )</f>
        <v>#VALUE!</v>
      </c>
    </row>
    <row r="103" spans="1:22" ht="16.2" thickBot="1">
      <c r="V103" s="19" t="e">
        <f>IF(Table39[[#This Row],[CODE]]=18, Table39[ [#This Row],[Account Deposit Amount] ]-Table39[ [#This Row],[Account Withdrawl Amount] ], )</f>
        <v>#VALUE!</v>
      </c>
    </row>
    <row r="104" spans="1:22" ht="16.2" thickBot="1">
      <c r="V104" s="19" t="e">
        <f>IF(Table39[[#This Row],[CODE]]=18, Table39[ [#This Row],[Account Deposit Amount] ]-Table39[ [#This Row],[Account Withdrawl Amount] ], )</f>
        <v>#VALUE!</v>
      </c>
    </row>
    <row r="105" spans="1:22" ht="16.2" thickBot="1">
      <c r="V105" s="19" t="e">
        <f>IF(Table39[[#This Row],[CODE]]=18, Table39[ [#This Row],[Account Deposit Amount] ]-Table39[ [#This Row],[Account Withdrawl Amount] ], )</f>
        <v>#VALUE!</v>
      </c>
    </row>
    <row r="106" spans="1:22" ht="16.2" thickBot="1">
      <c r="V106" s="19" t="e">
        <f>IF(Table39[[#This Row],[CODE]]=18, Table39[ [#This Row],[Account Deposit Amount] ]-Table39[ [#This Row],[Account Withdrawl Amount] ], )</f>
        <v>#VALUE!</v>
      </c>
    </row>
    <row r="107" spans="1:22" ht="16.2" thickBot="1">
      <c r="V107" s="19" t="e">
        <f>IF(Table39[[#This Row],[CODE]]=18, Table39[ [#This Row],[Account Deposit Amount] ]-Table39[ [#This Row],[Account Withdrawl Amount] ], )</f>
        <v>#VALUE!</v>
      </c>
    </row>
    <row r="108" spans="1:22" ht="16.2" thickBot="1">
      <c r="V108" s="19" t="e">
        <f>IF(Table39[[#This Row],[CODE]]=18, Table39[ [#This Row],[Account Deposit Amount] ]-Table39[ [#This Row],[Account Withdrawl Amount] ], )</f>
        <v>#VALUE!</v>
      </c>
    </row>
    <row r="109" spans="1:22" ht="16.2" thickBot="1">
      <c r="V109" s="19" t="e">
        <f>IF(Table39[[#This Row],[CODE]]=18, Table39[ [#This Row],[Account Deposit Amount] ]-Table39[ [#This Row],[Account Withdrawl Amount] ], )</f>
        <v>#VALUE!</v>
      </c>
    </row>
    <row r="110" spans="1:22" ht="16.2" thickBot="1">
      <c r="V110" s="19" t="e">
        <f>IF(Table39[[#This Row],[CODE]]=18, Table39[ [#This Row],[Account Deposit Amount] ]-Table39[ [#This Row],[Account Withdrawl Amount] ], )</f>
        <v>#VALUE!</v>
      </c>
    </row>
    <row r="111" spans="1:22" ht="16.2" thickBot="1">
      <c r="V111" s="19" t="e">
        <f>IF(Table39[[#This Row],[CODE]]=18, Table39[ [#This Row],[Account Deposit Amount] ]-Table39[ [#This Row],[Account Withdrawl Amount] ], )</f>
        <v>#VALUE!</v>
      </c>
    </row>
    <row r="112" spans="1:22" ht="16.2" thickBot="1">
      <c r="V112" s="19" t="e">
        <f>IF(Table39[[#This Row],[CODE]]=18, Table39[ [#This Row],[Account Deposit Amount] ]-Table39[ [#This Row],[Account Withdrawl Amount] ], )</f>
        <v>#VALUE!</v>
      </c>
    </row>
    <row r="113" spans="22:22" ht="16.2" thickBot="1">
      <c r="V113" s="19" t="e">
        <f>IF(Table39[[#This Row],[CODE]]=18, Table39[ [#This Row],[Account Deposit Amount] ]-Table39[ [#This Row],[Account Withdrawl Amount] ], )</f>
        <v>#VALUE!</v>
      </c>
    </row>
    <row r="114" spans="22:22" ht="16.2" thickBot="1">
      <c r="V114" s="19" t="e">
        <f>IF(Table39[[#This Row],[CODE]]=18, Table39[ [#This Row],[Account Deposit Amount] ]-Table39[ [#This Row],[Account Withdrawl Amount] ], )</f>
        <v>#VALUE!</v>
      </c>
    </row>
    <row r="115" spans="22:22" ht="16.2" thickBot="1">
      <c r="V115" s="19" t="e">
        <f>IF(Table39[[#This Row],[CODE]]=18, Table39[ [#This Row],[Account Deposit Amount] ]-Table39[ [#This Row],[Account Withdrawl Amount] ], )</f>
        <v>#VALUE!</v>
      </c>
    </row>
    <row r="116" spans="22:22" ht="16.2" thickBot="1">
      <c r="V116" s="19" t="e">
        <f>IF(Table39[[#This Row],[CODE]]=18, Table39[ [#This Row],[Account Deposit Amount] ]-Table39[ [#This Row],[Account Withdrawl Amount] ], )</f>
        <v>#VALUE!</v>
      </c>
    </row>
    <row r="117" spans="22:22" ht="16.2" thickBot="1">
      <c r="V117" s="19" t="e">
        <f>IF(Table39[[#This Row],[CODE]]=18, Table39[ [#This Row],[Account Deposit Amount] ]-Table39[ [#This Row],[Account Withdrawl Amount] ], )</f>
        <v>#VALUE!</v>
      </c>
    </row>
    <row r="118" spans="22:22" ht="16.2" thickBot="1">
      <c r="V118" s="19" t="e">
        <f>IF(Table39[[#This Row],[CODE]]=18, Table39[ [#This Row],[Account Deposit Amount] ]-Table39[ [#This Row],[Account Withdrawl Amount] ], )</f>
        <v>#VALUE!</v>
      </c>
    </row>
    <row r="119" spans="22:22" ht="16.2" thickBot="1">
      <c r="V119" s="19" t="e">
        <f>IF(Table39[[#This Row],[CODE]]=18, Table39[ [#This Row],[Account Deposit Amount] ]-Table39[ [#This Row],[Account Withdrawl Amount] ], )</f>
        <v>#VALUE!</v>
      </c>
    </row>
    <row r="120" spans="22:22" ht="16.2" thickBot="1">
      <c r="V120" s="19" t="e">
        <f>IF(Table39[[#This Row],[CODE]]=18, Table39[ [#This Row],[Account Deposit Amount] ]-Table39[ [#This Row],[Account Withdrawl Amount] ], )</f>
        <v>#VALUE!</v>
      </c>
    </row>
    <row r="121" spans="22:22" ht="16.2" thickBot="1">
      <c r="V121" s="19" t="e">
        <f>IF(Table39[[#This Row],[CODE]]=18, Table39[ [#This Row],[Account Deposit Amount] ]-Table39[ [#This Row],[Account Withdrawl Amount] ], )</f>
        <v>#VALUE!</v>
      </c>
    </row>
    <row r="122" spans="22:22" ht="16.2" thickBot="1">
      <c r="V122" s="19" t="e">
        <f>IF(Table39[[#This Row],[CODE]]=18, Table39[ [#This Row],[Account Deposit Amount] ]-Table39[ [#This Row],[Account Withdrawl Amount] ], )</f>
        <v>#VALUE!</v>
      </c>
    </row>
    <row r="123" spans="22:22" ht="16.2" thickBot="1">
      <c r="V123" s="19" t="e">
        <f>IF(Table39[[#This Row],[CODE]]=18, Table39[ [#This Row],[Account Deposit Amount] ]-Table39[ [#This Row],[Account Withdrawl Amount] ], )</f>
        <v>#VALUE!</v>
      </c>
    </row>
    <row r="124" spans="22:22" ht="16.2" thickBot="1">
      <c r="V124" s="19" t="e">
        <f>IF(Table39[[#This Row],[CODE]]=18, Table39[ [#This Row],[Account Deposit Amount] ]-Table39[ [#This Row],[Account Withdrawl Amount] ], )</f>
        <v>#VALUE!</v>
      </c>
    </row>
    <row r="125" spans="22:22" ht="16.2" thickBot="1">
      <c r="V125" s="19" t="e">
        <f>IF(Table39[[#This Row],[CODE]]=18, Table39[ [#This Row],[Account Deposit Amount] ]-Table39[ [#This Row],[Account Withdrawl Amount] ], )</f>
        <v>#VALUE!</v>
      </c>
    </row>
    <row r="126" spans="22:22" ht="16.2" thickBot="1">
      <c r="V126" s="19" t="e">
        <f>IF(Table39[[#This Row],[CODE]]=18, Table39[ [#This Row],[Account Deposit Amount] ]-Table39[ [#This Row],[Account Withdrawl Amount] ], )</f>
        <v>#VALUE!</v>
      </c>
    </row>
    <row r="127" spans="22:22" ht="16.2" thickBot="1">
      <c r="V127" s="19" t="e">
        <f>IF(Table39[[#This Row],[CODE]]=18, Table39[ [#This Row],[Account Deposit Amount] ]-Table39[ [#This Row],[Account Withdrawl Amount] ], )</f>
        <v>#VALUE!</v>
      </c>
    </row>
    <row r="128" spans="22:22" ht="16.2" thickBot="1">
      <c r="V128" s="19" t="e">
        <f>IF(Table39[[#This Row],[CODE]]=18, Table39[ [#This Row],[Account Deposit Amount] ]-Table39[ [#This Row],[Account Withdrawl Amount] ], )</f>
        <v>#VALUE!</v>
      </c>
    </row>
    <row r="129" spans="22:22" ht="16.2" thickBot="1">
      <c r="V129" s="19" t="e">
        <f>IF(Table39[[#This Row],[CODE]]=18, Table39[ [#This Row],[Account Deposit Amount] ]-Table39[ [#This Row],[Account Withdrawl Amount] ], )</f>
        <v>#VALUE!</v>
      </c>
    </row>
    <row r="130" spans="22:22" ht="16.2" thickBot="1">
      <c r="V130" s="19" t="e">
        <f>IF(Table39[[#This Row],[CODE]]=18, Table39[ [#This Row],[Account Deposit Amount] ]-Table39[ [#This Row],[Account Withdrawl Amount] ], )</f>
        <v>#VALUE!</v>
      </c>
    </row>
    <row r="131" spans="22:22" ht="16.2" thickBot="1">
      <c r="V131" s="19" t="e">
        <f>IF(Table39[[#This Row],[CODE]]=18, Table39[ [#This Row],[Account Deposit Amount] ]-Table39[ [#This Row],[Account Withdrawl Amount] ], )</f>
        <v>#VALUE!</v>
      </c>
    </row>
    <row r="132" spans="22:22" ht="16.2" thickBot="1">
      <c r="V132" s="19" t="e">
        <f>IF(Table39[[#This Row],[CODE]]=18, Table39[ [#This Row],[Account Deposit Amount] ]-Table39[ [#This Row],[Account Withdrawl Amount] ], )</f>
        <v>#VALUE!</v>
      </c>
    </row>
    <row r="133" spans="22:22" ht="16.2" thickBot="1">
      <c r="V133" s="19" t="e">
        <f>IF(Table39[[#This Row],[CODE]]=18, Table39[ [#This Row],[Account Deposit Amount] ]-Table39[ [#This Row],[Account Withdrawl Amount] ], )</f>
        <v>#VALUE!</v>
      </c>
    </row>
    <row r="134" spans="22:22" ht="16.2" thickBot="1">
      <c r="V134" s="19" t="e">
        <f>IF(Table39[[#This Row],[CODE]]=18, Table39[ [#This Row],[Account Deposit Amount] ]-Table39[ [#This Row],[Account Withdrawl Amount] ], )</f>
        <v>#VALUE!</v>
      </c>
    </row>
    <row r="135" spans="22:22" ht="16.2" thickBot="1">
      <c r="V135" s="19" t="e">
        <f>IF(Table39[[#This Row],[CODE]]=18, Table39[ [#This Row],[Account Deposit Amount] ]-Table39[ [#This Row],[Account Withdrawl Amount] ], )</f>
        <v>#VALUE!</v>
      </c>
    </row>
    <row r="136" spans="22:22" ht="16.2" thickBot="1">
      <c r="V136" s="19" t="e">
        <f>IF(Table39[[#This Row],[CODE]]=18, Table39[ [#This Row],[Account Deposit Amount] ]-Table39[ [#This Row],[Account Withdrawl Amount] ], )</f>
        <v>#VALUE!</v>
      </c>
    </row>
    <row r="137" spans="22:22" ht="16.2" thickBot="1">
      <c r="V137" s="19" t="e">
        <f>IF(Table39[[#This Row],[CODE]]=18, Table39[ [#This Row],[Account Deposit Amount] ]-Table39[ [#This Row],[Account Withdrawl Amount] ], )</f>
        <v>#VALUE!</v>
      </c>
    </row>
    <row r="138" spans="22:22" ht="16.2" thickBot="1">
      <c r="V138" s="19" t="e">
        <f>IF(Table39[[#This Row],[CODE]]=18, Table39[ [#This Row],[Account Deposit Amount] ]-Table39[ [#This Row],[Account Withdrawl Amount] ], )</f>
        <v>#VALUE!</v>
      </c>
    </row>
    <row r="139" spans="22:22" ht="16.2" thickBot="1">
      <c r="V139" s="19" t="e">
        <f>IF(Table39[[#This Row],[CODE]]=18, Table39[ [#This Row],[Account Deposit Amount] ]-Table39[ [#This Row],[Account Withdrawl Amount] ], )</f>
        <v>#VALUE!</v>
      </c>
    </row>
    <row r="140" spans="22:22" ht="16.2" thickBot="1">
      <c r="V140" s="19" t="e">
        <f>IF(Table39[[#This Row],[CODE]]=18, Table39[ [#This Row],[Account Deposit Amount] ]-Table39[ [#This Row],[Account Withdrawl Amount] ], )</f>
        <v>#VALUE!</v>
      </c>
    </row>
    <row r="141" spans="22:22" ht="16.2" thickBot="1">
      <c r="V141" s="19" t="e">
        <f>IF(Table39[[#This Row],[CODE]]=18, Table39[ [#This Row],[Account Deposit Amount] ]-Table39[ [#This Row],[Account Withdrawl Amount] ], )</f>
        <v>#VALUE!</v>
      </c>
    </row>
    <row r="142" spans="22:22" ht="16.2" thickBot="1">
      <c r="V142" s="19" t="e">
        <f>IF(Table39[[#This Row],[CODE]]=18, Table39[ [#This Row],[Account Deposit Amount] ]-Table39[ [#This Row],[Account Withdrawl Amount] ], )</f>
        <v>#VALUE!</v>
      </c>
    </row>
    <row r="143" spans="22:22" ht="16.2" thickBot="1">
      <c r="V143" s="19" t="e">
        <f>IF(Table39[[#This Row],[CODE]]=18, Table39[ [#This Row],[Account Deposit Amount] ]-Table39[ [#This Row],[Account Withdrawl Amount] ], )</f>
        <v>#VALUE!</v>
      </c>
    </row>
    <row r="144" spans="22:22" ht="16.2" thickBot="1">
      <c r="V144" s="19" t="e">
        <f>IF(Table39[[#This Row],[CODE]]=18, Table39[ [#This Row],[Account Deposit Amount] ]-Table39[ [#This Row],[Account Withdrawl Amount] ], )</f>
        <v>#VALUE!</v>
      </c>
    </row>
    <row r="145" spans="22:22" ht="16.2" thickBot="1">
      <c r="V145" s="19" t="e">
        <f>IF(Table39[[#This Row],[CODE]]=18, Table39[ [#This Row],[Account Deposit Amount] ]-Table39[ [#This Row],[Account Withdrawl Amount] ], )</f>
        <v>#VALUE!</v>
      </c>
    </row>
    <row r="146" spans="22:22" ht="16.2" thickBot="1">
      <c r="V146" s="19" t="e">
        <f>IF(Table39[[#This Row],[CODE]]=18, Table39[ [#This Row],[Account Deposit Amount] ]-Table39[ [#This Row],[Account Withdrawl Amount] ], )</f>
        <v>#VALUE!</v>
      </c>
    </row>
    <row r="147" spans="22:22" ht="16.2" thickBot="1">
      <c r="V147" s="19" t="e">
        <f>IF(Table39[[#This Row],[CODE]]=18, Table39[ [#This Row],[Account Deposit Amount] ]-Table39[ [#This Row],[Account Withdrawl Amount] ], )</f>
        <v>#VALUE!</v>
      </c>
    </row>
    <row r="148" spans="22:22" ht="16.2" thickBot="1">
      <c r="V148" s="19" t="e">
        <f>IF(Table39[[#This Row],[CODE]]=18, Table39[ [#This Row],[Account Deposit Amount] ]-Table39[ [#This Row],[Account Withdrawl Amount] ], )</f>
        <v>#VALUE!</v>
      </c>
    </row>
    <row r="149" spans="22:22" ht="16.2" thickBot="1">
      <c r="V149" s="19" t="e">
        <f>IF(Table39[[#This Row],[CODE]]=18, Table39[ [#This Row],[Account Deposit Amount] ]-Table39[ [#This Row],[Account Withdrawl Amount] ], )</f>
        <v>#VALUE!</v>
      </c>
    </row>
    <row r="150" spans="22:22" ht="16.2" thickBot="1">
      <c r="V150" s="19" t="e">
        <f>IF(Table39[[#This Row],[CODE]]=18, Table39[ [#This Row],[Account Deposit Amount] ]-Table39[ [#This Row],[Account Withdrawl Amount] ], )</f>
        <v>#VALUE!</v>
      </c>
    </row>
    <row r="151" spans="22:22" ht="16.2" thickBot="1">
      <c r="V151" s="19" t="e">
        <f>IF(Table39[[#This Row],[CODE]]=18, Table39[ [#This Row],[Account Deposit Amount] ]-Table39[ [#This Row],[Account Withdrawl Amount] ], )</f>
        <v>#VALUE!</v>
      </c>
    </row>
    <row r="152" spans="22:22" ht="16.2" thickBot="1">
      <c r="V152" s="19" t="e">
        <f>IF(Table39[[#This Row],[CODE]]=18, Table39[ [#This Row],[Account Deposit Amount] ]-Table39[ [#This Row],[Account Withdrawl Amount] ], )</f>
        <v>#VALUE!</v>
      </c>
    </row>
    <row r="153" spans="22:22" ht="16.2" thickBot="1">
      <c r="V153" s="19" t="e">
        <f>IF(Table39[[#This Row],[CODE]]=18, Table39[ [#This Row],[Account Deposit Amount] ]-Table39[ [#This Row],[Account Withdrawl Amount] ], )</f>
        <v>#VALUE!</v>
      </c>
    </row>
    <row r="154" spans="22:22" ht="16.2" thickBot="1">
      <c r="V154" s="19" t="e">
        <f>IF(Table39[[#This Row],[CODE]]=18, Table39[ [#This Row],[Account Deposit Amount] ]-Table39[ [#This Row],[Account Withdrawl Amount] ], )</f>
        <v>#VALUE!</v>
      </c>
    </row>
    <row r="155" spans="22:22" ht="16.2" thickBot="1">
      <c r="V155" s="19" t="e">
        <f>IF(Table39[[#This Row],[CODE]]=18, Table39[ [#This Row],[Account Deposit Amount] ]-Table39[ [#This Row],[Account Withdrawl Amount] ], )</f>
        <v>#VALUE!</v>
      </c>
    </row>
    <row r="156" spans="22:22" ht="16.2" thickBot="1">
      <c r="V156" s="19" t="e">
        <f>IF(Table39[[#This Row],[CODE]]=18, Table39[ [#This Row],[Account Deposit Amount] ]-Table39[ [#This Row],[Account Withdrawl Amount] ], )</f>
        <v>#VALUE!</v>
      </c>
    </row>
    <row r="157" spans="22:22" ht="16.2" thickBot="1">
      <c r="V157" s="19" t="e">
        <f>IF(Table39[[#This Row],[CODE]]=18, Table39[ [#This Row],[Account Deposit Amount] ]-Table39[ [#This Row],[Account Withdrawl Amount] ], )</f>
        <v>#VALUE!</v>
      </c>
    </row>
    <row r="158" spans="22:22" ht="16.2" thickBot="1">
      <c r="V158" s="19" t="e">
        <f>IF(Table39[[#This Row],[CODE]]=18, Table39[ [#This Row],[Account Deposit Amount] ]-Table39[ [#This Row],[Account Withdrawl Amount] ], )</f>
        <v>#VALUE!</v>
      </c>
    </row>
    <row r="159" spans="22:22" ht="16.2" thickBot="1">
      <c r="V159" s="19" t="e">
        <f>IF(Table39[[#This Row],[CODE]]=18, Table39[ [#This Row],[Account Deposit Amount] ]-Table39[ [#This Row],[Account Withdrawl Amount] ], )</f>
        <v>#VALUE!</v>
      </c>
    </row>
    <row r="160" spans="22:22" ht="16.2" thickBot="1">
      <c r="V160" s="19" t="e">
        <f>IF(Table39[[#This Row],[CODE]]=18, Table39[ [#This Row],[Account Deposit Amount] ]-Table39[ [#This Row],[Account Withdrawl Amount] ], )</f>
        <v>#VALUE!</v>
      </c>
    </row>
    <row r="161" spans="22:22" ht="16.2" thickBot="1">
      <c r="V161" s="19" t="e">
        <f>IF(Table39[[#This Row],[CODE]]=18, Table39[ [#This Row],[Account Deposit Amount] ]-Table39[ [#This Row],[Account Withdrawl Amount] ], )</f>
        <v>#VALUE!</v>
      </c>
    </row>
    <row r="162" spans="22:22" ht="16.2" thickBot="1">
      <c r="V162" s="19" t="e">
        <f>IF(Table39[[#This Row],[CODE]]=18, Table39[ [#This Row],[Account Deposit Amount] ]-Table39[ [#This Row],[Account Withdrawl Amount] ], )</f>
        <v>#VALUE!</v>
      </c>
    </row>
    <row r="163" spans="22:22" ht="16.2" thickBot="1">
      <c r="V163" s="19" t="e">
        <f>IF(Table39[[#This Row],[CODE]]=18, Table39[ [#This Row],[Account Deposit Amount] ]-Table39[ [#This Row],[Account Withdrawl Amount] ], )</f>
        <v>#VALUE!</v>
      </c>
    </row>
    <row r="164" spans="22:22" ht="16.2" thickBot="1">
      <c r="V164" s="19" t="e">
        <f>IF(Table39[[#This Row],[CODE]]=18, Table39[ [#This Row],[Account Deposit Amount] ]-Table39[ [#This Row],[Account Withdrawl Amount] ], )</f>
        <v>#VALUE!</v>
      </c>
    </row>
    <row r="165" spans="22:22" ht="16.2" thickBot="1">
      <c r="V165" s="19" t="e">
        <f>IF(Table39[[#This Row],[CODE]]=18, Table39[ [#This Row],[Account Deposit Amount] ]-Table39[ [#This Row],[Account Withdrawl Amount] ], )</f>
        <v>#VALUE!</v>
      </c>
    </row>
    <row r="166" spans="22:22" ht="16.2" thickBot="1">
      <c r="V166" s="19" t="e">
        <f>IF(Table39[[#This Row],[CODE]]=18, Table39[ [#This Row],[Account Deposit Amount] ]-Table39[ [#This Row],[Account Withdrawl Amount] ], )</f>
        <v>#VALUE!</v>
      </c>
    </row>
    <row r="167" spans="22:22" ht="16.2" thickBot="1">
      <c r="V167" s="19" t="e">
        <f>IF(Table39[[#This Row],[CODE]]=18, Table39[ [#This Row],[Account Deposit Amount] ]-Table39[ [#This Row],[Account Withdrawl Amount] ], )</f>
        <v>#VALUE!</v>
      </c>
    </row>
    <row r="168" spans="22:22" ht="16.2" thickBot="1">
      <c r="V168" s="19" t="e">
        <f>IF(Table39[[#This Row],[CODE]]=18, Table39[ [#This Row],[Account Deposit Amount] ]-Table39[ [#This Row],[Account Withdrawl Amount] ], )</f>
        <v>#VALUE!</v>
      </c>
    </row>
    <row r="169" spans="22:22" ht="16.2" thickBot="1">
      <c r="V169" s="19" t="e">
        <f>IF(Table39[[#This Row],[CODE]]=18, Table39[ [#This Row],[Account Deposit Amount] ]-Table39[ [#This Row],[Account Withdrawl Amount] ], )</f>
        <v>#VALUE!</v>
      </c>
    </row>
    <row r="170" spans="22:22" ht="16.2" thickBot="1">
      <c r="V170" s="19" t="e">
        <f>IF(Table39[[#This Row],[CODE]]=18, Table39[ [#This Row],[Account Deposit Amount] ]-Table39[ [#This Row],[Account Withdrawl Amount] ], )</f>
        <v>#VALUE!</v>
      </c>
    </row>
    <row r="171" spans="22:22" ht="16.2" thickBot="1">
      <c r="V171" s="19" t="e">
        <f>IF(Table39[[#This Row],[CODE]]=18, Table39[ [#This Row],[Account Deposit Amount] ]-Table39[ [#This Row],[Account Withdrawl Amount] ], )</f>
        <v>#VALUE!</v>
      </c>
    </row>
    <row r="172" spans="22:22" ht="16.2" thickBot="1">
      <c r="V172" s="19" t="e">
        <f>IF(Table39[[#This Row],[CODE]]=18, Table39[ [#This Row],[Account Deposit Amount] ]-Table39[ [#This Row],[Account Withdrawl Amount] ], )</f>
        <v>#VALUE!</v>
      </c>
    </row>
    <row r="173" spans="22:22" ht="16.2" thickBot="1">
      <c r="V173" s="19" t="e">
        <f>IF(Table39[[#This Row],[CODE]]=18, Table39[ [#This Row],[Account Deposit Amount] ]-Table39[ [#This Row],[Account Withdrawl Amount] ], )</f>
        <v>#VALUE!</v>
      </c>
    </row>
    <row r="174" spans="22:22" ht="16.2" thickBot="1">
      <c r="V174" s="19" t="e">
        <f>IF(Table39[[#This Row],[CODE]]=18, Table39[ [#This Row],[Account Deposit Amount] ]-Table39[ [#This Row],[Account Withdrawl Amount] ], )</f>
        <v>#VALUE!</v>
      </c>
    </row>
    <row r="175" spans="22:22" ht="16.2" thickBot="1">
      <c r="V175" s="19" t="e">
        <f>IF(Table39[[#This Row],[CODE]]=18, Table39[ [#This Row],[Account Deposit Amount] ]-Table39[ [#This Row],[Account Withdrawl Amount] ], )</f>
        <v>#VALUE!</v>
      </c>
    </row>
    <row r="176" spans="22:22" ht="16.2" thickBot="1">
      <c r="V176" s="19" t="e">
        <f>IF(Table39[[#This Row],[CODE]]=18, Table39[ [#This Row],[Account Deposit Amount] ]-Table39[ [#This Row],[Account Withdrawl Amount] ], )</f>
        <v>#VALUE!</v>
      </c>
    </row>
    <row r="177" spans="22:22" ht="16.2" thickBot="1">
      <c r="V177" s="19" t="e">
        <f>IF(Table39[[#This Row],[CODE]]=18, Table39[ [#This Row],[Account Deposit Amount] ]-Table39[ [#This Row],[Account Withdrawl Amount] ], )</f>
        <v>#VALUE!</v>
      </c>
    </row>
    <row r="178" spans="22:22" ht="16.2" thickBot="1">
      <c r="V178" s="19" t="e">
        <f>IF(Table39[[#This Row],[CODE]]=18, Table39[ [#This Row],[Account Deposit Amount] ]-Table39[ [#This Row],[Account Withdrawl Amount] ], )</f>
        <v>#VALUE!</v>
      </c>
    </row>
    <row r="179" spans="22:22" ht="16.2" thickBot="1">
      <c r="V179" s="19" t="e">
        <f>IF(Table39[[#This Row],[CODE]]=18, Table39[ [#This Row],[Account Deposit Amount] ]-Table39[ [#This Row],[Account Withdrawl Amount] ], )</f>
        <v>#VALUE!</v>
      </c>
    </row>
    <row r="180" spans="22:22" ht="16.2" thickBot="1">
      <c r="V180" s="19" t="e">
        <f>IF(Table39[[#This Row],[CODE]]=18, Table39[ [#This Row],[Account Deposit Amount] ]-Table39[ [#This Row],[Account Withdrawl Amount] ], )</f>
        <v>#VALUE!</v>
      </c>
    </row>
    <row r="181" spans="22:22" ht="16.2" thickBot="1">
      <c r="V181" s="19" t="e">
        <f>IF(Table39[[#This Row],[CODE]]=18, Table39[ [#This Row],[Account Deposit Amount] ]-Table39[ [#This Row],[Account Withdrawl Amount] ], )</f>
        <v>#VALUE!</v>
      </c>
    </row>
    <row r="182" spans="22:22" ht="16.2" thickBot="1">
      <c r="V182" s="19" t="e">
        <f>IF(Table39[[#This Row],[CODE]]=18, Table39[ [#This Row],[Account Deposit Amount] ]-Table39[ [#This Row],[Account Withdrawl Amount] ], )</f>
        <v>#VALUE!</v>
      </c>
    </row>
    <row r="183" spans="22:22" ht="16.2" thickBot="1">
      <c r="V183" s="19" t="e">
        <f>IF(Table39[[#This Row],[CODE]]=18, Table39[ [#This Row],[Account Deposit Amount] ]-Table39[ [#This Row],[Account Withdrawl Amount] ], )</f>
        <v>#VALUE!</v>
      </c>
    </row>
    <row r="184" spans="22:22" ht="16.2" thickBot="1">
      <c r="V184" s="19" t="e">
        <f>IF(Table39[[#This Row],[CODE]]=18, Table39[ [#This Row],[Account Deposit Amount] ]-Table39[ [#This Row],[Account Withdrawl Amount] ], )</f>
        <v>#VALUE!</v>
      </c>
    </row>
    <row r="185" spans="22:22" ht="16.2" thickBot="1">
      <c r="V185" s="19" t="e">
        <f>IF(Table39[[#This Row],[CODE]]=18, Table39[ [#This Row],[Account Deposit Amount] ]-Table39[ [#This Row],[Account Withdrawl Amount] ], )</f>
        <v>#VALUE!</v>
      </c>
    </row>
    <row r="186" spans="22:22" ht="16.2" thickBot="1">
      <c r="V186" s="19" t="e">
        <f>IF(Table39[[#This Row],[CODE]]=18, Table39[ [#This Row],[Account Deposit Amount] ]-Table39[ [#This Row],[Account Withdrawl Amount] ], )</f>
        <v>#VALUE!</v>
      </c>
    </row>
    <row r="187" spans="22:22" ht="16.2" thickBot="1">
      <c r="V187" s="19" t="e">
        <f>IF(Table39[[#This Row],[CODE]]=18, Table39[ [#This Row],[Account Deposit Amount] ]-Table39[ [#This Row],[Account Withdrawl Amount] ], )</f>
        <v>#VALUE!</v>
      </c>
    </row>
    <row r="188" spans="22:22" ht="16.2" thickBot="1">
      <c r="V188" s="19" t="e">
        <f>IF(Table39[[#This Row],[CODE]]=18, Table39[ [#This Row],[Account Deposit Amount] ]-Table39[ [#This Row],[Account Withdrawl Amount] ], )</f>
        <v>#VALUE!</v>
      </c>
    </row>
    <row r="189" spans="22:22" ht="16.2" thickBot="1">
      <c r="V189" s="19" t="e">
        <f>IF(Table39[[#This Row],[CODE]]=18, Table39[ [#This Row],[Account Deposit Amount] ]-Table39[ [#This Row],[Account Withdrawl Amount] ], )</f>
        <v>#VALUE!</v>
      </c>
    </row>
    <row r="190" spans="22:22" ht="16.2" thickBot="1">
      <c r="V190" s="19" t="e">
        <f>IF(Table39[[#This Row],[CODE]]=18, Table39[ [#This Row],[Account Deposit Amount] ]-Table39[ [#This Row],[Account Withdrawl Amount] ], )</f>
        <v>#VALUE!</v>
      </c>
    </row>
    <row r="191" spans="22:22" ht="16.2" thickBot="1">
      <c r="V191" s="19" t="e">
        <f>IF(Table39[[#This Row],[CODE]]=18, Table39[ [#This Row],[Account Deposit Amount] ]-Table39[ [#This Row],[Account Withdrawl Amount] ], )</f>
        <v>#VALUE!</v>
      </c>
    </row>
    <row r="192" spans="22:22" ht="16.2" thickBot="1">
      <c r="V192" s="19" t="e">
        <f>IF(Table39[[#This Row],[CODE]]=18, Table39[ [#This Row],[Account Deposit Amount] ]-Table39[ [#This Row],[Account Withdrawl Amount] ], )</f>
        <v>#VALUE!</v>
      </c>
    </row>
    <row r="193" spans="22:22" ht="16.2" thickBot="1">
      <c r="V193" s="19" t="e">
        <f>IF(Table39[[#This Row],[CODE]]=18, Table39[ [#This Row],[Account Deposit Amount] ]-Table39[ [#This Row],[Account Withdrawl Amount] ], )</f>
        <v>#VALUE!</v>
      </c>
    </row>
    <row r="194" spans="22:22" ht="16.2" thickBot="1">
      <c r="V194" s="19" t="e">
        <f>IF(Table39[[#This Row],[CODE]]=18, Table39[ [#This Row],[Account Deposit Amount] ]-Table39[ [#This Row],[Account Withdrawl Amount] ], )</f>
        <v>#VALUE!</v>
      </c>
    </row>
    <row r="195" spans="22:22" ht="16.2" thickBot="1">
      <c r="V195" s="19" t="e">
        <f>IF(Table39[[#This Row],[CODE]]=18, Table39[ [#This Row],[Account Deposit Amount] ]-Table39[ [#This Row],[Account Withdrawl Amount] ], )</f>
        <v>#VALUE!</v>
      </c>
    </row>
    <row r="196" spans="22:22" ht="16.2" thickBot="1">
      <c r="V196" s="19" t="e">
        <f>IF(Table39[[#This Row],[CODE]]=18, Table39[ [#This Row],[Account Deposit Amount] ]-Table39[ [#This Row],[Account Withdrawl Amount] ], )</f>
        <v>#VALUE!</v>
      </c>
    </row>
    <row r="197" spans="22:22" ht="16.2" thickBot="1">
      <c r="V197" s="19" t="e">
        <f>IF(Table39[[#This Row],[CODE]]=18, Table39[ [#This Row],[Account Deposit Amount] ]-Table39[ [#This Row],[Account Withdrawl Amount] ], )</f>
        <v>#VALUE!</v>
      </c>
    </row>
    <row r="198" spans="22:22" ht="16.2" thickBot="1">
      <c r="V198" s="19" t="e">
        <f>IF(Table39[[#This Row],[CODE]]=18, Table39[ [#This Row],[Account Deposit Amount] ]-Table39[ [#This Row],[Account Withdrawl Amount] ], )</f>
        <v>#VALUE!</v>
      </c>
    </row>
    <row r="199" spans="22:22" ht="16.2" thickBot="1">
      <c r="V199" s="19" t="e">
        <f>IF(Table39[[#This Row],[CODE]]=18, Table39[ [#This Row],[Account Deposit Amount] ]-Table39[ [#This Row],[Account Withdrawl Amount] ], )</f>
        <v>#VALUE!</v>
      </c>
    </row>
    <row r="200" spans="22:22" ht="16.2" thickBot="1">
      <c r="V200" s="19" t="e">
        <f>IF(Table39[[#This Row],[CODE]]=18, Table39[ [#This Row],[Account Deposit Amount] ]-Table39[ [#This Row],[Account Withdrawl Amount] ], )</f>
        <v>#VALUE!</v>
      </c>
    </row>
    <row r="201" spans="22:22" ht="16.2" thickBot="1">
      <c r="V201" s="19" t="e">
        <f>IF(Table39[[#This Row],[CODE]]=18, Table39[ [#This Row],[Account Deposit Amount] ]-Table39[ [#This Row],[Account Withdrawl Amount] ], )</f>
        <v>#VALUE!</v>
      </c>
    </row>
    <row r="202" spans="22:22" ht="16.2" thickBot="1">
      <c r="V202" s="19" t="e">
        <f>IF(Table39[[#This Row],[CODE]]=18, Table39[ [#This Row],[Account Deposit Amount] ]-Table39[ [#This Row],[Account Withdrawl Amount] ], )</f>
        <v>#VALUE!</v>
      </c>
    </row>
    <row r="203" spans="22:22" ht="16.2" thickBot="1">
      <c r="V203" s="19" t="e">
        <f>IF(Table39[[#This Row],[CODE]]=18, Table39[ [#This Row],[Account Deposit Amount] ]-Table39[ [#This Row],[Account Withdrawl Amount] ], )</f>
        <v>#VALUE!</v>
      </c>
    </row>
    <row r="204" spans="22:22" ht="16.2" thickBot="1">
      <c r="V204" s="19" t="e">
        <f>IF(Table39[[#This Row],[CODE]]=18, Table39[ [#This Row],[Account Deposit Amount] ]-Table39[ [#This Row],[Account Withdrawl Amount] ], )</f>
        <v>#VALUE!</v>
      </c>
    </row>
    <row r="205" spans="22:22" ht="16.2" thickBot="1">
      <c r="V205" s="19" t="e">
        <f>IF(Table39[[#This Row],[CODE]]=18, Table39[ [#This Row],[Account Deposit Amount] ]-Table39[ [#This Row],[Account Withdrawl Amount] ], )</f>
        <v>#VALUE!</v>
      </c>
    </row>
    <row r="206" spans="22:22" ht="16.2" thickBot="1">
      <c r="V206" s="19" t="e">
        <f>IF(Table39[[#This Row],[CODE]]=18, Table39[ [#This Row],[Account Deposit Amount] ]-Table39[ [#This Row],[Account Withdrawl Amount] ], )</f>
        <v>#VALUE!</v>
      </c>
    </row>
    <row r="207" spans="22:22" ht="16.2" thickBot="1">
      <c r="V207" s="19" t="e">
        <f>IF(Table39[[#This Row],[CODE]]=18, Table39[ [#This Row],[Account Deposit Amount] ]-Table39[ [#This Row],[Account Withdrawl Amount] ], )</f>
        <v>#VALUE!</v>
      </c>
    </row>
    <row r="208" spans="22:22" ht="16.2" thickBot="1">
      <c r="V208" s="19" t="e">
        <f>IF(Table39[[#This Row],[CODE]]=18, Table39[ [#This Row],[Account Deposit Amount] ]-Table39[ [#This Row],[Account Withdrawl Amount] ], )</f>
        <v>#VALUE!</v>
      </c>
    </row>
    <row r="209" spans="22:22" ht="16.2" thickBot="1">
      <c r="V209" s="19" t="e">
        <f>IF(Table39[[#This Row],[CODE]]=18, Table39[ [#This Row],[Account Deposit Amount] ]-Table39[ [#This Row],[Account Withdrawl Amount] ], )</f>
        <v>#VALUE!</v>
      </c>
    </row>
    <row r="210" spans="22:22" ht="16.2" thickBot="1">
      <c r="V210" s="19" t="e">
        <f>IF(Table39[[#This Row],[CODE]]=18, Table39[ [#This Row],[Account Deposit Amount] ]-Table39[ [#This Row],[Account Withdrawl Amount] ], )</f>
        <v>#VALUE!</v>
      </c>
    </row>
    <row r="211" spans="22:22" ht="16.2" thickBot="1">
      <c r="V211" s="19" t="e">
        <f>IF(Table39[[#This Row],[CODE]]=18, Table39[ [#This Row],[Account Deposit Amount] ]-Table39[ [#This Row],[Account Withdrawl Amount] ], )</f>
        <v>#VALUE!</v>
      </c>
    </row>
    <row r="212" spans="22:22" ht="16.2" thickBot="1">
      <c r="V212" s="19" t="e">
        <f>IF(Table39[[#This Row],[CODE]]=18, Table39[ [#This Row],[Account Deposit Amount] ]-Table39[ [#This Row],[Account Withdrawl Amount] ], )</f>
        <v>#VALUE!</v>
      </c>
    </row>
    <row r="213" spans="22:22" ht="16.2" thickBot="1">
      <c r="V213" s="19" t="e">
        <f>IF(Table39[[#This Row],[CODE]]=18, Table39[ [#This Row],[Account Deposit Amount] ]-Table39[ [#This Row],[Account Withdrawl Amount] ], )</f>
        <v>#VALUE!</v>
      </c>
    </row>
    <row r="214" spans="22:22" ht="16.2" thickBot="1">
      <c r="V214" s="19" t="e">
        <f>IF(Table39[[#This Row],[CODE]]=18, Table39[ [#This Row],[Account Deposit Amount] ]-Table39[ [#This Row],[Account Withdrawl Amount] ], )</f>
        <v>#VALUE!</v>
      </c>
    </row>
    <row r="215" spans="22:22" ht="16.2" thickBot="1">
      <c r="V215" s="19" t="e">
        <f>IF(Table39[[#This Row],[CODE]]=18, Table39[ [#This Row],[Account Deposit Amount] ]-Table39[ [#This Row],[Account Withdrawl Amount] ], )</f>
        <v>#VALUE!</v>
      </c>
    </row>
    <row r="216" spans="22:22" ht="16.2" thickBot="1">
      <c r="V216" s="19" t="e">
        <f>IF(Table39[[#This Row],[CODE]]=18, Table39[ [#This Row],[Account Deposit Amount] ]-Table39[ [#This Row],[Account Withdrawl Amount] ], )</f>
        <v>#VALUE!</v>
      </c>
    </row>
    <row r="217" spans="22:22" ht="16.2" thickBot="1">
      <c r="V217" s="19" t="e">
        <f>IF(Table39[[#This Row],[CODE]]=18, Table39[ [#This Row],[Account Deposit Amount] ]-Table39[ [#This Row],[Account Withdrawl Amount] ], )</f>
        <v>#VALUE!</v>
      </c>
    </row>
    <row r="218" spans="22:22" ht="16.2" thickBot="1">
      <c r="V218" s="19" t="e">
        <f>IF(Table39[[#This Row],[CODE]]=18, Table39[ [#This Row],[Account Deposit Amount] ]-Table39[ [#This Row],[Account Withdrawl Amount] ], )</f>
        <v>#VALUE!</v>
      </c>
    </row>
    <row r="219" spans="22:22" ht="16.2" thickBot="1">
      <c r="V219" s="19" t="e">
        <f>IF(Table39[[#This Row],[CODE]]=18, Table39[ [#This Row],[Account Deposit Amount] ]-Table39[ [#This Row],[Account Withdrawl Amount] ], )</f>
        <v>#VALUE!</v>
      </c>
    </row>
    <row r="220" spans="22:22" ht="16.2" thickBot="1">
      <c r="V220" s="19" t="e">
        <f>IF(Table39[[#This Row],[CODE]]=18, Table39[ [#This Row],[Account Deposit Amount] ]-Table39[ [#This Row],[Account Withdrawl Amount] ], )</f>
        <v>#VALUE!</v>
      </c>
    </row>
    <row r="221" spans="22:22" ht="16.2" thickBot="1">
      <c r="V221" s="19" t="e">
        <f>IF(Table39[[#This Row],[CODE]]=18, Table39[ [#This Row],[Account Deposit Amount] ]-Table39[ [#This Row],[Account Withdrawl Amount] ], )</f>
        <v>#VALUE!</v>
      </c>
    </row>
    <row r="222" spans="22:22" ht="16.2" thickBot="1">
      <c r="V222" s="19" t="e">
        <f>IF(Table39[[#This Row],[CODE]]=18, Table39[ [#This Row],[Account Deposit Amount] ]-Table39[ [#This Row],[Account Withdrawl Amount] ], )</f>
        <v>#VALUE!</v>
      </c>
    </row>
    <row r="223" spans="22:22" ht="16.2" thickBot="1">
      <c r="V223" s="19" t="e">
        <f>IF(Table39[[#This Row],[CODE]]=18, Table39[ [#This Row],[Account Deposit Amount] ]-Table39[ [#This Row],[Account Withdrawl Amount] ], )</f>
        <v>#VALUE!</v>
      </c>
    </row>
    <row r="224" spans="22:22" ht="16.2" thickBot="1">
      <c r="V224" s="19" t="e">
        <f>IF(Table39[[#This Row],[CODE]]=18, Table39[ [#This Row],[Account Deposit Amount] ]-Table39[ [#This Row],[Account Withdrawl Amount] ], )</f>
        <v>#VALUE!</v>
      </c>
    </row>
    <row r="225" spans="22:22" ht="16.2" thickBot="1">
      <c r="V225" s="19" t="e">
        <f>IF(Table39[[#This Row],[CODE]]=18, Table39[ [#This Row],[Account Deposit Amount] ]-Table39[ [#This Row],[Account Withdrawl Amount] ], )</f>
        <v>#VALUE!</v>
      </c>
    </row>
    <row r="226" spans="22:22" ht="16.2" thickBot="1">
      <c r="V226" s="19" t="e">
        <f>IF(Table39[[#This Row],[CODE]]=18, Table39[ [#This Row],[Account Deposit Amount] ]-Table39[ [#This Row],[Account Withdrawl Amount] ], )</f>
        <v>#VALUE!</v>
      </c>
    </row>
    <row r="227" spans="22:22" ht="16.2" thickBot="1">
      <c r="V227" s="19" t="e">
        <f>IF(Table39[[#This Row],[CODE]]=18, Table39[ [#This Row],[Account Deposit Amount] ]-Table39[ [#This Row],[Account Withdrawl Amount] ], )</f>
        <v>#VALUE!</v>
      </c>
    </row>
    <row r="228" spans="22:22" ht="16.2" thickBot="1">
      <c r="V228" s="19" t="e">
        <f>IF(Table39[[#This Row],[CODE]]=18, Table39[ [#This Row],[Account Deposit Amount] ]-Table39[ [#This Row],[Account Withdrawl Amount] ], )</f>
        <v>#VALUE!</v>
      </c>
    </row>
    <row r="229" spans="22:22" ht="16.2" thickBot="1">
      <c r="V229" s="19" t="e">
        <f>IF(Table39[[#This Row],[CODE]]=18, Table39[ [#This Row],[Account Deposit Amount] ]-Table39[ [#This Row],[Account Withdrawl Amount] ], )</f>
        <v>#VALUE!</v>
      </c>
    </row>
    <row r="230" spans="22:22" ht="16.2" thickBot="1">
      <c r="V230" s="19" t="e">
        <f>IF(Table39[[#This Row],[CODE]]=18, Table39[ [#This Row],[Account Deposit Amount] ]-Table39[ [#This Row],[Account Withdrawl Amount] ], )</f>
        <v>#VALUE!</v>
      </c>
    </row>
    <row r="231" spans="22:22" ht="16.2" thickBot="1">
      <c r="V231" s="19" t="e">
        <f>IF(Table39[[#This Row],[CODE]]=18, Table39[ [#This Row],[Account Deposit Amount] ]-Table39[ [#This Row],[Account Withdrawl Amount] ], )</f>
        <v>#VALUE!</v>
      </c>
    </row>
    <row r="232" spans="22:22" ht="16.2" thickBot="1">
      <c r="V232" s="19" t="e">
        <f>IF(Table39[[#This Row],[CODE]]=18, Table39[ [#This Row],[Account Deposit Amount] ]-Table39[ [#This Row],[Account Withdrawl Amount] ], )</f>
        <v>#VALUE!</v>
      </c>
    </row>
    <row r="233" spans="22:22" ht="16.2" thickBot="1">
      <c r="V233" s="19" t="e">
        <f>IF(Table39[[#This Row],[CODE]]=18, Table39[ [#This Row],[Account Deposit Amount] ]-Table39[ [#This Row],[Account Withdrawl Amount] ], )</f>
        <v>#VALUE!</v>
      </c>
    </row>
    <row r="234" spans="22:22" ht="16.2" thickBot="1">
      <c r="V234" s="19" t="e">
        <f>IF(Table39[[#This Row],[CODE]]=18, Table39[ [#This Row],[Account Deposit Amount] ]-Table39[ [#This Row],[Account Withdrawl Amount] ], )</f>
        <v>#VALUE!</v>
      </c>
    </row>
    <row r="235" spans="22:22" ht="16.2" thickBot="1">
      <c r="V235" s="19" t="e">
        <f>IF(Table39[[#This Row],[CODE]]=18, Table39[ [#This Row],[Account Deposit Amount] ]-Table39[ [#This Row],[Account Withdrawl Amount] ], )</f>
        <v>#VALUE!</v>
      </c>
    </row>
    <row r="236" spans="22:22" ht="16.2" thickBot="1">
      <c r="V236" s="19" t="e">
        <f>IF(Table39[[#This Row],[CODE]]=18, Table39[ [#This Row],[Account Deposit Amount] ]-Table39[ [#This Row],[Account Withdrawl Amount] ], )</f>
        <v>#VALUE!</v>
      </c>
    </row>
    <row r="237" spans="22:22" ht="16.2" thickBot="1">
      <c r="V237" s="19" t="e">
        <f>IF(Table39[[#This Row],[CODE]]=18, Table39[ [#This Row],[Account Deposit Amount] ]-Table39[ [#This Row],[Account Withdrawl Amount] ], )</f>
        <v>#VALUE!</v>
      </c>
    </row>
    <row r="238" spans="22:22" ht="16.2" thickBot="1">
      <c r="V238" s="19" t="e">
        <f>IF(Table39[[#This Row],[CODE]]=18, Table39[ [#This Row],[Account Deposit Amount] ]-Table39[ [#This Row],[Account Withdrawl Amount] ], )</f>
        <v>#VALUE!</v>
      </c>
    </row>
    <row r="239" spans="22:22" ht="16.2" thickBot="1">
      <c r="V239" s="19" t="e">
        <f>IF(Table39[[#This Row],[CODE]]=18, Table39[ [#This Row],[Account Deposit Amount] ]-Table39[ [#This Row],[Account Withdrawl Amount] ], )</f>
        <v>#VALUE!</v>
      </c>
    </row>
    <row r="240" spans="22:22" ht="16.2" thickBot="1">
      <c r="V240" s="19" t="e">
        <f>IF(Table39[[#This Row],[CODE]]=18, Table39[ [#This Row],[Account Deposit Amount] ]-Table39[ [#This Row],[Account Withdrawl Amount] ], )</f>
        <v>#VALUE!</v>
      </c>
    </row>
    <row r="241" spans="22:22" ht="16.2" thickBot="1">
      <c r="V241" s="19" t="e">
        <f>IF(Table39[[#This Row],[CODE]]=18, Table39[ [#This Row],[Account Deposit Amount] ]-Table39[ [#This Row],[Account Withdrawl Amount] ], )</f>
        <v>#VALUE!</v>
      </c>
    </row>
    <row r="242" spans="22:22" ht="16.2" thickBot="1">
      <c r="V242" s="19" t="e">
        <f>IF(Table39[[#This Row],[CODE]]=18, Table39[ [#This Row],[Account Deposit Amount] ]-Table39[ [#This Row],[Account Withdrawl Amount] ], )</f>
        <v>#VALUE!</v>
      </c>
    </row>
    <row r="243" spans="22:22" ht="16.2" thickBot="1">
      <c r="V243" s="19" t="e">
        <f>IF(Table39[[#This Row],[CODE]]=18, Table39[ [#This Row],[Account Deposit Amount] ]-Table39[ [#This Row],[Account Withdrawl Amount] ], )</f>
        <v>#VALUE!</v>
      </c>
    </row>
    <row r="244" spans="22:22" ht="16.2" thickBot="1">
      <c r="V244" s="19" t="e">
        <f>IF(Table39[[#This Row],[CODE]]=18, Table39[ [#This Row],[Account Deposit Amount] ]-Table39[ [#This Row],[Account Withdrawl Amount] ], )</f>
        <v>#VALUE!</v>
      </c>
    </row>
    <row r="245" spans="22:22" ht="16.2" thickBot="1">
      <c r="V245" s="19" t="e">
        <f>IF(Table39[[#This Row],[CODE]]=18, Table39[ [#This Row],[Account Deposit Amount] ]-Table39[ [#This Row],[Account Withdrawl Amount] ], )</f>
        <v>#VALUE!</v>
      </c>
    </row>
    <row r="246" spans="22:22" ht="16.2" thickBot="1">
      <c r="V246" s="19" t="e">
        <f>IF(Table39[[#This Row],[CODE]]=18, Table39[ [#This Row],[Account Deposit Amount] ]-Table39[ [#This Row],[Account Withdrawl Amount] ], )</f>
        <v>#VALUE!</v>
      </c>
    </row>
    <row r="247" spans="22:22" ht="16.2" thickBot="1">
      <c r="V247" s="19" t="e">
        <f>IF(Table39[[#This Row],[CODE]]=18, Table39[ [#This Row],[Account Deposit Amount] ]-Table39[ [#This Row],[Account Withdrawl Amount] ], )</f>
        <v>#VALUE!</v>
      </c>
    </row>
    <row r="248" spans="22:22" ht="16.2" thickBot="1">
      <c r="V248" s="19" t="e">
        <f>IF(Table39[[#This Row],[CODE]]=18, Table39[ [#This Row],[Account Deposit Amount] ]-Table39[ [#This Row],[Account Withdrawl Amount] ], )</f>
        <v>#VALUE!</v>
      </c>
    </row>
    <row r="249" spans="22:22" ht="16.2" thickBot="1">
      <c r="V249" s="19" t="e">
        <f>IF(Table39[[#This Row],[CODE]]=18, Table39[ [#This Row],[Account Deposit Amount] ]-Table39[ [#This Row],[Account Withdrawl Amount] ], )</f>
        <v>#VALUE!</v>
      </c>
    </row>
    <row r="250" spans="22:22" ht="16.2" thickBot="1">
      <c r="V250" s="19" t="e">
        <f>IF(Table39[[#This Row],[CODE]]=18, Table39[ [#This Row],[Account Deposit Amount] ]-Table39[ [#This Row],[Account Withdrawl Amount] ], )</f>
        <v>#VALUE!</v>
      </c>
    </row>
    <row r="251" spans="22:22" ht="16.2" thickBot="1">
      <c r="V251" s="19" t="e">
        <f>IF(Table39[[#This Row],[CODE]]=18, Table39[ [#This Row],[Account Deposit Amount] ]-Table39[ [#This Row],[Account Withdrawl Amount] ], )</f>
        <v>#VALUE!</v>
      </c>
    </row>
    <row r="252" spans="22:22" ht="16.2" thickBot="1">
      <c r="V252" s="19" t="e">
        <f>IF(Table39[[#This Row],[CODE]]=18, Table39[ [#This Row],[Account Deposit Amount] ]-Table39[ [#This Row],[Account Withdrawl Amount] ], )</f>
        <v>#VALUE!</v>
      </c>
    </row>
    <row r="253" spans="22:22" ht="16.2" thickBot="1">
      <c r="V253" s="19" t="e">
        <f>IF(Table39[[#This Row],[CODE]]=18, Table39[ [#This Row],[Account Deposit Amount] ]-Table39[ [#This Row],[Account Withdrawl Amount] ], )</f>
        <v>#VALUE!</v>
      </c>
    </row>
    <row r="254" spans="22:22" ht="16.2" thickBot="1">
      <c r="V254" s="19" t="e">
        <f>IF(Table39[[#This Row],[CODE]]=18, Table39[ [#This Row],[Account Deposit Amount] ]-Table39[ [#This Row],[Account Withdrawl Amount] ], )</f>
        <v>#VALUE!</v>
      </c>
    </row>
    <row r="255" spans="22:22" ht="16.2" thickBot="1">
      <c r="V255" s="19" t="e">
        <f>IF(Table39[[#This Row],[CODE]]=18, Table39[ [#This Row],[Account Deposit Amount] ]-Table39[ [#This Row],[Account Withdrawl Amount] ], )</f>
        <v>#VALUE!</v>
      </c>
    </row>
    <row r="256" spans="22:22" ht="16.2" thickBot="1">
      <c r="V256" s="19" t="e">
        <f>IF(Table39[[#This Row],[CODE]]=18, Table39[ [#This Row],[Account Deposit Amount] ]-Table39[ [#This Row],[Account Withdrawl Amount] ], )</f>
        <v>#VALUE!</v>
      </c>
    </row>
    <row r="257" spans="22:22" ht="16.2" thickBot="1">
      <c r="V257" s="19" t="e">
        <f>IF(Table39[[#This Row],[CODE]]=18, Table39[ [#This Row],[Account Deposit Amount] ]-Table39[ [#This Row],[Account Withdrawl Amount] ], )</f>
        <v>#VALUE!</v>
      </c>
    </row>
    <row r="258" spans="22:22" ht="16.2" thickBot="1">
      <c r="V258" s="19" t="e">
        <f>IF(Table39[[#This Row],[CODE]]=18, Table39[ [#This Row],[Account Deposit Amount] ]-Table39[ [#This Row],[Account Withdrawl Amount] ], )</f>
        <v>#VALUE!</v>
      </c>
    </row>
    <row r="259" spans="22:22" ht="16.2" thickBot="1">
      <c r="V259" s="19" t="e">
        <f>IF(Table39[[#This Row],[CODE]]=18, Table39[ [#This Row],[Account Deposit Amount] ]-Table39[ [#This Row],[Account Withdrawl Amount] ], )</f>
        <v>#VALUE!</v>
      </c>
    </row>
    <row r="260" spans="22:22" ht="16.2" thickBot="1">
      <c r="V260" s="19" t="e">
        <f>IF(Table39[[#This Row],[CODE]]=18, Table39[ [#This Row],[Account Deposit Amount] ]-Table39[ [#This Row],[Account Withdrawl Amount] ], )</f>
        <v>#VALUE!</v>
      </c>
    </row>
    <row r="261" spans="22:22" ht="16.2" thickBot="1">
      <c r="V261" s="19" t="e">
        <f>IF(Table39[[#This Row],[CODE]]=18, Table39[ [#This Row],[Account Deposit Amount] ]-Table39[ [#This Row],[Account Withdrawl Amount] ], )</f>
        <v>#VALUE!</v>
      </c>
    </row>
    <row r="262" spans="22:22" ht="16.2" thickBot="1">
      <c r="V262" s="19" t="e">
        <f>IF(Table39[[#This Row],[CODE]]=18, Table39[ [#This Row],[Account Deposit Amount] ]-Table39[ [#This Row],[Account Withdrawl Amount] ], )</f>
        <v>#VALUE!</v>
      </c>
    </row>
    <row r="263" spans="22:22" ht="16.2" thickBot="1">
      <c r="V263" s="19" t="e">
        <f>IF(Table39[[#This Row],[CODE]]=18, Table39[ [#This Row],[Account Deposit Amount] ]-Table39[ [#This Row],[Account Withdrawl Amount] ], )</f>
        <v>#VALUE!</v>
      </c>
    </row>
    <row r="264" spans="22:22" ht="16.2" thickBot="1">
      <c r="V264" s="19" t="e">
        <f>IF(Table39[[#This Row],[CODE]]=18, Table39[ [#This Row],[Account Deposit Amount] ]-Table39[ [#This Row],[Account Withdrawl Amount] ], )</f>
        <v>#VALUE!</v>
      </c>
    </row>
    <row r="265" spans="22:22" ht="16.2" thickBot="1">
      <c r="V265" s="19" t="e">
        <f>IF(Table39[[#This Row],[CODE]]=18, Table39[ [#This Row],[Account Deposit Amount] ]-Table39[ [#This Row],[Account Withdrawl Amount] ], )</f>
        <v>#VALUE!</v>
      </c>
    </row>
    <row r="266" spans="22:22" ht="16.2" thickBot="1">
      <c r="V266" s="19" t="e">
        <f>IF(Table39[[#This Row],[CODE]]=18, Table39[ [#This Row],[Account Deposit Amount] ]-Table39[ [#This Row],[Account Withdrawl Amount] ], )</f>
        <v>#VALUE!</v>
      </c>
    </row>
    <row r="267" spans="22:22" ht="16.2" thickBot="1">
      <c r="V267" s="19" t="e">
        <f>IF(Table39[[#This Row],[CODE]]=18, Table39[ [#This Row],[Account Deposit Amount] ]-Table39[ [#This Row],[Account Withdrawl Amount] ], )</f>
        <v>#VALUE!</v>
      </c>
    </row>
    <row r="268" spans="22:22" ht="16.2" thickBot="1">
      <c r="V268" s="19" t="e">
        <f>IF(Table39[[#This Row],[CODE]]=18, Table39[ [#This Row],[Account Deposit Amount] ]-Table39[ [#This Row],[Account Withdrawl Amount] ], )</f>
        <v>#VALUE!</v>
      </c>
    </row>
    <row r="269" spans="22:22" ht="16.2" thickBot="1">
      <c r="V269" s="19" t="e">
        <f>IF(Table39[[#This Row],[CODE]]=18, Table39[ [#This Row],[Account Deposit Amount] ]-Table39[ [#This Row],[Account Withdrawl Amount] ], )</f>
        <v>#VALUE!</v>
      </c>
    </row>
    <row r="270" spans="22:22" ht="16.2" thickBot="1">
      <c r="V270" s="19" t="e">
        <f>IF(Table39[[#This Row],[CODE]]=18, Table39[ [#This Row],[Account Deposit Amount] ]-Table39[ [#This Row],[Account Withdrawl Amount] ], )</f>
        <v>#VALUE!</v>
      </c>
    </row>
    <row r="271" spans="22:22" ht="16.2" thickBot="1">
      <c r="V271" s="19" t="e">
        <f>IF(Table39[[#This Row],[CODE]]=18, Table39[ [#This Row],[Account Deposit Amount] ]-Table39[ [#This Row],[Account Withdrawl Amount] ], )</f>
        <v>#VALUE!</v>
      </c>
    </row>
    <row r="272" spans="22:22" ht="16.2" thickBot="1">
      <c r="V272" s="19" t="e">
        <f>IF(Table39[[#This Row],[CODE]]=18, Table39[ [#This Row],[Account Deposit Amount] ]-Table39[ [#This Row],[Account Withdrawl Amount] ], )</f>
        <v>#VALUE!</v>
      </c>
    </row>
    <row r="273" spans="22:22" ht="16.2" thickBot="1">
      <c r="V273" s="19" t="e">
        <f>IF(Table39[[#This Row],[CODE]]=18, Table39[ [#This Row],[Account Deposit Amount] ]-Table39[ [#This Row],[Account Withdrawl Amount] ], )</f>
        <v>#VALUE!</v>
      </c>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E668D-2740-4189-A54B-DE1A67D424C0}">
  <dimension ref="A1:AA273"/>
  <sheetViews>
    <sheetView workbookViewId="0">
      <selection activeCell="A3" sqref="A3"/>
    </sheetView>
  </sheetViews>
  <sheetFormatPr defaultColWidth="9.109375" defaultRowHeight="12"/>
  <cols>
    <col min="1" max="1" width="9.109375" style="21"/>
    <col min="2" max="2" width="10.109375" style="27" bestFit="1" customWidth="1"/>
    <col min="3" max="4" width="23.44140625" style="21" customWidth="1"/>
    <col min="5" max="6" width="10.88671875" style="28" customWidth="1"/>
    <col min="7" max="7" width="13.5546875" style="4" customWidth="1"/>
    <col min="8" max="8" width="9.109375" style="21"/>
    <col min="9" max="9" width="9.109375" style="38"/>
    <col min="10" max="11" width="9.109375" style="39"/>
    <col min="12" max="21" width="9.109375" style="38"/>
    <col min="22" max="22" width="9.109375" style="4"/>
    <col min="23" max="16384" width="9.109375" style="21"/>
  </cols>
  <sheetData>
    <row r="1" spans="1:27" s="4" customFormat="1" ht="15.75" customHeight="1" thickBot="1">
      <c r="A1" s="16"/>
      <c r="B1" s="2"/>
      <c r="C1" s="1"/>
      <c r="D1" s="1"/>
      <c r="E1" s="29"/>
      <c r="F1" s="30"/>
      <c r="G1" s="3" t="s">
        <v>180</v>
      </c>
      <c r="H1" s="3"/>
      <c r="I1" s="338" t="s">
        <v>49</v>
      </c>
      <c r="J1" s="339"/>
      <c r="K1" s="339"/>
      <c r="L1" s="339"/>
      <c r="M1" s="340">
        <f>SUM(I2:N2)</f>
        <v>590.05999999999995</v>
      </c>
      <c r="N1" s="340"/>
      <c r="O1" s="344" t="s">
        <v>50</v>
      </c>
      <c r="P1" s="344"/>
      <c r="Q1" s="344"/>
      <c r="R1" s="344"/>
      <c r="S1" s="344"/>
      <c r="T1" s="344"/>
      <c r="U1" s="342" t="e">
        <f>SUM(O2:V2)</f>
        <v>#VALUE!</v>
      </c>
      <c r="V1" s="343"/>
      <c r="W1" s="1"/>
      <c r="X1" s="1"/>
      <c r="Y1" s="1"/>
      <c r="Z1" s="1"/>
    </row>
    <row r="2" spans="1:27" s="4" customFormat="1" ht="12.6" thickBot="1">
      <c r="A2" s="1"/>
      <c r="B2" s="2"/>
      <c r="C2" s="1"/>
      <c r="D2" s="1" t="s">
        <v>51</v>
      </c>
      <c r="E2" s="5">
        <f>SUM(E4:E957)</f>
        <v>1228.54</v>
      </c>
      <c r="F2" s="5">
        <f>SUM(F4:F957)</f>
        <v>3519.0399999999986</v>
      </c>
      <c r="G2" s="6">
        <f>G4+E2-F2</f>
        <v>16058.499999999995</v>
      </c>
      <c r="H2" s="81"/>
      <c r="I2" s="7">
        <f t="shared" ref="I2:T2" si="0">SUM(I4:I957)</f>
        <v>0</v>
      </c>
      <c r="J2" s="8">
        <f t="shared" si="0"/>
        <v>0</v>
      </c>
      <c r="K2" s="8">
        <f t="shared" si="0"/>
        <v>0</v>
      </c>
      <c r="L2" s="7">
        <f t="shared" si="0"/>
        <v>0</v>
      </c>
      <c r="M2" s="7">
        <f t="shared" si="0"/>
        <v>0</v>
      </c>
      <c r="N2" s="7">
        <f t="shared" si="0"/>
        <v>590.05999999999995</v>
      </c>
      <c r="O2" s="9">
        <f t="shared" si="0"/>
        <v>0</v>
      </c>
      <c r="P2" s="9">
        <f t="shared" si="0"/>
        <v>-619.70000000000005</v>
      </c>
      <c r="Q2" s="9">
        <f t="shared" si="0"/>
        <v>-1076.8400000000001</v>
      </c>
      <c r="R2" s="9">
        <f t="shared" si="0"/>
        <v>-164.07</v>
      </c>
      <c r="S2" s="9">
        <f t="shared" si="0"/>
        <v>-190.92</v>
      </c>
      <c r="T2" s="9">
        <f t="shared" si="0"/>
        <v>-829.03</v>
      </c>
      <c r="U2" s="9" t="e">
        <f t="shared" ref="U2:V2" si="1">SUM(U4:U1006)</f>
        <v>#VALUE!</v>
      </c>
      <c r="V2" s="9" t="e">
        <f t="shared" si="1"/>
        <v>#VALUE!</v>
      </c>
      <c r="W2" s="1"/>
      <c r="X2" s="1"/>
      <c r="Y2" s="1"/>
      <c r="Z2" s="1"/>
    </row>
    <row r="3" spans="1:27" s="15" customFormat="1" ht="52.2"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5" t="s">
        <v>198</v>
      </c>
      <c r="W3" s="14"/>
      <c r="X3" s="14"/>
      <c r="Y3" s="14"/>
      <c r="Z3" s="14"/>
      <c r="AA3" s="14"/>
    </row>
    <row r="4" spans="1:27" s="23" customFormat="1" ht="12.6" thickBot="1">
      <c r="A4" s="101"/>
      <c r="B4" s="102">
        <v>44682</v>
      </c>
      <c r="C4" s="103" t="s">
        <v>199</v>
      </c>
      <c r="D4" s="101"/>
      <c r="E4" s="104"/>
      <c r="F4" s="105"/>
      <c r="G4" s="44">
        <f>Aug!G2</f>
        <v>18348.999999999993</v>
      </c>
      <c r="H4" s="106"/>
      <c r="I4" s="17">
        <f>IF(Table41[[#This Row],[CODE]]=1, Table41[ [#This Row],[Account Deposit Amount] ]-Table41[ [#This Row],[Account Withdrawl Amount] ], )</f>
        <v>0</v>
      </c>
      <c r="J4" s="18">
        <f>IF(Table41[[#This Row],[CODE]]=2, Table41[ [#This Row],[Account Deposit Amount] ]-Table41[ [#This Row],[Account Withdrawl Amount] ], )</f>
        <v>0</v>
      </c>
      <c r="K4" s="18">
        <f>IF(Table41[[#This Row],[CODE]]=3, Table41[ [#This Row],[Account Deposit Amount] ]-Table41[ [#This Row],[Account Withdrawl Amount] ], )</f>
        <v>0</v>
      </c>
      <c r="L4" s="18">
        <f>IF(Table41[[#This Row],[CODE]]=4, Table41[ [#This Row],[Account Deposit Amount] ]-Table41[ [#This Row],[Account Withdrawl Amount] ], )</f>
        <v>0</v>
      </c>
      <c r="M4" s="18">
        <f>IF(Table41[[#This Row],[CODE]]=5, Table41[ [#This Row],[Account Deposit Amount] ]-Table41[ [#This Row],[Account Withdrawl Amount] ], )</f>
        <v>0</v>
      </c>
      <c r="N4" s="18">
        <f>IF(Table41[[#This Row],[CODE]]=6, Table41[ [#This Row],[Account Deposit Amount] ]-Table41[ [#This Row],[Account Withdrawl Amount] ], )</f>
        <v>0</v>
      </c>
      <c r="O4" s="18">
        <f>IF(Table41[[#This Row],[CODE]]=11, Table41[ [#This Row],[Account Deposit Amount] ]-Table41[ [#This Row],[Account Withdrawl Amount] ], )</f>
        <v>0</v>
      </c>
      <c r="P4" s="18">
        <f>IF(Table41[[#This Row],[CODE]]=12, Table41[ [#This Row],[Account Deposit Amount] ]-Table41[ [#This Row],[Account Withdrawl Amount] ], )</f>
        <v>0</v>
      </c>
      <c r="Q4" s="18">
        <f>IF(Table41[[#This Row],[CODE]]=13, Table41[ [#This Row],[Account Deposit Amount] ]-Table41[ [#This Row],[Account Withdrawl Amount] ], )</f>
        <v>0</v>
      </c>
      <c r="R4" s="18">
        <f>IF(Table41[[#This Row],[CODE]]=14, Table41[ [#This Row],[Account Deposit Amount] ]-Table41[ [#This Row],[Account Withdrawl Amount] ], )</f>
        <v>0</v>
      </c>
      <c r="S4" s="18">
        <f>IF(Table41[[#This Row],[CODE]]=15, Table41[ [#This Row],[Account Deposit Amount] ]-Table41[ [#This Row],[Account Withdrawl Amount] ], )</f>
        <v>0</v>
      </c>
      <c r="T4" s="18">
        <f>IF(Table41[[#This Row],[CODE]]=16, Table41[ [#This Row],[Account Deposit Amount] ]-Table41[ [#This Row],[Account Withdrawl Amount] ], )</f>
        <v>0</v>
      </c>
      <c r="U4" s="17">
        <f>IF(Table41[[#This Row],[CODE]]=17, Table41[ [#This Row],[Account Deposit Amount] ]-Table41[ [#This Row],[Account Withdrawl Amount] ], )</f>
        <v>0</v>
      </c>
      <c r="V4" s="19">
        <f>IF(Table41[[#This Row],[CODE]]=18, Table41[ [#This Row],[Account Deposit Amount] ]-Table41[ [#This Row],[Account Withdrawl Amount] ], )</f>
        <v>0</v>
      </c>
      <c r="W4" s="22"/>
      <c r="X4" s="22"/>
      <c r="Y4" s="22"/>
      <c r="Z4" s="22"/>
      <c r="AA4" s="22"/>
    </row>
    <row r="5" spans="1:27" ht="12.6" thickBot="1">
      <c r="A5" s="23"/>
      <c r="B5" s="24"/>
      <c r="C5" s="23"/>
      <c r="D5" s="25"/>
      <c r="E5" s="26"/>
      <c r="F5" s="26"/>
      <c r="G5" s="37">
        <f>G4+E5-F5</f>
        <v>18348.999999999993</v>
      </c>
      <c r="H5" s="153"/>
      <c r="I5" s="17">
        <f>IF(Table41[[#This Row],[CODE]]=1, Table41[ [#This Row],[Account Deposit Amount] ]-Table41[ [#This Row],[Account Withdrawl Amount] ], )</f>
        <v>0</v>
      </c>
      <c r="J5" s="18">
        <f>IF(Table41[[#This Row],[CODE]]=2, Table41[ [#This Row],[Account Deposit Amount] ]-Table41[ [#This Row],[Account Withdrawl Amount] ], )</f>
        <v>0</v>
      </c>
      <c r="K5" s="18">
        <f>IF(Table41[[#This Row],[CODE]]=3, Table41[ [#This Row],[Account Deposit Amount] ]-Table41[ [#This Row],[Account Withdrawl Amount] ], )</f>
        <v>0</v>
      </c>
      <c r="L5" s="18">
        <f>IF(Table41[[#This Row],[CODE]]=4, Table41[ [#This Row],[Account Deposit Amount] ]-Table41[ [#This Row],[Account Withdrawl Amount] ], )</f>
        <v>0</v>
      </c>
      <c r="M5" s="18">
        <f>IF(Table41[[#This Row],[CODE]]=5, Table41[ [#This Row],[Account Deposit Amount] ]-Table41[ [#This Row],[Account Withdrawl Amount] ], )</f>
        <v>0</v>
      </c>
      <c r="N5" s="18">
        <f>IF(Table41[[#This Row],[CODE]]=6, Table41[ [#This Row],[Account Deposit Amount] ]-Table41[ [#This Row],[Account Withdrawl Amount] ], )</f>
        <v>0</v>
      </c>
      <c r="O5" s="18">
        <f>IF(Table41[[#This Row],[CODE]]=11, Table41[ [#This Row],[Account Deposit Amount] ]-Table41[ [#This Row],[Account Withdrawl Amount] ], )</f>
        <v>0</v>
      </c>
      <c r="P5" s="18">
        <f>IF(Table41[[#This Row],[CODE]]=12, Table41[ [#This Row],[Account Deposit Amount] ]-Table41[ [#This Row],[Account Withdrawl Amount] ], )</f>
        <v>0</v>
      </c>
      <c r="Q5" s="18">
        <f>IF(Table41[[#This Row],[CODE]]=13, Table41[ [#This Row],[Account Deposit Amount] ]-Table41[ [#This Row],[Account Withdrawl Amount] ], )</f>
        <v>0</v>
      </c>
      <c r="R5" s="18">
        <f>IF(Table41[[#This Row],[CODE]]=14, Table41[ [#This Row],[Account Deposit Amount] ]-Table41[ [#This Row],[Account Withdrawl Amount] ], )</f>
        <v>0</v>
      </c>
      <c r="S5" s="18">
        <f>IF(Table41[[#This Row],[CODE]]=15, Table41[ [#This Row],[Account Deposit Amount] ]-Table41[ [#This Row],[Account Withdrawl Amount] ], )</f>
        <v>0</v>
      </c>
      <c r="T5" s="18">
        <f>IF(Table41[[#This Row],[CODE]]=16, Table41[ [#This Row],[Account Deposit Amount] ]-Table41[ [#This Row],[Account Withdrawl Amount] ], )</f>
        <v>0</v>
      </c>
      <c r="U5" s="17">
        <f>IF(Table41[[#This Row],[CODE]]=17, Table41[ [#This Row],[Account Deposit Amount] ]-Table41[ [#This Row],[Account Withdrawl Amount] ], )</f>
        <v>0</v>
      </c>
      <c r="V5" s="19">
        <f>IF(Table41[[#This Row],[CODE]]=18, Table41[ [#This Row],[Account Deposit Amount] ]-Table41[ [#This Row],[Account Withdrawl Amount] ], )</f>
        <v>0</v>
      </c>
      <c r="W5" s="20"/>
      <c r="X5" s="20"/>
      <c r="Y5" s="20"/>
      <c r="Z5" s="20"/>
      <c r="AA5" s="20"/>
    </row>
    <row r="6" spans="1:27" ht="13.8" thickBot="1">
      <c r="A6" s="116" t="s">
        <v>321</v>
      </c>
      <c r="B6" s="119">
        <v>44747</v>
      </c>
      <c r="C6" s="101" t="s">
        <v>322</v>
      </c>
      <c r="D6" s="101" t="s">
        <v>323</v>
      </c>
      <c r="E6" s="116"/>
      <c r="F6" s="116">
        <v>41.51</v>
      </c>
      <c r="G6" s="82">
        <f>G5+E6-F6</f>
        <v>18307.489999999994</v>
      </c>
      <c r="H6" s="101">
        <v>13</v>
      </c>
      <c r="I6" s="17">
        <f>IF(Table41[[#This Row],[CODE]]=1, Table41[ [#This Row],[Account Deposit Amount] ]-Table41[ [#This Row],[Account Withdrawl Amount] ], )</f>
        <v>0</v>
      </c>
      <c r="J6" s="18">
        <f>IF(Table41[[#This Row],[CODE]]=2, Table41[ [#This Row],[Account Deposit Amount] ]-Table41[ [#This Row],[Account Withdrawl Amount] ], )</f>
        <v>0</v>
      </c>
      <c r="K6" s="18">
        <f>IF(Table41[[#This Row],[CODE]]=3, Table41[ [#This Row],[Account Deposit Amount] ]-Table41[ [#This Row],[Account Withdrawl Amount] ], )</f>
        <v>0</v>
      </c>
      <c r="L6" s="18">
        <f>IF(Table41[[#This Row],[CODE]]=4, Table41[ [#This Row],[Account Deposit Amount] ]-Table41[ [#This Row],[Account Withdrawl Amount] ], )</f>
        <v>0</v>
      </c>
      <c r="M6" s="18">
        <f>IF(Table41[[#This Row],[CODE]]=5, Table41[ [#This Row],[Account Deposit Amount] ]-Table41[ [#This Row],[Account Withdrawl Amount] ], )</f>
        <v>0</v>
      </c>
      <c r="N6" s="18">
        <f>IF(Table41[[#This Row],[CODE]]=6, Table41[ [#This Row],[Account Deposit Amount] ]-Table41[ [#This Row],[Account Withdrawl Amount] ], )</f>
        <v>0</v>
      </c>
      <c r="O6" s="18">
        <f>IF(Table41[[#This Row],[CODE]]=11, Table41[ [#This Row],[Account Deposit Amount] ]-Table41[ [#This Row],[Account Withdrawl Amount] ], )</f>
        <v>0</v>
      </c>
      <c r="P6" s="18">
        <f>IF(Table41[[#This Row],[CODE]]=12, Table41[ [#This Row],[Account Deposit Amount] ]-Table41[ [#This Row],[Account Withdrawl Amount] ], )</f>
        <v>0</v>
      </c>
      <c r="Q6" s="18">
        <f>IF(Table41[[#This Row],[CODE]]=13, Table41[ [#This Row],[Account Deposit Amount] ]-Table41[ [#This Row],[Account Withdrawl Amount] ], )</f>
        <v>-41.51</v>
      </c>
      <c r="R6" s="18">
        <f>IF(Table41[[#This Row],[CODE]]=14, Table41[ [#This Row],[Account Deposit Amount] ]-Table41[ [#This Row],[Account Withdrawl Amount] ], )</f>
        <v>0</v>
      </c>
      <c r="S6" s="18">
        <f>IF(Table41[[#This Row],[CODE]]=15, Table41[ [#This Row],[Account Deposit Amount] ]-Table41[ [#This Row],[Account Withdrawl Amount] ], )</f>
        <v>0</v>
      </c>
      <c r="T6" s="18">
        <f>IF(Table41[[#This Row],[CODE]]=16, Table41[ [#This Row],[Account Deposit Amount] ]-Table41[ [#This Row],[Account Withdrawl Amount] ], )</f>
        <v>0</v>
      </c>
      <c r="U6" s="17">
        <f>IF(Table41[[#This Row],[CODE]]=17, Table41[ [#This Row],[Account Deposit Amount] ]-Table41[ [#This Row],[Account Withdrawl Amount] ], )</f>
        <v>0</v>
      </c>
      <c r="V6" s="19">
        <f>IF(Table41[[#This Row],[CODE]]=18, Table41[ [#This Row],[Account Deposit Amount] ]-Table41[ [#This Row],[Account Withdrawl Amount] ], )</f>
        <v>0</v>
      </c>
    </row>
    <row r="7" spans="1:27" ht="13.8" thickBot="1">
      <c r="A7" s="116" t="s">
        <v>238</v>
      </c>
      <c r="B7" s="119">
        <v>44750</v>
      </c>
      <c r="C7" s="118" t="s">
        <v>324</v>
      </c>
      <c r="D7" s="120" t="s">
        <v>325</v>
      </c>
      <c r="E7" s="116">
        <v>468.46</v>
      </c>
      <c r="F7" s="116"/>
      <c r="G7" s="82">
        <f t="shared" ref="G7:G12" si="2">G6+E7-F7</f>
        <v>18775.949999999993</v>
      </c>
      <c r="H7" s="118">
        <v>6</v>
      </c>
      <c r="I7" s="17">
        <f>IF(Table41[[#This Row],[CODE]]=1, Table41[ [#This Row],[Account Deposit Amount] ]-Table41[ [#This Row],[Account Withdrawl Amount] ], )</f>
        <v>0</v>
      </c>
      <c r="J7" s="18">
        <f>IF(Table41[[#This Row],[CODE]]=2, Table41[ [#This Row],[Account Deposit Amount] ]-Table41[ [#This Row],[Account Withdrawl Amount] ], )</f>
        <v>0</v>
      </c>
      <c r="K7" s="18">
        <f>IF(Table41[[#This Row],[CODE]]=3, Table41[ [#This Row],[Account Deposit Amount] ]-Table41[ [#This Row],[Account Withdrawl Amount] ], )</f>
        <v>0</v>
      </c>
      <c r="L7" s="18">
        <f>IF(Table41[[#This Row],[CODE]]=4, Table41[ [#This Row],[Account Deposit Amount] ]-Table41[ [#This Row],[Account Withdrawl Amount] ], )</f>
        <v>0</v>
      </c>
      <c r="M7" s="18">
        <f>IF(Table41[[#This Row],[CODE]]=5, Table41[ [#This Row],[Account Deposit Amount] ]-Table41[ [#This Row],[Account Withdrawl Amount] ], )</f>
        <v>0</v>
      </c>
      <c r="N7" s="18">
        <f>IF(Table41[[#This Row],[CODE]]=6, Table41[ [#This Row],[Account Deposit Amount] ]-Table41[ [#This Row],[Account Withdrawl Amount] ], )</f>
        <v>468.46</v>
      </c>
      <c r="O7" s="18">
        <f>IF(Table41[[#This Row],[CODE]]=11, Table41[ [#This Row],[Account Deposit Amount] ]-Table41[ [#This Row],[Account Withdrawl Amount] ], )</f>
        <v>0</v>
      </c>
      <c r="P7" s="18">
        <f>IF(Table41[[#This Row],[CODE]]=12, Table41[ [#This Row],[Account Deposit Amount] ]-Table41[ [#This Row],[Account Withdrawl Amount] ], )</f>
        <v>0</v>
      </c>
      <c r="Q7" s="18">
        <f>IF(Table41[[#This Row],[CODE]]=13, Table41[ [#This Row],[Account Deposit Amount] ]-Table41[ [#This Row],[Account Withdrawl Amount] ], )</f>
        <v>0</v>
      </c>
      <c r="R7" s="18">
        <f>IF(Table41[[#This Row],[CODE]]=14, Table41[ [#This Row],[Account Deposit Amount] ]-Table41[ [#This Row],[Account Withdrawl Amount] ], )</f>
        <v>0</v>
      </c>
      <c r="S7" s="18">
        <f>IF(Table41[[#This Row],[CODE]]=15, Table41[ [#This Row],[Account Deposit Amount] ]-Table41[ [#This Row],[Account Withdrawl Amount] ], )</f>
        <v>0</v>
      </c>
      <c r="T7" s="18">
        <f>IF(Table41[[#This Row],[CODE]]=16, Table41[ [#This Row],[Account Deposit Amount] ]-Table41[ [#This Row],[Account Withdrawl Amount] ], )</f>
        <v>0</v>
      </c>
      <c r="U7" s="17">
        <f>IF(Table41[[#This Row],[CODE]]=17, Table41[ [#This Row],[Account Deposit Amount] ]-Table41[ [#This Row],[Account Withdrawl Amount] ], )</f>
        <v>0</v>
      </c>
      <c r="V7" s="19">
        <f>IF(Table41[[#This Row],[CODE]]=18, Table41[ [#This Row],[Account Deposit Amount] ]-Table41[ [#This Row],[Account Withdrawl Amount] ], )</f>
        <v>0</v>
      </c>
    </row>
    <row r="8" spans="1:27" ht="13.8" thickBot="1">
      <c r="A8" s="116" t="s">
        <v>326</v>
      </c>
      <c r="B8" s="119">
        <v>44753</v>
      </c>
      <c r="C8" s="118" t="s">
        <v>327</v>
      </c>
      <c r="D8" s="120" t="s">
        <v>328</v>
      </c>
      <c r="E8" s="116"/>
      <c r="F8" s="116">
        <v>360.38</v>
      </c>
      <c r="G8" s="82">
        <f t="shared" si="2"/>
        <v>18415.569999999992</v>
      </c>
      <c r="H8" s="118">
        <v>13</v>
      </c>
      <c r="I8" s="17">
        <f>IF(Table41[[#This Row],[CODE]]=1, Table41[ [#This Row],[Account Deposit Amount] ]-Table41[ [#This Row],[Account Withdrawl Amount] ], )</f>
        <v>0</v>
      </c>
      <c r="J8" s="18">
        <f>IF(Table41[[#This Row],[CODE]]=2, Table41[ [#This Row],[Account Deposit Amount] ]-Table41[ [#This Row],[Account Withdrawl Amount] ], )</f>
        <v>0</v>
      </c>
      <c r="K8" s="18">
        <f>IF(Table41[[#This Row],[CODE]]=3, Table41[ [#This Row],[Account Deposit Amount] ]-Table41[ [#This Row],[Account Withdrawl Amount] ], )</f>
        <v>0</v>
      </c>
      <c r="L8" s="18">
        <f>IF(Table41[[#This Row],[CODE]]=4, Table41[ [#This Row],[Account Deposit Amount] ]-Table41[ [#This Row],[Account Withdrawl Amount] ], )</f>
        <v>0</v>
      </c>
      <c r="M8" s="18">
        <f>IF(Table41[[#This Row],[CODE]]=5, Table41[ [#This Row],[Account Deposit Amount] ]-Table41[ [#This Row],[Account Withdrawl Amount] ], )</f>
        <v>0</v>
      </c>
      <c r="N8" s="18">
        <f>IF(Table41[[#This Row],[CODE]]=6, Table41[ [#This Row],[Account Deposit Amount] ]-Table41[ [#This Row],[Account Withdrawl Amount] ], )</f>
        <v>0</v>
      </c>
      <c r="O8" s="18">
        <f>IF(Table41[[#This Row],[CODE]]=11, Table41[ [#This Row],[Account Deposit Amount] ]-Table41[ [#This Row],[Account Withdrawl Amount] ], )</f>
        <v>0</v>
      </c>
      <c r="P8" s="18">
        <f>IF(Table41[[#This Row],[CODE]]=12, Table41[ [#This Row],[Account Deposit Amount] ]-Table41[ [#This Row],[Account Withdrawl Amount] ], )</f>
        <v>0</v>
      </c>
      <c r="Q8" s="18">
        <f>IF(Table41[[#This Row],[CODE]]=13, Table41[ [#This Row],[Account Deposit Amount] ]-Table41[ [#This Row],[Account Withdrawl Amount] ], )</f>
        <v>-360.38</v>
      </c>
      <c r="R8" s="18">
        <f>IF(Table41[[#This Row],[CODE]]=14, Table41[ [#This Row],[Account Deposit Amount] ]-Table41[ [#This Row],[Account Withdrawl Amount] ], )</f>
        <v>0</v>
      </c>
      <c r="S8" s="18">
        <f>IF(Table41[[#This Row],[CODE]]=15, Table41[ [#This Row],[Account Deposit Amount] ]-Table41[ [#This Row],[Account Withdrawl Amount] ], )</f>
        <v>0</v>
      </c>
      <c r="T8" s="18">
        <f>IF(Table41[[#This Row],[CODE]]=16, Table41[ [#This Row],[Account Deposit Amount] ]-Table41[ [#This Row],[Account Withdrawl Amount] ], )</f>
        <v>0</v>
      </c>
      <c r="U8" s="17">
        <f>IF(Table41[[#This Row],[CODE]]=17, Table41[ [#This Row],[Account Deposit Amount] ]-Table41[ [#This Row],[Account Withdrawl Amount] ], )</f>
        <v>0</v>
      </c>
      <c r="V8" s="19">
        <f>IF(Table41[[#This Row],[CODE]]=18, Table41[ [#This Row],[Account Deposit Amount] ]-Table41[ [#This Row],[Account Withdrawl Amount] ], )</f>
        <v>0</v>
      </c>
    </row>
    <row r="9" spans="1:27" ht="13.8" thickBot="1">
      <c r="A9" s="116" t="s">
        <v>329</v>
      </c>
      <c r="B9" s="119">
        <v>44753</v>
      </c>
      <c r="C9" s="118" t="s">
        <v>330</v>
      </c>
      <c r="D9" s="120" t="s">
        <v>331</v>
      </c>
      <c r="E9" s="116"/>
      <c r="F9" s="116">
        <v>140.68</v>
      </c>
      <c r="G9" s="82">
        <f t="shared" si="2"/>
        <v>18274.889999999992</v>
      </c>
      <c r="H9" s="118">
        <v>12</v>
      </c>
      <c r="I9" s="17">
        <f>IF(Table41[[#This Row],[CODE]]=1, Table41[ [#This Row],[Account Deposit Amount] ]-Table41[ [#This Row],[Account Withdrawl Amount] ], )</f>
        <v>0</v>
      </c>
      <c r="J9" s="18">
        <f>IF(Table41[[#This Row],[CODE]]=2, Table41[ [#This Row],[Account Deposit Amount] ]-Table41[ [#This Row],[Account Withdrawl Amount] ], )</f>
        <v>0</v>
      </c>
      <c r="K9" s="18">
        <f>IF(Table41[[#This Row],[CODE]]=3, Table41[ [#This Row],[Account Deposit Amount] ]-Table41[ [#This Row],[Account Withdrawl Amount] ], )</f>
        <v>0</v>
      </c>
      <c r="L9" s="18">
        <f>IF(Table41[[#This Row],[CODE]]=4, Table41[ [#This Row],[Account Deposit Amount] ]-Table41[ [#This Row],[Account Withdrawl Amount] ], )</f>
        <v>0</v>
      </c>
      <c r="M9" s="18">
        <f>IF(Table41[[#This Row],[CODE]]=5, Table41[ [#This Row],[Account Deposit Amount] ]-Table41[ [#This Row],[Account Withdrawl Amount] ], )</f>
        <v>0</v>
      </c>
      <c r="N9" s="18">
        <f>IF(Table41[[#This Row],[CODE]]=6, Table41[ [#This Row],[Account Deposit Amount] ]-Table41[ [#This Row],[Account Withdrawl Amount] ], )</f>
        <v>0</v>
      </c>
      <c r="O9" s="18">
        <f>IF(Table41[[#This Row],[CODE]]=11, Table41[ [#This Row],[Account Deposit Amount] ]-Table41[ [#This Row],[Account Withdrawl Amount] ], )</f>
        <v>0</v>
      </c>
      <c r="P9" s="18">
        <f>IF(Table41[[#This Row],[CODE]]=12, Table41[ [#This Row],[Account Deposit Amount] ]-Table41[ [#This Row],[Account Withdrawl Amount] ], )</f>
        <v>-140.68</v>
      </c>
      <c r="Q9" s="18">
        <f>IF(Table41[[#This Row],[CODE]]=13, Table41[ [#This Row],[Account Deposit Amount] ]-Table41[ [#This Row],[Account Withdrawl Amount] ], )</f>
        <v>0</v>
      </c>
      <c r="R9" s="18">
        <f>IF(Table41[[#This Row],[CODE]]=14, Table41[ [#This Row],[Account Deposit Amount] ]-Table41[ [#This Row],[Account Withdrawl Amount] ], )</f>
        <v>0</v>
      </c>
      <c r="S9" s="18">
        <f>IF(Table41[[#This Row],[CODE]]=15, Table41[ [#This Row],[Account Deposit Amount] ]-Table41[ [#This Row],[Account Withdrawl Amount] ], )</f>
        <v>0</v>
      </c>
      <c r="T9" s="18">
        <f>IF(Table41[[#This Row],[CODE]]=16, Table41[ [#This Row],[Account Deposit Amount] ]-Table41[ [#This Row],[Account Withdrawl Amount] ], )</f>
        <v>0</v>
      </c>
      <c r="U9" s="17">
        <f>IF(Table41[[#This Row],[CODE]]=17, Table41[ [#This Row],[Account Deposit Amount] ]-Table41[ [#This Row],[Account Withdrawl Amount] ], )</f>
        <v>0</v>
      </c>
      <c r="V9" s="19">
        <f>IF(Table41[[#This Row],[CODE]]=18, Table41[ [#This Row],[Account Deposit Amount] ]-Table41[ [#This Row],[Account Withdrawl Amount] ], )</f>
        <v>0</v>
      </c>
    </row>
    <row r="10" spans="1:27" ht="13.8" thickBot="1">
      <c r="A10" s="116" t="s">
        <v>332</v>
      </c>
      <c r="B10" s="119">
        <v>44753</v>
      </c>
      <c r="C10" s="118" t="s">
        <v>327</v>
      </c>
      <c r="D10" s="120" t="s">
        <v>333</v>
      </c>
      <c r="E10" s="116"/>
      <c r="F10" s="116">
        <v>14</v>
      </c>
      <c r="G10" s="82">
        <f t="shared" si="2"/>
        <v>18260.889999999992</v>
      </c>
      <c r="H10" s="121">
        <v>13</v>
      </c>
      <c r="I10" s="17">
        <f>IF(Table41[[#This Row],[CODE]]=1, Table41[ [#This Row],[Account Deposit Amount] ]-Table41[ [#This Row],[Account Withdrawl Amount] ], )</f>
        <v>0</v>
      </c>
      <c r="J10" s="18">
        <f>IF(Table41[[#This Row],[CODE]]=2, Table41[ [#This Row],[Account Deposit Amount] ]-Table41[ [#This Row],[Account Withdrawl Amount] ], )</f>
        <v>0</v>
      </c>
      <c r="K10" s="18">
        <f>IF(Table41[[#This Row],[CODE]]=3, Table41[ [#This Row],[Account Deposit Amount] ]-Table41[ [#This Row],[Account Withdrawl Amount] ], )</f>
        <v>0</v>
      </c>
      <c r="L10" s="18">
        <f>IF(Table41[[#This Row],[CODE]]=4, Table41[ [#This Row],[Account Deposit Amount] ]-Table41[ [#This Row],[Account Withdrawl Amount] ], )</f>
        <v>0</v>
      </c>
      <c r="M10" s="18">
        <f>IF(Table41[[#This Row],[CODE]]=5, Table41[ [#This Row],[Account Deposit Amount] ]-Table41[ [#This Row],[Account Withdrawl Amount] ], )</f>
        <v>0</v>
      </c>
      <c r="N10" s="18">
        <f>IF(Table41[[#This Row],[CODE]]=6, Table41[ [#This Row],[Account Deposit Amount] ]-Table41[ [#This Row],[Account Withdrawl Amount] ], )</f>
        <v>0</v>
      </c>
      <c r="O10" s="18">
        <f>IF(Table41[[#This Row],[CODE]]=11, Table41[ [#This Row],[Account Deposit Amount] ]-Table41[ [#This Row],[Account Withdrawl Amount] ], )</f>
        <v>0</v>
      </c>
      <c r="P10" s="18">
        <f>IF(Table41[[#This Row],[CODE]]=12, Table41[ [#This Row],[Account Deposit Amount] ]-Table41[ [#This Row],[Account Withdrawl Amount] ], )</f>
        <v>0</v>
      </c>
      <c r="Q10" s="18">
        <f>IF(Table41[[#This Row],[CODE]]=13, Table41[ [#This Row],[Account Deposit Amount] ]-Table41[ [#This Row],[Account Withdrawl Amount] ], )</f>
        <v>-14</v>
      </c>
      <c r="R10" s="18">
        <f>IF(Table41[[#This Row],[CODE]]=14, Table41[ [#This Row],[Account Deposit Amount] ]-Table41[ [#This Row],[Account Withdrawl Amount] ], )</f>
        <v>0</v>
      </c>
      <c r="S10" s="18">
        <f>IF(Table41[[#This Row],[CODE]]=15, Table41[ [#This Row],[Account Deposit Amount] ]-Table41[ [#This Row],[Account Withdrawl Amount] ], )</f>
        <v>0</v>
      </c>
      <c r="T10" s="18">
        <f>IF(Table41[[#This Row],[CODE]]=16, Table41[ [#This Row],[Account Deposit Amount] ]-Table41[ [#This Row],[Account Withdrawl Amount] ], )</f>
        <v>0</v>
      </c>
      <c r="U10" s="17">
        <f>IF(Table41[[#This Row],[CODE]]=17, Table41[ [#This Row],[Account Deposit Amount] ]-Table41[ [#This Row],[Account Withdrawl Amount] ], )</f>
        <v>0</v>
      </c>
      <c r="V10" s="19">
        <f>IF(Table41[[#This Row],[CODE]]=18, Table41[ [#This Row],[Account Deposit Amount] ]-Table41[ [#This Row],[Account Withdrawl Amount] ], )</f>
        <v>0</v>
      </c>
    </row>
    <row r="11" spans="1:27" ht="13.8" thickBot="1">
      <c r="A11" s="116" t="s">
        <v>334</v>
      </c>
      <c r="B11" s="119">
        <v>44769</v>
      </c>
      <c r="C11" s="118" t="s">
        <v>335</v>
      </c>
      <c r="D11" s="120" t="s">
        <v>336</v>
      </c>
      <c r="E11" s="116"/>
      <c r="F11" s="116">
        <v>5</v>
      </c>
      <c r="G11" s="82">
        <f t="shared" si="2"/>
        <v>18255.889999999992</v>
      </c>
      <c r="H11" s="118">
        <v>13</v>
      </c>
      <c r="I11" s="17">
        <f>IF(Table41[[#This Row],[CODE]]=1, Table41[ [#This Row],[Account Deposit Amount] ]-Table41[ [#This Row],[Account Withdrawl Amount] ], )</f>
        <v>0</v>
      </c>
      <c r="J11" s="18">
        <f>IF(Table41[[#This Row],[CODE]]=2, Table41[ [#This Row],[Account Deposit Amount] ]-Table41[ [#This Row],[Account Withdrawl Amount] ], )</f>
        <v>0</v>
      </c>
      <c r="K11" s="18">
        <f>IF(Table41[[#This Row],[CODE]]=3, Table41[ [#This Row],[Account Deposit Amount] ]-Table41[ [#This Row],[Account Withdrawl Amount] ], )</f>
        <v>0</v>
      </c>
      <c r="L11" s="18">
        <f>IF(Table41[[#This Row],[CODE]]=4, Table41[ [#This Row],[Account Deposit Amount] ]-Table41[ [#This Row],[Account Withdrawl Amount] ], )</f>
        <v>0</v>
      </c>
      <c r="M11" s="18">
        <f>IF(Table41[[#This Row],[CODE]]=5, Table41[ [#This Row],[Account Deposit Amount] ]-Table41[ [#This Row],[Account Withdrawl Amount] ], )</f>
        <v>0</v>
      </c>
      <c r="N11" s="18">
        <f>IF(Table41[[#This Row],[CODE]]=6, Table41[ [#This Row],[Account Deposit Amount] ]-Table41[ [#This Row],[Account Withdrawl Amount] ], )</f>
        <v>0</v>
      </c>
      <c r="O11" s="18">
        <f>IF(Table41[[#This Row],[CODE]]=11, Table41[ [#This Row],[Account Deposit Amount] ]-Table41[ [#This Row],[Account Withdrawl Amount] ], )</f>
        <v>0</v>
      </c>
      <c r="P11" s="18">
        <f>IF(Table41[[#This Row],[CODE]]=12, Table41[ [#This Row],[Account Deposit Amount] ]-Table41[ [#This Row],[Account Withdrawl Amount] ], )</f>
        <v>0</v>
      </c>
      <c r="Q11" s="18">
        <f>IF(Table41[[#This Row],[CODE]]=13, Table41[ [#This Row],[Account Deposit Amount] ]-Table41[ [#This Row],[Account Withdrawl Amount] ], )</f>
        <v>-5</v>
      </c>
      <c r="R11" s="18">
        <f>IF(Table41[[#This Row],[CODE]]=14, Table41[ [#This Row],[Account Deposit Amount] ]-Table41[ [#This Row],[Account Withdrawl Amount] ], )</f>
        <v>0</v>
      </c>
      <c r="S11" s="18">
        <f>IF(Table41[[#This Row],[CODE]]=15, Table41[ [#This Row],[Account Deposit Amount] ]-Table41[ [#This Row],[Account Withdrawl Amount] ], )</f>
        <v>0</v>
      </c>
      <c r="T11" s="18">
        <f>IF(Table41[[#This Row],[CODE]]=16, Table41[ [#This Row],[Account Deposit Amount] ]-Table41[ [#This Row],[Account Withdrawl Amount] ], )</f>
        <v>0</v>
      </c>
      <c r="U11" s="17">
        <f>IF(Table41[[#This Row],[CODE]]=17, Table41[ [#This Row],[Account Deposit Amount] ]-Table41[ [#This Row],[Account Withdrawl Amount] ], )</f>
        <v>0</v>
      </c>
      <c r="V11" s="19">
        <f>IF(Table41[[#This Row],[CODE]]=18, Table41[ [#This Row],[Account Deposit Amount] ]-Table41[ [#This Row],[Account Withdrawl Amount] ], )</f>
        <v>0</v>
      </c>
    </row>
    <row r="12" spans="1:27" ht="13.8" thickBot="1">
      <c r="A12" s="116" t="s">
        <v>337</v>
      </c>
      <c r="B12" s="119">
        <v>44769</v>
      </c>
      <c r="C12" s="118" t="s">
        <v>335</v>
      </c>
      <c r="D12" s="120" t="s">
        <v>338</v>
      </c>
      <c r="E12" s="116"/>
      <c r="F12" s="116">
        <v>7.7</v>
      </c>
      <c r="G12" s="82">
        <f t="shared" si="2"/>
        <v>18248.189999999991</v>
      </c>
      <c r="H12" s="118">
        <v>13</v>
      </c>
      <c r="I12" s="17">
        <f>IF(Table41[[#This Row],[CODE]]=1, Table41[ [#This Row],[Account Deposit Amount] ]-Table41[ [#This Row],[Account Withdrawl Amount] ], )</f>
        <v>0</v>
      </c>
      <c r="J12" s="18">
        <f>IF(Table41[[#This Row],[CODE]]=2, Table41[ [#This Row],[Account Deposit Amount] ]-Table41[ [#This Row],[Account Withdrawl Amount] ], )</f>
        <v>0</v>
      </c>
      <c r="K12" s="18">
        <f>IF(Table41[[#This Row],[CODE]]=3, Table41[ [#This Row],[Account Deposit Amount] ]-Table41[ [#This Row],[Account Withdrawl Amount] ], )</f>
        <v>0</v>
      </c>
      <c r="L12" s="18">
        <f>IF(Table41[[#This Row],[CODE]]=4, Table41[ [#This Row],[Account Deposit Amount] ]-Table41[ [#This Row],[Account Withdrawl Amount] ], )</f>
        <v>0</v>
      </c>
      <c r="M12" s="18">
        <f>IF(Table41[[#This Row],[CODE]]=5, Table41[ [#This Row],[Account Deposit Amount] ]-Table41[ [#This Row],[Account Withdrawl Amount] ], )</f>
        <v>0</v>
      </c>
      <c r="N12" s="18">
        <f>IF(Table41[[#This Row],[CODE]]=6, Table41[ [#This Row],[Account Deposit Amount] ]-Table41[ [#This Row],[Account Withdrawl Amount] ], )</f>
        <v>0</v>
      </c>
      <c r="O12" s="18">
        <f>IF(Table41[[#This Row],[CODE]]=11, Table41[ [#This Row],[Account Deposit Amount] ]-Table41[ [#This Row],[Account Withdrawl Amount] ], )</f>
        <v>0</v>
      </c>
      <c r="P12" s="18">
        <f>IF(Table41[[#This Row],[CODE]]=12, Table41[ [#This Row],[Account Deposit Amount] ]-Table41[ [#This Row],[Account Withdrawl Amount] ], )</f>
        <v>0</v>
      </c>
      <c r="Q12" s="18">
        <f>IF(Table41[[#This Row],[CODE]]=13, Table41[ [#This Row],[Account Deposit Amount] ]-Table41[ [#This Row],[Account Withdrawl Amount] ], )</f>
        <v>-7.7</v>
      </c>
      <c r="R12" s="18">
        <f>IF(Table41[[#This Row],[CODE]]=14, Table41[ [#This Row],[Account Deposit Amount] ]-Table41[ [#This Row],[Account Withdrawl Amount] ], )</f>
        <v>0</v>
      </c>
      <c r="S12" s="18">
        <f>IF(Table41[[#This Row],[CODE]]=15, Table41[ [#This Row],[Account Deposit Amount] ]-Table41[ [#This Row],[Account Withdrawl Amount] ], )</f>
        <v>0</v>
      </c>
      <c r="T12" s="18">
        <f>IF(Table41[[#This Row],[CODE]]=16, Table41[ [#This Row],[Account Deposit Amount] ]-Table41[ [#This Row],[Account Withdrawl Amount] ], )</f>
        <v>0</v>
      </c>
      <c r="U12" s="17">
        <f>IF(Table41[[#This Row],[CODE]]=17, Table41[ [#This Row],[Account Deposit Amount] ]-Table41[ [#This Row],[Account Withdrawl Amount] ], )</f>
        <v>0</v>
      </c>
      <c r="V12" s="19">
        <f>IF(Table41[[#This Row],[CODE]]=18, Table41[ [#This Row],[Account Deposit Amount] ]-Table41[ [#This Row],[Account Withdrawl Amount] ], )</f>
        <v>0</v>
      </c>
    </row>
    <row r="13" spans="1:27" ht="12.6" thickBot="1">
      <c r="A13" s="23"/>
      <c r="B13" s="24"/>
      <c r="C13" s="23"/>
      <c r="D13" s="25"/>
      <c r="E13" s="26"/>
      <c r="F13" s="26"/>
      <c r="G13" s="37">
        <f t="shared" ref="G13:G18" si="3">G12+E13-F13</f>
        <v>18248.189999999991</v>
      </c>
      <c r="H13" s="153"/>
      <c r="I13" s="17">
        <f>IF(Table41[[#This Row],[CODE]]=1, Table41[ [#This Row],[Account Deposit Amount] ]-Table41[ [#This Row],[Account Withdrawl Amount] ], )</f>
        <v>0</v>
      </c>
      <c r="J13" s="18">
        <f>IF(Table41[[#This Row],[CODE]]=2, Table41[ [#This Row],[Account Deposit Amount] ]-Table41[ [#This Row],[Account Withdrawl Amount] ], )</f>
        <v>0</v>
      </c>
      <c r="K13" s="18">
        <f>IF(Table41[[#This Row],[CODE]]=3, Table41[ [#This Row],[Account Deposit Amount] ]-Table41[ [#This Row],[Account Withdrawl Amount] ], )</f>
        <v>0</v>
      </c>
      <c r="L13" s="18">
        <f>IF(Table41[[#This Row],[CODE]]=4, Table41[ [#This Row],[Account Deposit Amount] ]-Table41[ [#This Row],[Account Withdrawl Amount] ], )</f>
        <v>0</v>
      </c>
      <c r="M13" s="18">
        <f>IF(Table41[[#This Row],[CODE]]=5, Table41[ [#This Row],[Account Deposit Amount] ]-Table41[ [#This Row],[Account Withdrawl Amount] ], )</f>
        <v>0</v>
      </c>
      <c r="N13" s="18">
        <f>IF(Table41[[#This Row],[CODE]]=6, Table41[ [#This Row],[Account Deposit Amount] ]-Table41[ [#This Row],[Account Withdrawl Amount] ], )</f>
        <v>0</v>
      </c>
      <c r="O13" s="18">
        <f>IF(Table41[[#This Row],[CODE]]=11, Table41[ [#This Row],[Account Deposit Amount] ]-Table41[ [#This Row],[Account Withdrawl Amount] ], )</f>
        <v>0</v>
      </c>
      <c r="P13" s="18">
        <f>IF(Table41[[#This Row],[CODE]]=12, Table41[ [#This Row],[Account Deposit Amount] ]-Table41[ [#This Row],[Account Withdrawl Amount] ], )</f>
        <v>0</v>
      </c>
      <c r="Q13" s="18">
        <f>IF(Table41[[#This Row],[CODE]]=13, Table41[ [#This Row],[Account Deposit Amount] ]-Table41[ [#This Row],[Account Withdrawl Amount] ], )</f>
        <v>0</v>
      </c>
      <c r="R13" s="18">
        <f>IF(Table41[[#This Row],[CODE]]=14, Table41[ [#This Row],[Account Deposit Amount] ]-Table41[ [#This Row],[Account Withdrawl Amount] ], )</f>
        <v>0</v>
      </c>
      <c r="S13" s="18">
        <f>IF(Table41[[#This Row],[CODE]]=15, Table41[ [#This Row],[Account Deposit Amount] ]-Table41[ [#This Row],[Account Withdrawl Amount] ], )</f>
        <v>0</v>
      </c>
      <c r="T13" s="18">
        <f>IF(Table41[[#This Row],[CODE]]=16, Table41[ [#This Row],[Account Deposit Amount] ]-Table41[ [#This Row],[Account Withdrawl Amount] ], )</f>
        <v>0</v>
      </c>
      <c r="U13" s="17">
        <f>IF(Table41[[#This Row],[CODE]]=17, Table41[ [#This Row],[Account Deposit Amount] ]-Table41[ [#This Row],[Account Withdrawl Amount] ], )</f>
        <v>0</v>
      </c>
      <c r="V13" s="19">
        <f>IF(Table41[[#This Row],[CODE]]=18, Table41[ [#This Row],[Account Deposit Amount] ]-Table41[ [#This Row],[Account Withdrawl Amount] ], )</f>
        <v>0</v>
      </c>
    </row>
    <row r="14" spans="1:27" ht="24.6" thickBot="1">
      <c r="A14" s="113" t="s">
        <v>340</v>
      </c>
      <c r="B14" s="102">
        <v>45147</v>
      </c>
      <c r="C14" s="101" t="s">
        <v>330</v>
      </c>
      <c r="D14" s="101" t="s">
        <v>341</v>
      </c>
      <c r="E14" s="122"/>
      <c r="F14" s="122">
        <v>829.03</v>
      </c>
      <c r="G14" s="82">
        <f>G13+E14-F14</f>
        <v>17419.159999999993</v>
      </c>
      <c r="H14" s="101">
        <v>16</v>
      </c>
      <c r="I14" s="17">
        <f>IF(Table41[[#This Row],[CODE]]=1, Table41[ [#This Row],[Account Deposit Amount] ]-Table41[ [#This Row],[Account Withdrawl Amount] ], )</f>
        <v>0</v>
      </c>
      <c r="J14" s="18">
        <f>IF(Table41[[#This Row],[CODE]]=2, Table41[ [#This Row],[Account Deposit Amount] ]-Table41[ [#This Row],[Account Withdrawl Amount] ], )</f>
        <v>0</v>
      </c>
      <c r="K14" s="18">
        <f>IF(Table41[[#This Row],[CODE]]=3, Table41[ [#This Row],[Account Deposit Amount] ]-Table41[ [#This Row],[Account Withdrawl Amount] ], )</f>
        <v>0</v>
      </c>
      <c r="L14" s="18">
        <f>IF(Table41[[#This Row],[CODE]]=4, Table41[ [#This Row],[Account Deposit Amount] ]-Table41[ [#This Row],[Account Withdrawl Amount] ], )</f>
        <v>0</v>
      </c>
      <c r="M14" s="18">
        <f>IF(Table41[[#This Row],[CODE]]=5, Table41[ [#This Row],[Account Deposit Amount] ]-Table41[ [#This Row],[Account Withdrawl Amount] ], )</f>
        <v>0</v>
      </c>
      <c r="N14" s="18">
        <f>IF(Table41[[#This Row],[CODE]]=6, Table41[ [#This Row],[Account Deposit Amount] ]-Table41[ [#This Row],[Account Withdrawl Amount] ], )</f>
        <v>0</v>
      </c>
      <c r="O14" s="18">
        <f>IF(Table41[[#This Row],[CODE]]=11, Table41[ [#This Row],[Account Deposit Amount] ]-Table41[ [#This Row],[Account Withdrawl Amount] ], )</f>
        <v>0</v>
      </c>
      <c r="P14" s="18">
        <f>IF(Table41[[#This Row],[CODE]]=12, Table41[ [#This Row],[Account Deposit Amount] ]-Table41[ [#This Row],[Account Withdrawl Amount] ], )</f>
        <v>0</v>
      </c>
      <c r="Q14" s="18">
        <f>IF(Table41[[#This Row],[CODE]]=13, Table41[ [#This Row],[Account Deposit Amount] ]-Table41[ [#This Row],[Account Withdrawl Amount] ], )</f>
        <v>0</v>
      </c>
      <c r="R14" s="18">
        <f>IF(Table41[[#This Row],[CODE]]=14, Table41[ [#This Row],[Account Deposit Amount] ]-Table41[ [#This Row],[Account Withdrawl Amount] ], )</f>
        <v>0</v>
      </c>
      <c r="S14" s="18">
        <f>IF(Table41[[#This Row],[CODE]]=15, Table41[ [#This Row],[Account Deposit Amount] ]-Table41[ [#This Row],[Account Withdrawl Amount] ], )</f>
        <v>0</v>
      </c>
      <c r="T14" s="18">
        <f>IF(Table41[[#This Row],[CODE]]=16, Table41[ [#This Row],[Account Deposit Amount] ]-Table41[ [#This Row],[Account Withdrawl Amount] ], )</f>
        <v>-829.03</v>
      </c>
      <c r="U14" s="17">
        <f>IF(Table41[[#This Row],[CODE]]=17, Table41[ [#This Row],[Account Deposit Amount] ]-Table41[ [#This Row],[Account Withdrawl Amount] ], )</f>
        <v>0</v>
      </c>
      <c r="V14" s="19">
        <f>IF(Table41[[#This Row],[CODE]]=18, Table41[ [#This Row],[Account Deposit Amount] ]-Table41[ [#This Row],[Account Withdrawl Amount] ], )</f>
        <v>0</v>
      </c>
    </row>
    <row r="15" spans="1:27" ht="12.6" thickBot="1">
      <c r="A15" s="118" t="s">
        <v>241</v>
      </c>
      <c r="B15" s="123">
        <v>45148</v>
      </c>
      <c r="C15" s="118" t="s">
        <v>342</v>
      </c>
      <c r="D15" s="120" t="s">
        <v>343</v>
      </c>
      <c r="E15" s="124"/>
      <c r="F15" s="124">
        <v>75.790000000000006</v>
      </c>
      <c r="G15" s="82">
        <f t="shared" ref="G15:G17" si="4">G14+E15-F15</f>
        <v>17343.369999999992</v>
      </c>
      <c r="H15" s="118">
        <v>13</v>
      </c>
      <c r="I15" s="17">
        <f>IF(Table41[[#This Row],[CODE]]=1, Table41[ [#This Row],[Account Deposit Amount] ]-Table41[ [#This Row],[Account Withdrawl Amount] ], )</f>
        <v>0</v>
      </c>
      <c r="J15" s="18">
        <f>IF(Table41[[#This Row],[CODE]]=2, Table41[ [#This Row],[Account Deposit Amount] ]-Table41[ [#This Row],[Account Withdrawl Amount] ], )</f>
        <v>0</v>
      </c>
      <c r="K15" s="18">
        <f>IF(Table41[[#This Row],[CODE]]=3, Table41[ [#This Row],[Account Deposit Amount] ]-Table41[ [#This Row],[Account Withdrawl Amount] ], )</f>
        <v>0</v>
      </c>
      <c r="L15" s="18">
        <f>IF(Table41[[#This Row],[CODE]]=4, Table41[ [#This Row],[Account Deposit Amount] ]-Table41[ [#This Row],[Account Withdrawl Amount] ], )</f>
        <v>0</v>
      </c>
      <c r="M15" s="18">
        <f>IF(Table41[[#This Row],[CODE]]=5, Table41[ [#This Row],[Account Deposit Amount] ]-Table41[ [#This Row],[Account Withdrawl Amount] ], )</f>
        <v>0</v>
      </c>
      <c r="N15" s="18">
        <f>IF(Table41[[#This Row],[CODE]]=6, Table41[ [#This Row],[Account Deposit Amount] ]-Table41[ [#This Row],[Account Withdrawl Amount] ], )</f>
        <v>0</v>
      </c>
      <c r="O15" s="18">
        <f>IF(Table41[[#This Row],[CODE]]=11, Table41[ [#This Row],[Account Deposit Amount] ]-Table41[ [#This Row],[Account Withdrawl Amount] ], )</f>
        <v>0</v>
      </c>
      <c r="P15" s="18">
        <f>IF(Table41[[#This Row],[CODE]]=12, Table41[ [#This Row],[Account Deposit Amount] ]-Table41[ [#This Row],[Account Withdrawl Amount] ], )</f>
        <v>0</v>
      </c>
      <c r="Q15" s="18">
        <f>IF(Table41[[#This Row],[CODE]]=13, Table41[ [#This Row],[Account Deposit Amount] ]-Table41[ [#This Row],[Account Withdrawl Amount] ], )</f>
        <v>-75.790000000000006</v>
      </c>
      <c r="R15" s="18">
        <f>IF(Table41[[#This Row],[CODE]]=14, Table41[ [#This Row],[Account Deposit Amount] ]-Table41[ [#This Row],[Account Withdrawl Amount] ], )</f>
        <v>0</v>
      </c>
      <c r="S15" s="18">
        <f>IF(Table41[[#This Row],[CODE]]=15, Table41[ [#This Row],[Account Deposit Amount] ]-Table41[ [#This Row],[Account Withdrawl Amount] ], )</f>
        <v>0</v>
      </c>
      <c r="T15" s="18">
        <f>IF(Table41[[#This Row],[CODE]]=16, Table41[ [#This Row],[Account Deposit Amount] ]-Table41[ [#This Row],[Account Withdrawl Amount] ], )</f>
        <v>0</v>
      </c>
      <c r="U15" s="17">
        <f>IF(Table41[[#This Row],[CODE]]=17, Table41[ [#This Row],[Account Deposit Amount] ]-Table41[ [#This Row],[Account Withdrawl Amount] ], )</f>
        <v>0</v>
      </c>
      <c r="V15" s="19">
        <f>IF(Table41[[#This Row],[CODE]]=18, Table41[ [#This Row],[Account Deposit Amount] ]-Table41[ [#This Row],[Account Withdrawl Amount] ], )</f>
        <v>0</v>
      </c>
    </row>
    <row r="16" spans="1:27" ht="12.6" thickBot="1">
      <c r="A16" s="118" t="s">
        <v>241</v>
      </c>
      <c r="B16" s="123">
        <v>45150</v>
      </c>
      <c r="C16" s="118" t="s">
        <v>201</v>
      </c>
      <c r="D16" s="120" t="s">
        <v>67</v>
      </c>
      <c r="E16" s="124"/>
      <c r="F16" s="124">
        <v>250.9</v>
      </c>
      <c r="G16" s="82">
        <f t="shared" si="4"/>
        <v>17092.46999999999</v>
      </c>
      <c r="H16" s="118">
        <v>12</v>
      </c>
      <c r="I16" s="17">
        <f>IF(Table41[[#This Row],[CODE]]=1, Table41[ [#This Row],[Account Deposit Amount] ]-Table41[ [#This Row],[Account Withdrawl Amount] ], )</f>
        <v>0</v>
      </c>
      <c r="J16" s="18">
        <f>IF(Table41[[#This Row],[CODE]]=2, Table41[ [#This Row],[Account Deposit Amount] ]-Table41[ [#This Row],[Account Withdrawl Amount] ], )</f>
        <v>0</v>
      </c>
      <c r="K16" s="18">
        <f>IF(Table41[[#This Row],[CODE]]=3, Table41[ [#This Row],[Account Deposit Amount] ]-Table41[ [#This Row],[Account Withdrawl Amount] ], )</f>
        <v>0</v>
      </c>
      <c r="L16" s="18">
        <f>IF(Table41[[#This Row],[CODE]]=4, Table41[ [#This Row],[Account Deposit Amount] ]-Table41[ [#This Row],[Account Withdrawl Amount] ], )</f>
        <v>0</v>
      </c>
      <c r="M16" s="18">
        <f>IF(Table41[[#This Row],[CODE]]=5, Table41[ [#This Row],[Account Deposit Amount] ]-Table41[ [#This Row],[Account Withdrawl Amount] ], )</f>
        <v>0</v>
      </c>
      <c r="N16" s="18">
        <f>IF(Table41[[#This Row],[CODE]]=6, Table41[ [#This Row],[Account Deposit Amount] ]-Table41[ [#This Row],[Account Withdrawl Amount] ], )</f>
        <v>0</v>
      </c>
      <c r="O16" s="18">
        <f>IF(Table41[[#This Row],[CODE]]=11, Table41[ [#This Row],[Account Deposit Amount] ]-Table41[ [#This Row],[Account Withdrawl Amount] ], )</f>
        <v>0</v>
      </c>
      <c r="P16" s="18">
        <f>IF(Table41[[#This Row],[CODE]]=12, Table41[ [#This Row],[Account Deposit Amount] ]-Table41[ [#This Row],[Account Withdrawl Amount] ], )</f>
        <v>-250.9</v>
      </c>
      <c r="Q16" s="18">
        <f>IF(Table41[[#This Row],[CODE]]=13, Table41[ [#This Row],[Account Deposit Amount] ]-Table41[ [#This Row],[Account Withdrawl Amount] ], )</f>
        <v>0</v>
      </c>
      <c r="R16" s="18">
        <f>IF(Table41[[#This Row],[CODE]]=14, Table41[ [#This Row],[Account Deposit Amount] ]-Table41[ [#This Row],[Account Withdrawl Amount] ], )</f>
        <v>0</v>
      </c>
      <c r="S16" s="18">
        <f>IF(Table41[[#This Row],[CODE]]=15, Table41[ [#This Row],[Account Deposit Amount] ]-Table41[ [#This Row],[Account Withdrawl Amount] ], )</f>
        <v>0</v>
      </c>
      <c r="T16" s="18">
        <f>IF(Table41[[#This Row],[CODE]]=16, Table41[ [#This Row],[Account Deposit Amount] ]-Table41[ [#This Row],[Account Withdrawl Amount] ], )</f>
        <v>0</v>
      </c>
      <c r="U16" s="17">
        <f>IF(Table41[[#This Row],[CODE]]=17, Table41[ [#This Row],[Account Deposit Amount] ]-Table41[ [#This Row],[Account Withdrawl Amount] ], )</f>
        <v>0</v>
      </c>
      <c r="V16" s="19">
        <f>IF(Table41[[#This Row],[CODE]]=18, Table41[ [#This Row],[Account Deposit Amount] ]-Table41[ [#This Row],[Account Withdrawl Amount] ], )</f>
        <v>0</v>
      </c>
    </row>
    <row r="17" spans="1:22" ht="12.6" thickBot="1">
      <c r="A17" s="118" t="s">
        <v>238</v>
      </c>
      <c r="B17" s="123">
        <v>45161</v>
      </c>
      <c r="C17" s="118" t="s">
        <v>344</v>
      </c>
      <c r="D17" s="120" t="s">
        <v>345</v>
      </c>
      <c r="E17" s="124">
        <v>188.6</v>
      </c>
      <c r="F17" s="124"/>
      <c r="G17" s="82">
        <f t="shared" si="4"/>
        <v>17281.069999999989</v>
      </c>
      <c r="H17" s="118">
        <v>6</v>
      </c>
      <c r="I17" s="17">
        <f>IF(Table41[[#This Row],[CODE]]=1, Table41[ [#This Row],[Account Deposit Amount] ]-Table41[ [#This Row],[Account Withdrawl Amount] ], )</f>
        <v>0</v>
      </c>
      <c r="J17" s="18">
        <f>IF(Table41[[#This Row],[CODE]]=2, Table41[ [#This Row],[Account Deposit Amount] ]-Table41[ [#This Row],[Account Withdrawl Amount] ], )</f>
        <v>0</v>
      </c>
      <c r="K17" s="18">
        <f>IF(Table41[[#This Row],[CODE]]=3, Table41[ [#This Row],[Account Deposit Amount] ]-Table41[ [#This Row],[Account Withdrawl Amount] ], )</f>
        <v>0</v>
      </c>
      <c r="L17" s="18">
        <f>IF(Table41[[#This Row],[CODE]]=4, Table41[ [#This Row],[Account Deposit Amount] ]-Table41[ [#This Row],[Account Withdrawl Amount] ], )</f>
        <v>0</v>
      </c>
      <c r="M17" s="18">
        <f>IF(Table41[[#This Row],[CODE]]=5, Table41[ [#This Row],[Account Deposit Amount] ]-Table41[ [#This Row],[Account Withdrawl Amount] ], )</f>
        <v>0</v>
      </c>
      <c r="N17" s="18">
        <f>IF(Table41[[#This Row],[CODE]]=6, Table41[ [#This Row],[Account Deposit Amount] ]-Table41[ [#This Row],[Account Withdrawl Amount] ], )</f>
        <v>188.6</v>
      </c>
      <c r="O17" s="18">
        <f>IF(Table41[[#This Row],[CODE]]=11, Table41[ [#This Row],[Account Deposit Amount] ]-Table41[ [#This Row],[Account Withdrawl Amount] ], )</f>
        <v>0</v>
      </c>
      <c r="P17" s="18">
        <f>IF(Table41[[#This Row],[CODE]]=12, Table41[ [#This Row],[Account Deposit Amount] ]-Table41[ [#This Row],[Account Withdrawl Amount] ], )</f>
        <v>0</v>
      </c>
      <c r="Q17" s="18">
        <f>IF(Table41[[#This Row],[CODE]]=13, Table41[ [#This Row],[Account Deposit Amount] ]-Table41[ [#This Row],[Account Withdrawl Amount] ], )</f>
        <v>0</v>
      </c>
      <c r="R17" s="18">
        <f>IF(Table41[[#This Row],[CODE]]=14, Table41[ [#This Row],[Account Deposit Amount] ]-Table41[ [#This Row],[Account Withdrawl Amount] ], )</f>
        <v>0</v>
      </c>
      <c r="S17" s="18">
        <f>IF(Table41[[#This Row],[CODE]]=15, Table41[ [#This Row],[Account Deposit Amount] ]-Table41[ [#This Row],[Account Withdrawl Amount] ], )</f>
        <v>0</v>
      </c>
      <c r="T17" s="18">
        <f>IF(Table41[[#This Row],[CODE]]=16, Table41[ [#This Row],[Account Deposit Amount] ]-Table41[ [#This Row],[Account Withdrawl Amount] ], )</f>
        <v>0</v>
      </c>
      <c r="U17" s="17">
        <f>IF(Table41[[#This Row],[CODE]]=17, Table41[ [#This Row],[Account Deposit Amount] ]-Table41[ [#This Row],[Account Withdrawl Amount] ], )</f>
        <v>0</v>
      </c>
      <c r="V17" s="19">
        <f>IF(Table41[[#This Row],[CODE]]=18, Table41[ [#This Row],[Account Deposit Amount] ]-Table41[ [#This Row],[Account Withdrawl Amount] ], )</f>
        <v>0</v>
      </c>
    </row>
    <row r="18" spans="1:22" ht="12.6" thickBot="1">
      <c r="A18" s="23"/>
      <c r="B18" s="24"/>
      <c r="C18" s="23"/>
      <c r="D18" s="25"/>
      <c r="E18" s="26"/>
      <c r="F18" s="26"/>
      <c r="G18" s="37">
        <f t="shared" si="3"/>
        <v>17281.069999999989</v>
      </c>
      <c r="H18" s="153"/>
      <c r="I18" s="17">
        <f>IF(Table41[[#This Row],[CODE]]=1, Table41[ [#This Row],[Account Deposit Amount] ]-Table41[ [#This Row],[Account Withdrawl Amount] ], )</f>
        <v>0</v>
      </c>
      <c r="J18" s="18">
        <f>IF(Table41[[#This Row],[CODE]]=2, Table41[ [#This Row],[Account Deposit Amount] ]-Table41[ [#This Row],[Account Withdrawl Amount] ], )</f>
        <v>0</v>
      </c>
      <c r="K18" s="18">
        <f>IF(Table41[[#This Row],[CODE]]=3, Table41[ [#This Row],[Account Deposit Amount] ]-Table41[ [#This Row],[Account Withdrawl Amount] ], )</f>
        <v>0</v>
      </c>
      <c r="L18" s="18">
        <f>IF(Table41[[#This Row],[CODE]]=4, Table41[ [#This Row],[Account Deposit Amount] ]-Table41[ [#This Row],[Account Withdrawl Amount] ], )</f>
        <v>0</v>
      </c>
      <c r="M18" s="18">
        <f>IF(Table41[[#This Row],[CODE]]=5, Table41[ [#This Row],[Account Deposit Amount] ]-Table41[ [#This Row],[Account Withdrawl Amount] ], )</f>
        <v>0</v>
      </c>
      <c r="N18" s="18">
        <f>IF(Table41[[#This Row],[CODE]]=6, Table41[ [#This Row],[Account Deposit Amount] ]-Table41[ [#This Row],[Account Withdrawl Amount] ], )</f>
        <v>0</v>
      </c>
      <c r="O18" s="18">
        <f>IF(Table41[[#This Row],[CODE]]=11, Table41[ [#This Row],[Account Deposit Amount] ]-Table41[ [#This Row],[Account Withdrawl Amount] ], )</f>
        <v>0</v>
      </c>
      <c r="P18" s="18">
        <f>IF(Table41[[#This Row],[CODE]]=12, Table41[ [#This Row],[Account Deposit Amount] ]-Table41[ [#This Row],[Account Withdrawl Amount] ], )</f>
        <v>0</v>
      </c>
      <c r="Q18" s="18">
        <f>IF(Table41[[#This Row],[CODE]]=13, Table41[ [#This Row],[Account Deposit Amount] ]-Table41[ [#This Row],[Account Withdrawl Amount] ], )</f>
        <v>0</v>
      </c>
      <c r="R18" s="18">
        <f>IF(Table41[[#This Row],[CODE]]=14, Table41[ [#This Row],[Account Deposit Amount] ]-Table41[ [#This Row],[Account Withdrawl Amount] ], )</f>
        <v>0</v>
      </c>
      <c r="S18" s="18">
        <f>IF(Table41[[#This Row],[CODE]]=15, Table41[ [#This Row],[Account Deposit Amount] ]-Table41[ [#This Row],[Account Withdrawl Amount] ], )</f>
        <v>0</v>
      </c>
      <c r="T18" s="18">
        <f>IF(Table41[[#This Row],[CODE]]=16, Table41[ [#This Row],[Account Deposit Amount] ]-Table41[ [#This Row],[Account Withdrawl Amount] ], )</f>
        <v>0</v>
      </c>
      <c r="U18" s="17">
        <f>IF(Table41[[#This Row],[CODE]]=17, Table41[ [#This Row],[Account Deposit Amount] ]-Table41[ [#This Row],[Account Withdrawl Amount] ], )</f>
        <v>0</v>
      </c>
      <c r="V18" s="19">
        <f>IF(Table41[[#This Row],[CODE]]=18, Table41[ [#This Row],[Account Deposit Amount] ]-Table41[ [#This Row],[Account Withdrawl Amount] ], )</f>
        <v>0</v>
      </c>
    </row>
    <row r="19" spans="1:22" ht="12.6" thickBot="1">
      <c r="A19" s="113" t="s">
        <v>238</v>
      </c>
      <c r="B19" s="102">
        <v>45176</v>
      </c>
      <c r="C19" s="101" t="s">
        <v>346</v>
      </c>
      <c r="D19" s="101">
        <v>90</v>
      </c>
      <c r="E19" s="122">
        <v>90</v>
      </c>
      <c r="F19" s="122"/>
      <c r="G19" s="82">
        <f>G18+E19-F19</f>
        <v>17371.069999999989</v>
      </c>
      <c r="H19" s="101">
        <v>13</v>
      </c>
      <c r="I19" s="17">
        <f>IF(Table41[[#This Row],[CODE]]=1, Table41[ [#This Row],[Account Deposit Amount] ]-Table41[ [#This Row],[Account Withdrawl Amount] ], )</f>
        <v>0</v>
      </c>
      <c r="J19" s="18">
        <f>IF(Table41[[#This Row],[CODE]]=2, Table41[ [#This Row],[Account Deposit Amount] ]-Table41[ [#This Row],[Account Withdrawl Amount] ], )</f>
        <v>0</v>
      </c>
      <c r="K19" s="18">
        <f>IF(Table41[[#This Row],[CODE]]=3, Table41[ [#This Row],[Account Deposit Amount] ]-Table41[ [#This Row],[Account Withdrawl Amount] ], )</f>
        <v>0</v>
      </c>
      <c r="L19" s="18">
        <f>IF(Table41[[#This Row],[CODE]]=4, Table41[ [#This Row],[Account Deposit Amount] ]-Table41[ [#This Row],[Account Withdrawl Amount] ], )</f>
        <v>0</v>
      </c>
      <c r="M19" s="18">
        <f>IF(Table41[[#This Row],[CODE]]=5, Table41[ [#This Row],[Account Deposit Amount] ]-Table41[ [#This Row],[Account Withdrawl Amount] ], )</f>
        <v>0</v>
      </c>
      <c r="N19" s="18">
        <f>IF(Table41[[#This Row],[CODE]]=6, Table41[ [#This Row],[Account Deposit Amount] ]-Table41[ [#This Row],[Account Withdrawl Amount] ], )</f>
        <v>0</v>
      </c>
      <c r="O19" s="18">
        <f>IF(Table41[[#This Row],[CODE]]=11, Table41[ [#This Row],[Account Deposit Amount] ]-Table41[ [#This Row],[Account Withdrawl Amount] ], )</f>
        <v>0</v>
      </c>
      <c r="P19" s="18">
        <f>IF(Table41[[#This Row],[CODE]]=12, Table41[ [#This Row],[Account Deposit Amount] ]-Table41[ [#This Row],[Account Withdrawl Amount] ], )</f>
        <v>0</v>
      </c>
      <c r="Q19" s="18">
        <f>IF(Table41[[#This Row],[CODE]]=13, Table41[ [#This Row],[Account Deposit Amount] ]-Table41[ [#This Row],[Account Withdrawl Amount] ], )</f>
        <v>90</v>
      </c>
      <c r="R19" s="18">
        <f>IF(Table41[[#This Row],[CODE]]=14, Table41[ [#This Row],[Account Deposit Amount] ]-Table41[ [#This Row],[Account Withdrawl Amount] ], )</f>
        <v>0</v>
      </c>
      <c r="S19" s="18">
        <f>IF(Table41[[#This Row],[CODE]]=15, Table41[ [#This Row],[Account Deposit Amount] ]-Table41[ [#This Row],[Account Withdrawl Amount] ], )</f>
        <v>0</v>
      </c>
      <c r="T19" s="18">
        <f>IF(Table41[[#This Row],[CODE]]=16, Table41[ [#This Row],[Account Deposit Amount] ]-Table41[ [#This Row],[Account Withdrawl Amount] ], )</f>
        <v>0</v>
      </c>
      <c r="U19" s="17">
        <f>IF(Table41[[#This Row],[CODE]]=17, Table41[ [#This Row],[Account Deposit Amount] ]-Table41[ [#This Row],[Account Withdrawl Amount] ], )</f>
        <v>0</v>
      </c>
      <c r="V19" s="19">
        <f>IF(Table41[[#This Row],[CODE]]=18, Table41[ [#This Row],[Account Deposit Amount] ]-Table41[ [#This Row],[Account Withdrawl Amount] ], )</f>
        <v>0</v>
      </c>
    </row>
    <row r="20" spans="1:22" ht="12.6" thickBot="1">
      <c r="A20" s="118" t="s">
        <v>241</v>
      </c>
      <c r="B20" s="123">
        <v>45177</v>
      </c>
      <c r="C20" s="118" t="s">
        <v>201</v>
      </c>
      <c r="D20" s="120"/>
      <c r="E20" s="124"/>
      <c r="F20" s="124">
        <v>570</v>
      </c>
      <c r="G20" s="82">
        <f t="shared" ref="G20:G54" si="5">G19+E20-F20</f>
        <v>16801.069999999989</v>
      </c>
      <c r="H20" s="118">
        <v>13</v>
      </c>
      <c r="I20" s="17">
        <f>IF(Table41[[#This Row],[CODE]]=1, Table41[ [#This Row],[Account Deposit Amount] ]-Table41[ [#This Row],[Account Withdrawl Amount] ], )</f>
        <v>0</v>
      </c>
      <c r="J20" s="18">
        <f>IF(Table41[[#This Row],[CODE]]=2, Table41[ [#This Row],[Account Deposit Amount] ]-Table41[ [#This Row],[Account Withdrawl Amount] ], )</f>
        <v>0</v>
      </c>
      <c r="K20" s="18">
        <f>IF(Table41[[#This Row],[CODE]]=3, Table41[ [#This Row],[Account Deposit Amount] ]-Table41[ [#This Row],[Account Withdrawl Amount] ], )</f>
        <v>0</v>
      </c>
      <c r="L20" s="18">
        <f>IF(Table41[[#This Row],[CODE]]=4, Table41[ [#This Row],[Account Deposit Amount] ]-Table41[ [#This Row],[Account Withdrawl Amount] ], )</f>
        <v>0</v>
      </c>
      <c r="M20" s="18">
        <f>IF(Table41[[#This Row],[CODE]]=5, Table41[ [#This Row],[Account Deposit Amount] ]-Table41[ [#This Row],[Account Withdrawl Amount] ], )</f>
        <v>0</v>
      </c>
      <c r="N20" s="18">
        <f>IF(Table41[[#This Row],[CODE]]=6, Table41[ [#This Row],[Account Deposit Amount] ]-Table41[ [#This Row],[Account Withdrawl Amount] ], )</f>
        <v>0</v>
      </c>
      <c r="O20" s="18">
        <f>IF(Table41[[#This Row],[CODE]]=11, Table41[ [#This Row],[Account Deposit Amount] ]-Table41[ [#This Row],[Account Withdrawl Amount] ], )</f>
        <v>0</v>
      </c>
      <c r="P20" s="18">
        <f>IF(Table41[[#This Row],[CODE]]=12, Table41[ [#This Row],[Account Deposit Amount] ]-Table41[ [#This Row],[Account Withdrawl Amount] ], )</f>
        <v>0</v>
      </c>
      <c r="Q20" s="18">
        <f>IF(Table41[[#This Row],[CODE]]=13, Table41[ [#This Row],[Account Deposit Amount] ]-Table41[ [#This Row],[Account Withdrawl Amount] ], )</f>
        <v>-570</v>
      </c>
      <c r="R20" s="18">
        <f>IF(Table41[[#This Row],[CODE]]=14, Table41[ [#This Row],[Account Deposit Amount] ]-Table41[ [#This Row],[Account Withdrawl Amount] ], )</f>
        <v>0</v>
      </c>
      <c r="S20" s="18">
        <f>IF(Table41[[#This Row],[CODE]]=15, Table41[ [#This Row],[Account Deposit Amount] ]-Table41[ [#This Row],[Account Withdrawl Amount] ], )</f>
        <v>0</v>
      </c>
      <c r="T20" s="18">
        <f>IF(Table41[[#This Row],[CODE]]=16, Table41[ [#This Row],[Account Deposit Amount] ]-Table41[ [#This Row],[Account Withdrawl Amount] ], )</f>
        <v>0</v>
      </c>
      <c r="U20" s="17">
        <f>IF(Table41[[#This Row],[CODE]]=17, Table41[ [#This Row],[Account Deposit Amount] ]-Table41[ [#This Row],[Account Withdrawl Amount] ], )</f>
        <v>0</v>
      </c>
      <c r="V20" s="19">
        <f>IF(Table41[[#This Row],[CODE]]=18, Table41[ [#This Row],[Account Deposit Amount] ]-Table41[ [#This Row],[Account Withdrawl Amount] ], )</f>
        <v>0</v>
      </c>
    </row>
    <row r="21" spans="1:22" ht="12.6" thickBot="1">
      <c r="A21" s="118" t="s">
        <v>238</v>
      </c>
      <c r="B21" s="123">
        <v>45183</v>
      </c>
      <c r="C21" s="118" t="s">
        <v>347</v>
      </c>
      <c r="D21" s="120">
        <v>275</v>
      </c>
      <c r="E21" s="124">
        <v>275</v>
      </c>
      <c r="F21" s="124"/>
      <c r="G21" s="82">
        <f t="shared" si="5"/>
        <v>17076.069999999989</v>
      </c>
      <c r="H21" s="118">
        <v>13</v>
      </c>
      <c r="I21" s="17">
        <f>IF(Table41[[#This Row],[CODE]]=1, Table41[ [#This Row],[Account Deposit Amount] ]-Table41[ [#This Row],[Account Withdrawl Amount] ], )</f>
        <v>0</v>
      </c>
      <c r="J21" s="18">
        <f>IF(Table41[[#This Row],[CODE]]=2, Table41[ [#This Row],[Account Deposit Amount] ]-Table41[ [#This Row],[Account Withdrawl Amount] ], )</f>
        <v>0</v>
      </c>
      <c r="K21" s="18">
        <f>IF(Table41[[#This Row],[CODE]]=3, Table41[ [#This Row],[Account Deposit Amount] ]-Table41[ [#This Row],[Account Withdrawl Amount] ], )</f>
        <v>0</v>
      </c>
      <c r="L21" s="18">
        <f>IF(Table41[[#This Row],[CODE]]=4, Table41[ [#This Row],[Account Deposit Amount] ]-Table41[ [#This Row],[Account Withdrawl Amount] ], )</f>
        <v>0</v>
      </c>
      <c r="M21" s="18">
        <f>IF(Table41[[#This Row],[CODE]]=5, Table41[ [#This Row],[Account Deposit Amount] ]-Table41[ [#This Row],[Account Withdrawl Amount] ], )</f>
        <v>0</v>
      </c>
      <c r="N21" s="18">
        <f>IF(Table41[[#This Row],[CODE]]=6, Table41[ [#This Row],[Account Deposit Amount] ]-Table41[ [#This Row],[Account Withdrawl Amount] ], )</f>
        <v>0</v>
      </c>
      <c r="O21" s="18">
        <f>IF(Table41[[#This Row],[CODE]]=11, Table41[ [#This Row],[Account Deposit Amount] ]-Table41[ [#This Row],[Account Withdrawl Amount] ], )</f>
        <v>0</v>
      </c>
      <c r="P21" s="18">
        <f>IF(Table41[[#This Row],[CODE]]=12, Table41[ [#This Row],[Account Deposit Amount] ]-Table41[ [#This Row],[Account Withdrawl Amount] ], )</f>
        <v>0</v>
      </c>
      <c r="Q21" s="18">
        <f>IF(Table41[[#This Row],[CODE]]=13, Table41[ [#This Row],[Account Deposit Amount] ]-Table41[ [#This Row],[Account Withdrawl Amount] ], )</f>
        <v>275</v>
      </c>
      <c r="R21" s="18">
        <f>IF(Table41[[#This Row],[CODE]]=14, Table41[ [#This Row],[Account Deposit Amount] ]-Table41[ [#This Row],[Account Withdrawl Amount] ], )</f>
        <v>0</v>
      </c>
      <c r="S21" s="18">
        <f>IF(Table41[[#This Row],[CODE]]=15, Table41[ [#This Row],[Account Deposit Amount] ]-Table41[ [#This Row],[Account Withdrawl Amount] ], )</f>
        <v>0</v>
      </c>
      <c r="T21" s="18">
        <f>IF(Table41[[#This Row],[CODE]]=16, Table41[ [#This Row],[Account Deposit Amount] ]-Table41[ [#This Row],[Account Withdrawl Amount] ], )</f>
        <v>0</v>
      </c>
      <c r="U21" s="17">
        <f>IF(Table41[[#This Row],[CODE]]=17, Table41[ [#This Row],[Account Deposit Amount] ]-Table41[ [#This Row],[Account Withdrawl Amount] ], )</f>
        <v>0</v>
      </c>
      <c r="V21" s="19">
        <f>IF(Table41[[#This Row],[CODE]]=18, Table41[ [#This Row],[Account Deposit Amount] ]-Table41[ [#This Row],[Account Withdrawl Amount] ], )</f>
        <v>0</v>
      </c>
    </row>
    <row r="22" spans="1:22" ht="12.6" thickBot="1">
      <c r="A22" s="118" t="s">
        <v>241</v>
      </c>
      <c r="B22" s="123">
        <v>45185</v>
      </c>
      <c r="C22" s="118" t="s">
        <v>254</v>
      </c>
      <c r="D22" s="120" t="s">
        <v>348</v>
      </c>
      <c r="E22" s="124"/>
      <c r="F22" s="124">
        <v>19.079999999999998</v>
      </c>
      <c r="G22" s="82">
        <f t="shared" si="5"/>
        <v>17056.989999999987</v>
      </c>
      <c r="H22" s="118">
        <v>13</v>
      </c>
      <c r="I22" s="125">
        <f>IF(Table41[[#This Row],[CODE]]=1, Table41[ [#This Row],[Account Deposit Amount] ]-Table41[ [#This Row],[Account Withdrawl Amount] ], )</f>
        <v>0</v>
      </c>
      <c r="J22" s="18">
        <f>IF(Table41[[#This Row],[CODE]]=2, Table41[ [#This Row],[Account Deposit Amount] ]-Table41[ [#This Row],[Account Withdrawl Amount] ], )</f>
        <v>0</v>
      </c>
      <c r="K22" s="18">
        <f>IF(Table41[[#This Row],[CODE]]=3, Table41[ [#This Row],[Account Deposit Amount] ]-Table41[ [#This Row],[Account Withdrawl Amount] ], )</f>
        <v>0</v>
      </c>
      <c r="L22" s="18">
        <f>IF(Table41[[#This Row],[CODE]]=4, Table41[ [#This Row],[Account Deposit Amount] ]-Table41[ [#This Row],[Account Withdrawl Amount] ], )</f>
        <v>0</v>
      </c>
      <c r="M22" s="18">
        <f>IF(Table41[[#This Row],[CODE]]=5, Table41[ [#This Row],[Account Deposit Amount] ]-Table41[ [#This Row],[Account Withdrawl Amount] ], )</f>
        <v>0</v>
      </c>
      <c r="N22" s="18">
        <f>IF(Table41[[#This Row],[CODE]]=6, Table41[ [#This Row],[Account Deposit Amount] ]-Table41[ [#This Row],[Account Withdrawl Amount] ], )</f>
        <v>0</v>
      </c>
      <c r="O22" s="18">
        <f>IF(Table41[[#This Row],[CODE]]=11, Table41[ [#This Row],[Account Deposit Amount] ]-Table41[ [#This Row],[Account Withdrawl Amount] ], )</f>
        <v>0</v>
      </c>
      <c r="P22" s="18">
        <f>IF(Table41[[#This Row],[CODE]]=12, Table41[ [#This Row],[Account Deposit Amount] ]-Table41[ [#This Row],[Account Withdrawl Amount] ], )</f>
        <v>0</v>
      </c>
      <c r="Q22" s="18">
        <f>IF(Table41[[#This Row],[CODE]]=13, Table41[ [#This Row],[Account Deposit Amount] ]-Table41[ [#This Row],[Account Withdrawl Amount] ], )</f>
        <v>-19.079999999999998</v>
      </c>
      <c r="R22" s="18">
        <f>IF(Table41[[#This Row],[CODE]]=14, Table41[ [#This Row],[Account Deposit Amount] ]-Table41[ [#This Row],[Account Withdrawl Amount] ], )</f>
        <v>0</v>
      </c>
      <c r="S22" s="18">
        <f>IF(Table41[[#This Row],[CODE]]=15, Table41[ [#This Row],[Account Deposit Amount] ]-Table41[ [#This Row],[Account Withdrawl Amount] ], )</f>
        <v>0</v>
      </c>
      <c r="T22" s="18">
        <f>IF(Table41[[#This Row],[CODE]]=16, Table41[ [#This Row],[Account Deposit Amount] ]-Table41[ [#This Row],[Account Withdrawl Amount] ], )</f>
        <v>0</v>
      </c>
      <c r="U22" s="17">
        <f>IF(Table41[[#This Row],[CODE]]=17, Table41[ [#This Row],[Account Deposit Amount] ]-Table41[ [#This Row],[Account Withdrawl Amount] ], )</f>
        <v>0</v>
      </c>
      <c r="V22" s="19">
        <f>IF(Table41[[#This Row],[CODE]]=18, Table41[ [#This Row],[Account Deposit Amount] ]-Table41[ [#This Row],[Account Withdrawl Amount] ], )</f>
        <v>0</v>
      </c>
    </row>
    <row r="23" spans="1:22" ht="12.6" thickBot="1">
      <c r="A23" s="118" t="s">
        <v>241</v>
      </c>
      <c r="B23" s="123">
        <v>45188</v>
      </c>
      <c r="C23" s="118" t="s">
        <v>349</v>
      </c>
      <c r="D23" s="120" t="s">
        <v>348</v>
      </c>
      <c r="E23" s="124"/>
      <c r="F23" s="124">
        <v>67.47</v>
      </c>
      <c r="G23" s="82">
        <f t="shared" si="5"/>
        <v>16989.519999999986</v>
      </c>
      <c r="H23" s="121">
        <v>13</v>
      </c>
      <c r="I23" s="125">
        <f>IF(Table41[[#This Row],[CODE]]=1, Table41[ [#This Row],[Account Deposit Amount] ]-Table41[ [#This Row],[Account Withdrawl Amount] ], )</f>
        <v>0</v>
      </c>
      <c r="J23" s="18">
        <f>IF(Table41[[#This Row],[CODE]]=2, Table41[ [#This Row],[Account Deposit Amount] ]-Table41[ [#This Row],[Account Withdrawl Amount] ], )</f>
        <v>0</v>
      </c>
      <c r="K23" s="18">
        <f>IF(Table41[[#This Row],[CODE]]=3, Table41[ [#This Row],[Account Deposit Amount] ]-Table41[ [#This Row],[Account Withdrawl Amount] ], )</f>
        <v>0</v>
      </c>
      <c r="L23" s="18">
        <f>IF(Table41[[#This Row],[CODE]]=4, Table41[ [#This Row],[Account Deposit Amount] ]-Table41[ [#This Row],[Account Withdrawl Amount] ], )</f>
        <v>0</v>
      </c>
      <c r="M23" s="18">
        <f>IF(Table41[[#This Row],[CODE]]=5, Table41[ [#This Row],[Account Deposit Amount] ]-Table41[ [#This Row],[Account Withdrawl Amount] ], )</f>
        <v>0</v>
      </c>
      <c r="N23" s="18">
        <f>IF(Table41[[#This Row],[CODE]]=6, Table41[ [#This Row],[Account Deposit Amount] ]-Table41[ [#This Row],[Account Withdrawl Amount] ], )</f>
        <v>0</v>
      </c>
      <c r="O23" s="18">
        <f>IF(Table41[[#This Row],[CODE]]=11, Table41[ [#This Row],[Account Deposit Amount] ]-Table41[ [#This Row],[Account Withdrawl Amount] ], )</f>
        <v>0</v>
      </c>
      <c r="P23" s="18">
        <f>IF(Table41[[#This Row],[CODE]]=12, Table41[ [#This Row],[Account Deposit Amount] ]-Table41[ [#This Row],[Account Withdrawl Amount] ], )</f>
        <v>0</v>
      </c>
      <c r="Q23" s="18">
        <f>IF(Table41[[#This Row],[CODE]]=13, Table41[ [#This Row],[Account Deposit Amount] ]-Table41[ [#This Row],[Account Withdrawl Amount] ], )</f>
        <v>-67.47</v>
      </c>
      <c r="R23" s="18">
        <f>IF(Table41[[#This Row],[CODE]]=14, Table41[ [#This Row],[Account Deposit Amount] ]-Table41[ [#This Row],[Account Withdrawl Amount] ], )</f>
        <v>0</v>
      </c>
      <c r="S23" s="18">
        <f>IF(Table41[[#This Row],[CODE]]=15, Table41[ [#This Row],[Account Deposit Amount] ]-Table41[ [#This Row],[Account Withdrawl Amount] ], )</f>
        <v>0</v>
      </c>
      <c r="T23" s="18">
        <f>IF(Table41[[#This Row],[CODE]]=16, Table41[ [#This Row],[Account Deposit Amount] ]-Table41[ [#This Row],[Account Withdrawl Amount] ], )</f>
        <v>0</v>
      </c>
      <c r="U23" s="17">
        <f>IF(Table41[[#This Row],[CODE]]=17, Table41[ [#This Row],[Account Deposit Amount] ]-Table41[ [#This Row],[Account Withdrawl Amount] ], )</f>
        <v>0</v>
      </c>
      <c r="V23" s="19">
        <f>IF(Table41[[#This Row],[CODE]]=18, Table41[ [#This Row],[Account Deposit Amount] ]-Table41[ [#This Row],[Account Withdrawl Amount] ], )</f>
        <v>0</v>
      </c>
    </row>
    <row r="24" spans="1:22" ht="12.6" thickBot="1">
      <c r="A24" s="118" t="s">
        <v>350</v>
      </c>
      <c r="B24" s="123">
        <v>45188</v>
      </c>
      <c r="C24" s="118" t="s">
        <v>351</v>
      </c>
      <c r="D24" s="120" t="s">
        <v>352</v>
      </c>
      <c r="E24" s="124"/>
      <c r="F24" s="124">
        <v>60</v>
      </c>
      <c r="G24" s="82">
        <f t="shared" si="5"/>
        <v>16929.519999999986</v>
      </c>
      <c r="H24" s="118">
        <v>6</v>
      </c>
      <c r="I24" s="125">
        <f>IF(Table41[[#This Row],[CODE]]=1, Table41[ [#This Row],[Account Deposit Amount] ]-Table41[ [#This Row],[Account Withdrawl Amount] ], )</f>
        <v>0</v>
      </c>
      <c r="J24" s="18">
        <f>IF(Table41[[#This Row],[CODE]]=2, Table41[ [#This Row],[Account Deposit Amount] ]-Table41[ [#This Row],[Account Withdrawl Amount] ], )</f>
        <v>0</v>
      </c>
      <c r="K24" s="18">
        <f>IF(Table41[[#This Row],[CODE]]=3, Table41[ [#This Row],[Account Deposit Amount] ]-Table41[ [#This Row],[Account Withdrawl Amount] ], )</f>
        <v>0</v>
      </c>
      <c r="L24" s="18">
        <f>IF(Table41[[#This Row],[CODE]]=4, Table41[ [#This Row],[Account Deposit Amount] ]-Table41[ [#This Row],[Account Withdrawl Amount] ], )</f>
        <v>0</v>
      </c>
      <c r="M24" s="18">
        <f>IF(Table41[[#This Row],[CODE]]=5, Table41[ [#This Row],[Account Deposit Amount] ]-Table41[ [#This Row],[Account Withdrawl Amount] ], )</f>
        <v>0</v>
      </c>
      <c r="N24" s="18">
        <f>IF(Table41[[#This Row],[CODE]]=6, Table41[ [#This Row],[Account Deposit Amount] ]-Table41[ [#This Row],[Account Withdrawl Amount] ], )</f>
        <v>-60</v>
      </c>
      <c r="O24" s="18">
        <f>IF(Table41[[#This Row],[CODE]]=11, Table41[ [#This Row],[Account Deposit Amount] ]-Table41[ [#This Row],[Account Withdrawl Amount] ], )</f>
        <v>0</v>
      </c>
      <c r="P24" s="18">
        <f>IF(Table41[[#This Row],[CODE]]=12, Table41[ [#This Row],[Account Deposit Amount] ]-Table41[ [#This Row],[Account Withdrawl Amount] ], )</f>
        <v>0</v>
      </c>
      <c r="Q24" s="18">
        <f>IF(Table41[[#This Row],[CODE]]=13, Table41[ [#This Row],[Account Deposit Amount] ]-Table41[ [#This Row],[Account Withdrawl Amount] ], )</f>
        <v>0</v>
      </c>
      <c r="R24" s="18">
        <f>IF(Table41[[#This Row],[CODE]]=14, Table41[ [#This Row],[Account Deposit Amount] ]-Table41[ [#This Row],[Account Withdrawl Amount] ], )</f>
        <v>0</v>
      </c>
      <c r="S24" s="18">
        <f>IF(Table41[[#This Row],[CODE]]=15, Table41[ [#This Row],[Account Deposit Amount] ]-Table41[ [#This Row],[Account Withdrawl Amount] ], )</f>
        <v>0</v>
      </c>
      <c r="T24" s="18">
        <f>IF(Table41[[#This Row],[CODE]]=16, Table41[ [#This Row],[Account Deposit Amount] ]-Table41[ [#This Row],[Account Withdrawl Amount] ], )</f>
        <v>0</v>
      </c>
      <c r="U24" s="17">
        <f>IF(Table41[[#This Row],[CODE]]=17, Table41[ [#This Row],[Account Deposit Amount] ]-Table41[ [#This Row],[Account Withdrawl Amount] ], )</f>
        <v>0</v>
      </c>
      <c r="V24" s="19">
        <f>IF(Table41[[#This Row],[CODE]]=18, Table41[ [#This Row],[Account Deposit Amount] ]-Table41[ [#This Row],[Account Withdrawl Amount] ], )</f>
        <v>0</v>
      </c>
    </row>
    <row r="25" spans="1:22" ht="12.6" thickBot="1">
      <c r="A25" s="118" t="s">
        <v>241</v>
      </c>
      <c r="B25" s="123">
        <v>45191</v>
      </c>
      <c r="C25" s="118" t="s">
        <v>353</v>
      </c>
      <c r="D25" s="120" t="s">
        <v>354</v>
      </c>
      <c r="E25" s="124"/>
      <c r="F25" s="124">
        <v>50</v>
      </c>
      <c r="G25" s="82">
        <f t="shared" si="5"/>
        <v>16879.519999999986</v>
      </c>
      <c r="H25" s="118">
        <v>13</v>
      </c>
      <c r="I25" s="125">
        <f>IF(Table41[[#This Row],[CODE]]=1, Table41[ [#This Row],[Account Deposit Amount] ]-Table41[ [#This Row],[Account Withdrawl Amount] ], )</f>
        <v>0</v>
      </c>
      <c r="J25" s="18">
        <f>IF(Table41[[#This Row],[CODE]]=2, Table41[ [#This Row],[Account Deposit Amount] ]-Table41[ [#This Row],[Account Withdrawl Amount] ], )</f>
        <v>0</v>
      </c>
      <c r="K25" s="18">
        <f>IF(Table41[[#This Row],[CODE]]=3, Table41[ [#This Row],[Account Deposit Amount] ]-Table41[ [#This Row],[Account Withdrawl Amount] ], )</f>
        <v>0</v>
      </c>
      <c r="L25" s="18">
        <f>IF(Table41[[#This Row],[CODE]]=4, Table41[ [#This Row],[Account Deposit Amount] ]-Table41[ [#This Row],[Account Withdrawl Amount] ], )</f>
        <v>0</v>
      </c>
      <c r="M25" s="18">
        <f>IF(Table41[[#This Row],[CODE]]=5, Table41[ [#This Row],[Account Deposit Amount] ]-Table41[ [#This Row],[Account Withdrawl Amount] ], )</f>
        <v>0</v>
      </c>
      <c r="N25" s="18">
        <f>IF(Table41[[#This Row],[CODE]]=6, Table41[ [#This Row],[Account Deposit Amount] ]-Table41[ [#This Row],[Account Withdrawl Amount] ], )</f>
        <v>0</v>
      </c>
      <c r="O25" s="18">
        <f>IF(Table41[[#This Row],[CODE]]=11, Table41[ [#This Row],[Account Deposit Amount] ]-Table41[ [#This Row],[Account Withdrawl Amount] ], )</f>
        <v>0</v>
      </c>
      <c r="P25" s="18">
        <f>IF(Table41[[#This Row],[CODE]]=12, Table41[ [#This Row],[Account Deposit Amount] ]-Table41[ [#This Row],[Account Withdrawl Amount] ], )</f>
        <v>0</v>
      </c>
      <c r="Q25" s="18">
        <f>IF(Table41[[#This Row],[CODE]]=13, Table41[ [#This Row],[Account Deposit Amount] ]-Table41[ [#This Row],[Account Withdrawl Amount] ], )</f>
        <v>-50</v>
      </c>
      <c r="R25" s="18">
        <f>IF(Table41[[#This Row],[CODE]]=14, Table41[ [#This Row],[Account Deposit Amount] ]-Table41[ [#This Row],[Account Withdrawl Amount] ], )</f>
        <v>0</v>
      </c>
      <c r="S25" s="18">
        <f>IF(Table41[[#This Row],[CODE]]=15, Table41[ [#This Row],[Account Deposit Amount] ]-Table41[ [#This Row],[Account Withdrawl Amount] ], )</f>
        <v>0</v>
      </c>
      <c r="T25" s="18">
        <f>IF(Table41[[#This Row],[CODE]]=16, Table41[ [#This Row],[Account Deposit Amount] ]-Table41[ [#This Row],[Account Withdrawl Amount] ], )</f>
        <v>0</v>
      </c>
      <c r="U25" s="17">
        <f>IF(Table41[[#This Row],[CODE]]=17, Table41[ [#This Row],[Account Deposit Amount] ]-Table41[ [#This Row],[Account Withdrawl Amount] ], )</f>
        <v>0</v>
      </c>
      <c r="V25" s="19">
        <f>IF(Table41[[#This Row],[CODE]]=18, Table41[ [#This Row],[Account Deposit Amount] ]-Table41[ [#This Row],[Account Withdrawl Amount] ], )</f>
        <v>0</v>
      </c>
    </row>
    <row r="26" spans="1:22" ht="12.6" thickBot="1">
      <c r="A26" s="118" t="s">
        <v>241</v>
      </c>
      <c r="B26" s="123">
        <v>45191</v>
      </c>
      <c r="C26" s="118" t="s">
        <v>355</v>
      </c>
      <c r="D26" s="120"/>
      <c r="E26" s="124"/>
      <c r="F26" s="124">
        <v>3.18</v>
      </c>
      <c r="G26" s="82">
        <f t="shared" si="5"/>
        <v>16876.339999999986</v>
      </c>
      <c r="H26" s="118">
        <v>13</v>
      </c>
      <c r="I26" s="125">
        <f>IF(Table41[[#This Row],[CODE]]=1, Table41[ [#This Row],[Account Deposit Amount] ]-Table41[ [#This Row],[Account Withdrawl Amount] ], )</f>
        <v>0</v>
      </c>
      <c r="J26" s="18">
        <f>IF(Table41[[#This Row],[CODE]]=2, Table41[ [#This Row],[Account Deposit Amount] ]-Table41[ [#This Row],[Account Withdrawl Amount] ], )</f>
        <v>0</v>
      </c>
      <c r="K26" s="18">
        <f>IF(Table41[[#This Row],[CODE]]=3, Table41[ [#This Row],[Account Deposit Amount] ]-Table41[ [#This Row],[Account Withdrawl Amount] ], )</f>
        <v>0</v>
      </c>
      <c r="L26" s="18">
        <f>IF(Table41[[#This Row],[CODE]]=4, Table41[ [#This Row],[Account Deposit Amount] ]-Table41[ [#This Row],[Account Withdrawl Amount] ], )</f>
        <v>0</v>
      </c>
      <c r="M26" s="18">
        <f>IF(Table41[[#This Row],[CODE]]=5, Table41[ [#This Row],[Account Deposit Amount] ]-Table41[ [#This Row],[Account Withdrawl Amount] ], )</f>
        <v>0</v>
      </c>
      <c r="N26" s="18">
        <f>IF(Table41[[#This Row],[CODE]]=6, Table41[ [#This Row],[Account Deposit Amount] ]-Table41[ [#This Row],[Account Withdrawl Amount] ], )</f>
        <v>0</v>
      </c>
      <c r="O26" s="18">
        <f>IF(Table41[[#This Row],[CODE]]=11, Table41[ [#This Row],[Account Deposit Amount] ]-Table41[ [#This Row],[Account Withdrawl Amount] ], )</f>
        <v>0</v>
      </c>
      <c r="P26" s="18">
        <f>IF(Table41[[#This Row],[CODE]]=12, Table41[ [#This Row],[Account Deposit Amount] ]-Table41[ [#This Row],[Account Withdrawl Amount] ], )</f>
        <v>0</v>
      </c>
      <c r="Q26" s="18">
        <f>IF(Table41[[#This Row],[CODE]]=13, Table41[ [#This Row],[Account Deposit Amount] ]-Table41[ [#This Row],[Account Withdrawl Amount] ], )</f>
        <v>-3.18</v>
      </c>
      <c r="R26" s="18">
        <f>IF(Table41[[#This Row],[CODE]]=14, Table41[ [#This Row],[Account Deposit Amount] ]-Table41[ [#This Row],[Account Withdrawl Amount] ], )</f>
        <v>0</v>
      </c>
      <c r="S26" s="18">
        <f>IF(Table41[[#This Row],[CODE]]=15, Table41[ [#This Row],[Account Deposit Amount] ]-Table41[ [#This Row],[Account Withdrawl Amount] ], )</f>
        <v>0</v>
      </c>
      <c r="T26" s="18">
        <f>IF(Table41[[#This Row],[CODE]]=16, Table41[ [#This Row],[Account Deposit Amount] ]-Table41[ [#This Row],[Account Withdrawl Amount] ], )</f>
        <v>0</v>
      </c>
      <c r="U26" s="17">
        <f>IF(Table41[[#This Row],[CODE]]=17, Table41[ [#This Row],[Account Deposit Amount] ]-Table41[ [#This Row],[Account Withdrawl Amount] ], )</f>
        <v>0</v>
      </c>
      <c r="V26" s="19">
        <f>IF(Table41[[#This Row],[CODE]]=18, Table41[ [#This Row],[Account Deposit Amount] ]-Table41[ [#This Row],[Account Withdrawl Amount] ], )</f>
        <v>0</v>
      </c>
    </row>
    <row r="27" spans="1:22" ht="12.6" thickBot="1">
      <c r="A27" s="118" t="s">
        <v>238</v>
      </c>
      <c r="B27" s="123">
        <v>45192</v>
      </c>
      <c r="C27" s="118" t="s">
        <v>201</v>
      </c>
      <c r="D27" s="120" t="s">
        <v>356</v>
      </c>
      <c r="E27" s="124">
        <v>77.27</v>
      </c>
      <c r="F27" s="124"/>
      <c r="G27" s="82">
        <f t="shared" si="5"/>
        <v>16953.609999999986</v>
      </c>
      <c r="H27" s="118">
        <v>13</v>
      </c>
      <c r="I27" s="125">
        <f>IF(Table41[[#This Row],[CODE]]=1, Table41[ [#This Row],[Account Deposit Amount] ]-Table41[ [#This Row],[Account Withdrawl Amount] ], )</f>
        <v>0</v>
      </c>
      <c r="J27" s="18">
        <f>IF(Table41[[#This Row],[CODE]]=2, Table41[ [#This Row],[Account Deposit Amount] ]-Table41[ [#This Row],[Account Withdrawl Amount] ], )</f>
        <v>0</v>
      </c>
      <c r="K27" s="18">
        <f>IF(Table41[[#This Row],[CODE]]=3, Table41[ [#This Row],[Account Deposit Amount] ]-Table41[ [#This Row],[Account Withdrawl Amount] ], )</f>
        <v>0</v>
      </c>
      <c r="L27" s="18">
        <f>IF(Table41[[#This Row],[CODE]]=4, Table41[ [#This Row],[Account Deposit Amount] ]-Table41[ [#This Row],[Account Withdrawl Amount] ], )</f>
        <v>0</v>
      </c>
      <c r="M27" s="18">
        <f>IF(Table41[[#This Row],[CODE]]=5, Table41[ [#This Row],[Account Deposit Amount] ]-Table41[ [#This Row],[Account Withdrawl Amount] ], )</f>
        <v>0</v>
      </c>
      <c r="N27" s="18">
        <f>IF(Table41[[#This Row],[CODE]]=6, Table41[ [#This Row],[Account Deposit Amount] ]-Table41[ [#This Row],[Account Withdrawl Amount] ], )</f>
        <v>0</v>
      </c>
      <c r="O27" s="18">
        <f>IF(Table41[[#This Row],[CODE]]=11, Table41[ [#This Row],[Account Deposit Amount] ]-Table41[ [#This Row],[Account Withdrawl Amount] ], )</f>
        <v>0</v>
      </c>
      <c r="P27" s="18">
        <f>IF(Table41[[#This Row],[CODE]]=12, Table41[ [#This Row],[Account Deposit Amount] ]-Table41[ [#This Row],[Account Withdrawl Amount] ], )</f>
        <v>0</v>
      </c>
      <c r="Q27" s="18">
        <f>IF(Table41[[#This Row],[CODE]]=13, Table41[ [#This Row],[Account Deposit Amount] ]-Table41[ [#This Row],[Account Withdrawl Amount] ], )</f>
        <v>77.27</v>
      </c>
      <c r="R27" s="18">
        <f>IF(Table41[[#This Row],[CODE]]=14, Table41[ [#This Row],[Account Deposit Amount] ]-Table41[ [#This Row],[Account Withdrawl Amount] ], )</f>
        <v>0</v>
      </c>
      <c r="S27" s="18">
        <f>IF(Table41[[#This Row],[CODE]]=15, Table41[ [#This Row],[Account Deposit Amount] ]-Table41[ [#This Row],[Account Withdrawl Amount] ], )</f>
        <v>0</v>
      </c>
      <c r="T27" s="18">
        <f>IF(Table41[[#This Row],[CODE]]=16, Table41[ [#This Row],[Account Deposit Amount] ]-Table41[ [#This Row],[Account Withdrawl Amount] ], )</f>
        <v>0</v>
      </c>
      <c r="U27" s="17">
        <f>IF(Table41[[#This Row],[CODE]]=17, Table41[ [#This Row],[Account Deposit Amount] ]-Table41[ [#This Row],[Account Withdrawl Amount] ], )</f>
        <v>0</v>
      </c>
      <c r="V27" s="19">
        <f>IF(Table41[[#This Row],[CODE]]=18, Table41[ [#This Row],[Account Deposit Amount] ]-Table41[ [#This Row],[Account Withdrawl Amount] ], )</f>
        <v>0</v>
      </c>
    </row>
    <row r="28" spans="1:22" ht="12.6" thickBot="1">
      <c r="A28" s="118" t="s">
        <v>241</v>
      </c>
      <c r="B28" s="123">
        <v>45192</v>
      </c>
      <c r="C28" s="118" t="s">
        <v>201</v>
      </c>
      <c r="D28" s="120" t="s">
        <v>67</v>
      </c>
      <c r="E28" s="124"/>
      <c r="F28" s="124">
        <v>186.56</v>
      </c>
      <c r="G28" s="82">
        <f t="shared" si="5"/>
        <v>16767.049999999985</v>
      </c>
      <c r="H28" s="118">
        <v>12</v>
      </c>
      <c r="I28" s="125">
        <f>IF(Table41[[#This Row],[CODE]]=1, Table41[ [#This Row],[Account Deposit Amount] ]-Table41[ [#This Row],[Account Withdrawl Amount] ], )</f>
        <v>0</v>
      </c>
      <c r="J28" s="18">
        <f>IF(Table41[[#This Row],[CODE]]=2, Table41[ [#This Row],[Account Deposit Amount] ]-Table41[ [#This Row],[Account Withdrawl Amount] ], )</f>
        <v>0</v>
      </c>
      <c r="K28" s="18">
        <f>IF(Table41[[#This Row],[CODE]]=3, Table41[ [#This Row],[Account Deposit Amount] ]-Table41[ [#This Row],[Account Withdrawl Amount] ], )</f>
        <v>0</v>
      </c>
      <c r="L28" s="18">
        <f>IF(Table41[[#This Row],[CODE]]=4, Table41[ [#This Row],[Account Deposit Amount] ]-Table41[ [#This Row],[Account Withdrawl Amount] ], )</f>
        <v>0</v>
      </c>
      <c r="M28" s="18">
        <f>IF(Table41[[#This Row],[CODE]]=5, Table41[ [#This Row],[Account Deposit Amount] ]-Table41[ [#This Row],[Account Withdrawl Amount] ], )</f>
        <v>0</v>
      </c>
      <c r="N28" s="18">
        <f>IF(Table41[[#This Row],[CODE]]=6, Table41[ [#This Row],[Account Deposit Amount] ]-Table41[ [#This Row],[Account Withdrawl Amount] ], )</f>
        <v>0</v>
      </c>
      <c r="O28" s="18">
        <f>IF(Table41[[#This Row],[CODE]]=11, Table41[ [#This Row],[Account Deposit Amount] ]-Table41[ [#This Row],[Account Withdrawl Amount] ], )</f>
        <v>0</v>
      </c>
      <c r="P28" s="18">
        <f>IF(Table41[[#This Row],[CODE]]=12, Table41[ [#This Row],[Account Deposit Amount] ]-Table41[ [#This Row],[Account Withdrawl Amount] ], )</f>
        <v>-186.56</v>
      </c>
      <c r="Q28" s="18">
        <f>IF(Table41[[#This Row],[CODE]]=13, Table41[ [#This Row],[Account Deposit Amount] ]-Table41[ [#This Row],[Account Withdrawl Amount] ], )</f>
        <v>0</v>
      </c>
      <c r="R28" s="18">
        <f>IF(Table41[[#This Row],[CODE]]=14, Table41[ [#This Row],[Account Deposit Amount] ]-Table41[ [#This Row],[Account Withdrawl Amount] ], )</f>
        <v>0</v>
      </c>
      <c r="S28" s="18">
        <f>IF(Table41[[#This Row],[CODE]]=15, Table41[ [#This Row],[Account Deposit Amount] ]-Table41[ [#This Row],[Account Withdrawl Amount] ], )</f>
        <v>0</v>
      </c>
      <c r="T28" s="18">
        <f>IF(Table41[[#This Row],[CODE]]=16, Table41[ [#This Row],[Account Deposit Amount] ]-Table41[ [#This Row],[Account Withdrawl Amount] ], )</f>
        <v>0</v>
      </c>
      <c r="U28" s="17">
        <f>IF(Table41[[#This Row],[CODE]]=17, Table41[ [#This Row],[Account Deposit Amount] ]-Table41[ [#This Row],[Account Withdrawl Amount] ], )</f>
        <v>0</v>
      </c>
      <c r="V28" s="19">
        <f>IF(Table41[[#This Row],[CODE]]=18, Table41[ [#This Row],[Account Deposit Amount] ]-Table41[ [#This Row],[Account Withdrawl Amount] ], )</f>
        <v>0</v>
      </c>
    </row>
    <row r="29" spans="1:22" ht="12.6" thickBot="1">
      <c r="A29" s="118" t="s">
        <v>357</v>
      </c>
      <c r="B29" s="123">
        <v>45192</v>
      </c>
      <c r="C29" s="118" t="s">
        <v>358</v>
      </c>
      <c r="D29" s="120" t="s">
        <v>359</v>
      </c>
      <c r="E29" s="124"/>
      <c r="F29" s="124">
        <v>7</v>
      </c>
      <c r="G29" s="82">
        <f t="shared" si="5"/>
        <v>16760.049999999985</v>
      </c>
      <c r="H29" s="118">
        <v>6</v>
      </c>
      <c r="I29" s="125">
        <f>IF(Table41[[#This Row],[CODE]]=1, Table41[ [#This Row],[Account Deposit Amount] ]-Table41[ [#This Row],[Account Withdrawl Amount] ], )</f>
        <v>0</v>
      </c>
      <c r="J29" s="18">
        <f>IF(Table41[[#This Row],[CODE]]=2, Table41[ [#This Row],[Account Deposit Amount] ]-Table41[ [#This Row],[Account Withdrawl Amount] ], )</f>
        <v>0</v>
      </c>
      <c r="K29" s="18">
        <f>IF(Table41[[#This Row],[CODE]]=3, Table41[ [#This Row],[Account Deposit Amount] ]-Table41[ [#This Row],[Account Withdrawl Amount] ], )</f>
        <v>0</v>
      </c>
      <c r="L29" s="18">
        <f>IF(Table41[[#This Row],[CODE]]=4, Table41[ [#This Row],[Account Deposit Amount] ]-Table41[ [#This Row],[Account Withdrawl Amount] ], )</f>
        <v>0</v>
      </c>
      <c r="M29" s="18">
        <f>IF(Table41[[#This Row],[CODE]]=5, Table41[ [#This Row],[Account Deposit Amount] ]-Table41[ [#This Row],[Account Withdrawl Amount] ], )</f>
        <v>0</v>
      </c>
      <c r="N29" s="18">
        <f>IF(Table41[[#This Row],[CODE]]=6, Table41[ [#This Row],[Account Deposit Amount] ]-Table41[ [#This Row],[Account Withdrawl Amount] ], )</f>
        <v>-7</v>
      </c>
      <c r="O29" s="18">
        <f>IF(Table41[[#This Row],[CODE]]=11, Table41[ [#This Row],[Account Deposit Amount] ]-Table41[ [#This Row],[Account Withdrawl Amount] ], )</f>
        <v>0</v>
      </c>
      <c r="P29" s="18">
        <f>IF(Table41[[#This Row],[CODE]]=12, Table41[ [#This Row],[Account Deposit Amount] ]-Table41[ [#This Row],[Account Withdrawl Amount] ], )</f>
        <v>0</v>
      </c>
      <c r="Q29" s="18">
        <f>IF(Table41[[#This Row],[CODE]]=13, Table41[ [#This Row],[Account Deposit Amount] ]-Table41[ [#This Row],[Account Withdrawl Amount] ], )</f>
        <v>0</v>
      </c>
      <c r="R29" s="18">
        <f>IF(Table41[[#This Row],[CODE]]=14, Table41[ [#This Row],[Account Deposit Amount] ]-Table41[ [#This Row],[Account Withdrawl Amount] ], )</f>
        <v>0</v>
      </c>
      <c r="S29" s="18">
        <f>IF(Table41[[#This Row],[CODE]]=15, Table41[ [#This Row],[Account Deposit Amount] ]-Table41[ [#This Row],[Account Withdrawl Amount] ], )</f>
        <v>0</v>
      </c>
      <c r="T29" s="18">
        <f>IF(Table41[[#This Row],[CODE]]=16, Table41[ [#This Row],[Account Deposit Amount] ]-Table41[ [#This Row],[Account Withdrawl Amount] ], )</f>
        <v>0</v>
      </c>
      <c r="U29" s="17">
        <f>IF(Table41[[#This Row],[CODE]]=17, Table41[ [#This Row],[Account Deposit Amount] ]-Table41[ [#This Row],[Account Withdrawl Amount] ], )</f>
        <v>0</v>
      </c>
      <c r="V29" s="19">
        <f>IF(Table41[[#This Row],[CODE]]=18, Table41[ [#This Row],[Account Deposit Amount] ]-Table41[ [#This Row],[Account Withdrawl Amount] ], )</f>
        <v>0</v>
      </c>
    </row>
    <row r="30" spans="1:22" ht="12.6" thickBot="1">
      <c r="A30" s="118" t="s">
        <v>241</v>
      </c>
      <c r="B30" s="123">
        <v>45193</v>
      </c>
      <c r="C30" s="118" t="s">
        <v>268</v>
      </c>
      <c r="D30" s="120" t="s">
        <v>360</v>
      </c>
      <c r="E30" s="124"/>
      <c r="F30" s="124">
        <v>3.98</v>
      </c>
      <c r="G30" s="82">
        <f t="shared" si="5"/>
        <v>16756.069999999985</v>
      </c>
      <c r="H30" s="118">
        <v>13</v>
      </c>
      <c r="I30" s="125">
        <f>IF(Table41[[#This Row],[CODE]]=1, Table41[ [#This Row],[Account Deposit Amount] ]-Table41[ [#This Row],[Account Withdrawl Amount] ], )</f>
        <v>0</v>
      </c>
      <c r="J30" s="18">
        <f>IF(Table41[[#This Row],[CODE]]=2, Table41[ [#This Row],[Account Deposit Amount] ]-Table41[ [#This Row],[Account Withdrawl Amount] ], )</f>
        <v>0</v>
      </c>
      <c r="K30" s="18">
        <f>IF(Table41[[#This Row],[CODE]]=3, Table41[ [#This Row],[Account Deposit Amount] ]-Table41[ [#This Row],[Account Withdrawl Amount] ], )</f>
        <v>0</v>
      </c>
      <c r="L30" s="18">
        <f>IF(Table41[[#This Row],[CODE]]=4, Table41[ [#This Row],[Account Deposit Amount] ]-Table41[ [#This Row],[Account Withdrawl Amount] ], )</f>
        <v>0</v>
      </c>
      <c r="M30" s="18">
        <f>IF(Table41[[#This Row],[CODE]]=5, Table41[ [#This Row],[Account Deposit Amount] ]-Table41[ [#This Row],[Account Withdrawl Amount] ], )</f>
        <v>0</v>
      </c>
      <c r="N30" s="18">
        <f>IF(Table41[[#This Row],[CODE]]=6, Table41[ [#This Row],[Account Deposit Amount] ]-Table41[ [#This Row],[Account Withdrawl Amount] ], )</f>
        <v>0</v>
      </c>
      <c r="O30" s="18">
        <f>IF(Table41[[#This Row],[CODE]]=11, Table41[ [#This Row],[Account Deposit Amount] ]-Table41[ [#This Row],[Account Withdrawl Amount] ], )</f>
        <v>0</v>
      </c>
      <c r="P30" s="18">
        <f>IF(Table41[[#This Row],[CODE]]=12, Table41[ [#This Row],[Account Deposit Amount] ]-Table41[ [#This Row],[Account Withdrawl Amount] ], )</f>
        <v>0</v>
      </c>
      <c r="Q30" s="18">
        <f>IF(Table41[[#This Row],[CODE]]=13, Table41[ [#This Row],[Account Deposit Amount] ]-Table41[ [#This Row],[Account Withdrawl Amount] ], )</f>
        <v>-3.98</v>
      </c>
      <c r="R30" s="18">
        <f>IF(Table41[[#This Row],[CODE]]=14, Table41[ [#This Row],[Account Deposit Amount] ]-Table41[ [#This Row],[Account Withdrawl Amount] ], )</f>
        <v>0</v>
      </c>
      <c r="S30" s="18">
        <f>IF(Table41[[#This Row],[CODE]]=15, Table41[ [#This Row],[Account Deposit Amount] ]-Table41[ [#This Row],[Account Withdrawl Amount] ], )</f>
        <v>0</v>
      </c>
      <c r="T30" s="18">
        <f>IF(Table41[[#This Row],[CODE]]=16, Table41[ [#This Row],[Account Deposit Amount] ]-Table41[ [#This Row],[Account Withdrawl Amount] ], )</f>
        <v>0</v>
      </c>
      <c r="U30" s="17">
        <f>IF(Table41[[#This Row],[CODE]]=17, Table41[ [#This Row],[Account Deposit Amount] ]-Table41[ [#This Row],[Account Withdrawl Amount] ], )</f>
        <v>0</v>
      </c>
      <c r="V30" s="19">
        <f>IF(Table41[[#This Row],[CODE]]=18, Table41[ [#This Row],[Account Deposit Amount] ]-Table41[ [#This Row],[Account Withdrawl Amount] ], )</f>
        <v>0</v>
      </c>
    </row>
    <row r="31" spans="1:22" ht="12.6" thickBot="1">
      <c r="A31" s="118" t="s">
        <v>241</v>
      </c>
      <c r="B31" s="123">
        <v>45193</v>
      </c>
      <c r="C31" s="118" t="s">
        <v>248</v>
      </c>
      <c r="D31" s="120" t="s">
        <v>361</v>
      </c>
      <c r="E31" s="124"/>
      <c r="F31" s="124">
        <v>116.43</v>
      </c>
      <c r="G31" s="82">
        <f t="shared" si="5"/>
        <v>16639.639999999985</v>
      </c>
      <c r="H31" s="118">
        <v>15</v>
      </c>
      <c r="I31" s="125">
        <f>IF(Table41[[#This Row],[CODE]]=1, Table41[ [#This Row],[Account Deposit Amount] ]-Table41[ [#This Row],[Account Withdrawl Amount] ], )</f>
        <v>0</v>
      </c>
      <c r="J31" s="18">
        <f>IF(Table41[[#This Row],[CODE]]=2, Table41[ [#This Row],[Account Deposit Amount] ]-Table41[ [#This Row],[Account Withdrawl Amount] ], )</f>
        <v>0</v>
      </c>
      <c r="K31" s="18">
        <f>IF(Table41[[#This Row],[CODE]]=3, Table41[ [#This Row],[Account Deposit Amount] ]-Table41[ [#This Row],[Account Withdrawl Amount] ], )</f>
        <v>0</v>
      </c>
      <c r="L31" s="18">
        <f>IF(Table41[[#This Row],[CODE]]=4, Table41[ [#This Row],[Account Deposit Amount] ]-Table41[ [#This Row],[Account Withdrawl Amount] ], )</f>
        <v>0</v>
      </c>
      <c r="M31" s="18">
        <f>IF(Table41[[#This Row],[CODE]]=5, Table41[ [#This Row],[Account Deposit Amount] ]-Table41[ [#This Row],[Account Withdrawl Amount] ], )</f>
        <v>0</v>
      </c>
      <c r="N31" s="18">
        <f>IF(Table41[[#This Row],[CODE]]=6, Table41[ [#This Row],[Account Deposit Amount] ]-Table41[ [#This Row],[Account Withdrawl Amount] ], )</f>
        <v>0</v>
      </c>
      <c r="O31" s="18">
        <f>IF(Table41[[#This Row],[CODE]]=11, Table41[ [#This Row],[Account Deposit Amount] ]-Table41[ [#This Row],[Account Withdrawl Amount] ], )</f>
        <v>0</v>
      </c>
      <c r="P31" s="18">
        <f>IF(Table41[[#This Row],[CODE]]=12, Table41[ [#This Row],[Account Deposit Amount] ]-Table41[ [#This Row],[Account Withdrawl Amount] ], )</f>
        <v>0</v>
      </c>
      <c r="Q31" s="18">
        <f>IF(Table41[[#This Row],[CODE]]=13, Table41[ [#This Row],[Account Deposit Amount] ]-Table41[ [#This Row],[Account Withdrawl Amount] ], )</f>
        <v>0</v>
      </c>
      <c r="R31" s="18">
        <f>IF(Table41[[#This Row],[CODE]]=14, Table41[ [#This Row],[Account Deposit Amount] ]-Table41[ [#This Row],[Account Withdrawl Amount] ], )</f>
        <v>0</v>
      </c>
      <c r="S31" s="18">
        <f>IF(Table41[[#This Row],[CODE]]=15, Table41[ [#This Row],[Account Deposit Amount] ]-Table41[ [#This Row],[Account Withdrawl Amount] ], )</f>
        <v>-116.43</v>
      </c>
      <c r="T31" s="18">
        <f>IF(Table41[[#This Row],[CODE]]=16, Table41[ [#This Row],[Account Deposit Amount] ]-Table41[ [#This Row],[Account Withdrawl Amount] ], )</f>
        <v>0</v>
      </c>
      <c r="U31" s="17">
        <f>IF(Table41[[#This Row],[CODE]]=17, Table41[ [#This Row],[Account Deposit Amount] ]-Table41[ [#This Row],[Account Withdrawl Amount] ], )</f>
        <v>0</v>
      </c>
      <c r="V31" s="19">
        <f>IF(Table41[[#This Row],[CODE]]=18, Table41[ [#This Row],[Account Deposit Amount] ]-Table41[ [#This Row],[Account Withdrawl Amount] ], )</f>
        <v>0</v>
      </c>
    </row>
    <row r="32" spans="1:22" ht="12.6" thickBot="1">
      <c r="A32" s="118" t="s">
        <v>241</v>
      </c>
      <c r="B32" s="123">
        <v>45193</v>
      </c>
      <c r="C32" s="118" t="s">
        <v>362</v>
      </c>
      <c r="D32" s="120" t="s">
        <v>363</v>
      </c>
      <c r="E32" s="124"/>
      <c r="F32" s="124">
        <v>26.75</v>
      </c>
      <c r="G32" s="82">
        <f t="shared" si="5"/>
        <v>16612.889999999985</v>
      </c>
      <c r="H32" s="118">
        <v>13</v>
      </c>
      <c r="I32" s="125">
        <f>IF(Table41[[#This Row],[CODE]]=1, Table41[ [#This Row],[Account Deposit Amount] ]-Table41[ [#This Row],[Account Withdrawl Amount] ], )</f>
        <v>0</v>
      </c>
      <c r="J32" s="18">
        <f>IF(Table41[[#This Row],[CODE]]=2, Table41[ [#This Row],[Account Deposit Amount] ]-Table41[ [#This Row],[Account Withdrawl Amount] ], )</f>
        <v>0</v>
      </c>
      <c r="K32" s="18">
        <f>IF(Table41[[#This Row],[CODE]]=3, Table41[ [#This Row],[Account Deposit Amount] ]-Table41[ [#This Row],[Account Withdrawl Amount] ], )</f>
        <v>0</v>
      </c>
      <c r="L32" s="18">
        <f>IF(Table41[[#This Row],[CODE]]=4, Table41[ [#This Row],[Account Deposit Amount] ]-Table41[ [#This Row],[Account Withdrawl Amount] ], )</f>
        <v>0</v>
      </c>
      <c r="M32" s="18">
        <f>IF(Table41[[#This Row],[CODE]]=5, Table41[ [#This Row],[Account Deposit Amount] ]-Table41[ [#This Row],[Account Withdrawl Amount] ], )</f>
        <v>0</v>
      </c>
      <c r="N32" s="18">
        <f>IF(Table41[[#This Row],[CODE]]=6, Table41[ [#This Row],[Account Deposit Amount] ]-Table41[ [#This Row],[Account Withdrawl Amount] ], )</f>
        <v>0</v>
      </c>
      <c r="O32" s="18">
        <f>IF(Table41[[#This Row],[CODE]]=11, Table41[ [#This Row],[Account Deposit Amount] ]-Table41[ [#This Row],[Account Withdrawl Amount] ], )</f>
        <v>0</v>
      </c>
      <c r="P32" s="18">
        <f>IF(Table41[[#This Row],[CODE]]=12, Table41[ [#This Row],[Account Deposit Amount] ]-Table41[ [#This Row],[Account Withdrawl Amount] ], )</f>
        <v>0</v>
      </c>
      <c r="Q32" s="18">
        <f>IF(Table41[[#This Row],[CODE]]=13, Table41[ [#This Row],[Account Deposit Amount] ]-Table41[ [#This Row],[Account Withdrawl Amount] ], )</f>
        <v>-26.75</v>
      </c>
      <c r="R32" s="18">
        <f>IF(Table41[[#This Row],[CODE]]=14, Table41[ [#This Row],[Account Deposit Amount] ]-Table41[ [#This Row],[Account Withdrawl Amount] ], )</f>
        <v>0</v>
      </c>
      <c r="S32" s="18">
        <f>IF(Table41[[#This Row],[CODE]]=15, Table41[ [#This Row],[Account Deposit Amount] ]-Table41[ [#This Row],[Account Withdrawl Amount] ], )</f>
        <v>0</v>
      </c>
      <c r="T32" s="18">
        <f>IF(Table41[[#This Row],[CODE]]=16, Table41[ [#This Row],[Account Deposit Amount] ]-Table41[ [#This Row],[Account Withdrawl Amount] ], )</f>
        <v>0</v>
      </c>
      <c r="U32" s="17">
        <f>IF(Table41[[#This Row],[CODE]]=17, Table41[ [#This Row],[Account Deposit Amount] ]-Table41[ [#This Row],[Account Withdrawl Amount] ], )</f>
        <v>0</v>
      </c>
      <c r="V32" s="19">
        <f>IF(Table41[[#This Row],[CODE]]=18, Table41[ [#This Row],[Account Deposit Amount] ]-Table41[ [#This Row],[Account Withdrawl Amount] ], )</f>
        <v>0</v>
      </c>
    </row>
    <row r="33" spans="1:22" ht="12.6" thickBot="1">
      <c r="A33" s="118" t="s">
        <v>241</v>
      </c>
      <c r="B33" s="123">
        <v>45193</v>
      </c>
      <c r="C33" s="118" t="s">
        <v>362</v>
      </c>
      <c r="D33" s="120" t="s">
        <v>364</v>
      </c>
      <c r="E33" s="124"/>
      <c r="F33" s="124">
        <v>31.33</v>
      </c>
      <c r="G33" s="82">
        <f t="shared" si="5"/>
        <v>16581.559999999983</v>
      </c>
      <c r="H33" s="118">
        <v>15</v>
      </c>
      <c r="I33" s="125">
        <f>IF(Table41[[#This Row],[CODE]]=1, Table41[ [#This Row],[Account Deposit Amount] ]-Table41[ [#This Row],[Account Withdrawl Amount] ], )</f>
        <v>0</v>
      </c>
      <c r="J33" s="18">
        <f>IF(Table41[[#This Row],[CODE]]=2, Table41[ [#This Row],[Account Deposit Amount] ]-Table41[ [#This Row],[Account Withdrawl Amount] ], )</f>
        <v>0</v>
      </c>
      <c r="K33" s="18">
        <f>IF(Table41[[#This Row],[CODE]]=3, Table41[ [#This Row],[Account Deposit Amount] ]-Table41[ [#This Row],[Account Withdrawl Amount] ], )</f>
        <v>0</v>
      </c>
      <c r="L33" s="18">
        <f>IF(Table41[[#This Row],[CODE]]=4, Table41[ [#This Row],[Account Deposit Amount] ]-Table41[ [#This Row],[Account Withdrawl Amount] ], )</f>
        <v>0</v>
      </c>
      <c r="M33" s="18">
        <f>IF(Table41[[#This Row],[CODE]]=5, Table41[ [#This Row],[Account Deposit Amount] ]-Table41[ [#This Row],[Account Withdrawl Amount] ], )</f>
        <v>0</v>
      </c>
      <c r="N33" s="18">
        <f>IF(Table41[[#This Row],[CODE]]=6, Table41[ [#This Row],[Account Deposit Amount] ]-Table41[ [#This Row],[Account Withdrawl Amount] ], )</f>
        <v>0</v>
      </c>
      <c r="O33" s="18">
        <f>IF(Table41[[#This Row],[CODE]]=11, Table41[ [#This Row],[Account Deposit Amount] ]-Table41[ [#This Row],[Account Withdrawl Amount] ], )</f>
        <v>0</v>
      </c>
      <c r="P33" s="18">
        <f>IF(Table41[[#This Row],[CODE]]=12, Table41[ [#This Row],[Account Deposit Amount] ]-Table41[ [#This Row],[Account Withdrawl Amount] ], )</f>
        <v>0</v>
      </c>
      <c r="Q33" s="18">
        <f>IF(Table41[[#This Row],[CODE]]=13, Table41[ [#This Row],[Account Deposit Amount] ]-Table41[ [#This Row],[Account Withdrawl Amount] ], )</f>
        <v>0</v>
      </c>
      <c r="R33" s="18">
        <f>IF(Table41[[#This Row],[CODE]]=14, Table41[ [#This Row],[Account Deposit Amount] ]-Table41[ [#This Row],[Account Withdrawl Amount] ], )</f>
        <v>0</v>
      </c>
      <c r="S33" s="18">
        <f>IF(Table41[[#This Row],[CODE]]=15, Table41[ [#This Row],[Account Deposit Amount] ]-Table41[ [#This Row],[Account Withdrawl Amount] ], )</f>
        <v>-31.33</v>
      </c>
      <c r="T33" s="18">
        <f>IF(Table41[[#This Row],[CODE]]=16, Table41[ [#This Row],[Account Deposit Amount] ]-Table41[ [#This Row],[Account Withdrawl Amount] ], )</f>
        <v>0</v>
      </c>
      <c r="U33" s="17">
        <f>IF(Table41[[#This Row],[CODE]]=17, Table41[ [#This Row],[Account Deposit Amount] ]-Table41[ [#This Row],[Account Withdrawl Amount] ], )</f>
        <v>0</v>
      </c>
      <c r="V33" s="19">
        <f>IF(Table41[[#This Row],[CODE]]=18, Table41[ [#This Row],[Account Deposit Amount] ]-Table41[ [#This Row],[Account Withdrawl Amount] ], )</f>
        <v>0</v>
      </c>
    </row>
    <row r="34" spans="1:22" ht="12.6" thickBot="1">
      <c r="A34" s="118" t="s">
        <v>241</v>
      </c>
      <c r="B34" s="123">
        <v>45195</v>
      </c>
      <c r="C34" s="118" t="s">
        <v>365</v>
      </c>
      <c r="D34" s="120" t="s">
        <v>366</v>
      </c>
      <c r="E34" s="124"/>
      <c r="F34" s="124">
        <v>32.090000000000003</v>
      </c>
      <c r="G34" s="82">
        <f t="shared" si="5"/>
        <v>16549.469999999983</v>
      </c>
      <c r="H34" s="118">
        <v>14</v>
      </c>
      <c r="I34" s="125">
        <f>IF(Table41[[#This Row],[CODE]]=1, Table41[ [#This Row],[Account Deposit Amount] ]-Table41[ [#This Row],[Account Withdrawl Amount] ], )</f>
        <v>0</v>
      </c>
      <c r="J34" s="18">
        <f>IF(Table41[[#This Row],[CODE]]=2, Table41[ [#This Row],[Account Deposit Amount] ]-Table41[ [#This Row],[Account Withdrawl Amount] ], )</f>
        <v>0</v>
      </c>
      <c r="K34" s="18">
        <f>IF(Table41[[#This Row],[CODE]]=3, Table41[ [#This Row],[Account Deposit Amount] ]-Table41[ [#This Row],[Account Withdrawl Amount] ], )</f>
        <v>0</v>
      </c>
      <c r="L34" s="18">
        <f>IF(Table41[[#This Row],[CODE]]=4, Table41[ [#This Row],[Account Deposit Amount] ]-Table41[ [#This Row],[Account Withdrawl Amount] ], )</f>
        <v>0</v>
      </c>
      <c r="M34" s="18">
        <f>IF(Table41[[#This Row],[CODE]]=5, Table41[ [#This Row],[Account Deposit Amount] ]-Table41[ [#This Row],[Account Withdrawl Amount] ], )</f>
        <v>0</v>
      </c>
      <c r="N34" s="18">
        <f>IF(Table41[[#This Row],[CODE]]=6, Table41[ [#This Row],[Account Deposit Amount] ]-Table41[ [#This Row],[Account Withdrawl Amount] ], )</f>
        <v>0</v>
      </c>
      <c r="O34" s="18">
        <f>IF(Table41[[#This Row],[CODE]]=11, Table41[ [#This Row],[Account Deposit Amount] ]-Table41[ [#This Row],[Account Withdrawl Amount] ], )</f>
        <v>0</v>
      </c>
      <c r="P34" s="18">
        <f>IF(Table41[[#This Row],[CODE]]=12, Table41[ [#This Row],[Account Deposit Amount] ]-Table41[ [#This Row],[Account Withdrawl Amount] ], )</f>
        <v>0</v>
      </c>
      <c r="Q34" s="18">
        <f>IF(Table41[[#This Row],[CODE]]=13, Table41[ [#This Row],[Account Deposit Amount] ]-Table41[ [#This Row],[Account Withdrawl Amount] ], )</f>
        <v>0</v>
      </c>
      <c r="R34" s="18">
        <f>IF(Table41[[#This Row],[CODE]]=14, Table41[ [#This Row],[Account Deposit Amount] ]-Table41[ [#This Row],[Account Withdrawl Amount] ], )</f>
        <v>-32.090000000000003</v>
      </c>
      <c r="S34" s="18">
        <f>IF(Table41[[#This Row],[CODE]]=15, Table41[ [#This Row],[Account Deposit Amount] ]-Table41[ [#This Row],[Account Withdrawl Amount] ], )</f>
        <v>0</v>
      </c>
      <c r="T34" s="18">
        <f>IF(Table41[[#This Row],[CODE]]=16, Table41[ [#This Row],[Account Deposit Amount] ]-Table41[ [#This Row],[Account Withdrawl Amount] ], )</f>
        <v>0</v>
      </c>
      <c r="U34" s="17">
        <f>IF(Table41[[#This Row],[CODE]]=17, Table41[ [#This Row],[Account Deposit Amount] ]-Table41[ [#This Row],[Account Withdrawl Amount] ], )</f>
        <v>0</v>
      </c>
      <c r="V34" s="19">
        <f>IF(Table41[[#This Row],[CODE]]=18, Table41[ [#This Row],[Account Deposit Amount] ]-Table41[ [#This Row],[Account Withdrawl Amount] ], )</f>
        <v>0</v>
      </c>
    </row>
    <row r="35" spans="1:22" ht="12.6" thickBot="1">
      <c r="A35" s="118" t="s">
        <v>241</v>
      </c>
      <c r="B35" s="123">
        <v>45195</v>
      </c>
      <c r="C35" s="118" t="s">
        <v>365</v>
      </c>
      <c r="D35" s="120" t="s">
        <v>366</v>
      </c>
      <c r="E35" s="124"/>
      <c r="F35" s="124">
        <v>51.97</v>
      </c>
      <c r="G35" s="82">
        <f t="shared" si="5"/>
        <v>16497.499999999982</v>
      </c>
      <c r="H35" s="118">
        <v>14</v>
      </c>
      <c r="I35" s="125">
        <f>IF(Table41[[#This Row],[CODE]]=1, Table41[ [#This Row],[Account Deposit Amount] ]-Table41[ [#This Row],[Account Withdrawl Amount] ], )</f>
        <v>0</v>
      </c>
      <c r="J35" s="18">
        <f>IF(Table41[[#This Row],[CODE]]=2, Table41[ [#This Row],[Account Deposit Amount] ]-Table41[ [#This Row],[Account Withdrawl Amount] ], )</f>
        <v>0</v>
      </c>
      <c r="K35" s="18">
        <f>IF(Table41[[#This Row],[CODE]]=3, Table41[ [#This Row],[Account Deposit Amount] ]-Table41[ [#This Row],[Account Withdrawl Amount] ], )</f>
        <v>0</v>
      </c>
      <c r="L35" s="18">
        <f>IF(Table41[[#This Row],[CODE]]=4, Table41[ [#This Row],[Account Deposit Amount] ]-Table41[ [#This Row],[Account Withdrawl Amount] ], )</f>
        <v>0</v>
      </c>
      <c r="M35" s="18">
        <f>IF(Table41[[#This Row],[CODE]]=5, Table41[ [#This Row],[Account Deposit Amount] ]-Table41[ [#This Row],[Account Withdrawl Amount] ], )</f>
        <v>0</v>
      </c>
      <c r="N35" s="18">
        <f>IF(Table41[[#This Row],[CODE]]=6, Table41[ [#This Row],[Account Deposit Amount] ]-Table41[ [#This Row],[Account Withdrawl Amount] ], )</f>
        <v>0</v>
      </c>
      <c r="O35" s="18">
        <f>IF(Table41[[#This Row],[CODE]]=11, Table41[ [#This Row],[Account Deposit Amount] ]-Table41[ [#This Row],[Account Withdrawl Amount] ], )</f>
        <v>0</v>
      </c>
      <c r="P35" s="18">
        <f>IF(Table41[[#This Row],[CODE]]=12, Table41[ [#This Row],[Account Deposit Amount] ]-Table41[ [#This Row],[Account Withdrawl Amount] ], )</f>
        <v>0</v>
      </c>
      <c r="Q35" s="18">
        <f>IF(Table41[[#This Row],[CODE]]=13, Table41[ [#This Row],[Account Deposit Amount] ]-Table41[ [#This Row],[Account Withdrawl Amount] ], )</f>
        <v>0</v>
      </c>
      <c r="R35" s="18">
        <f>IF(Table41[[#This Row],[CODE]]=14, Table41[ [#This Row],[Account Deposit Amount] ]-Table41[ [#This Row],[Account Withdrawl Amount] ], )</f>
        <v>-51.97</v>
      </c>
      <c r="S35" s="18">
        <f>IF(Table41[[#This Row],[CODE]]=15, Table41[ [#This Row],[Account Deposit Amount] ]-Table41[ [#This Row],[Account Withdrawl Amount] ], )</f>
        <v>0</v>
      </c>
      <c r="T35" s="18">
        <f>IF(Table41[[#This Row],[CODE]]=16, Table41[ [#This Row],[Account Deposit Amount] ]-Table41[ [#This Row],[Account Withdrawl Amount] ], )</f>
        <v>0</v>
      </c>
      <c r="U35" s="17">
        <f>IF(Table41[[#This Row],[CODE]]=17, Table41[ [#This Row],[Account Deposit Amount] ]-Table41[ [#This Row],[Account Withdrawl Amount] ], )</f>
        <v>0</v>
      </c>
      <c r="V35" s="19">
        <f>IF(Table41[[#This Row],[CODE]]=18, Table41[ [#This Row],[Account Deposit Amount] ]-Table41[ [#This Row],[Account Withdrawl Amount] ], )</f>
        <v>0</v>
      </c>
    </row>
    <row r="36" spans="1:22" ht="12.6" thickBot="1">
      <c r="A36" s="118" t="s">
        <v>241</v>
      </c>
      <c r="B36" s="123">
        <v>45195</v>
      </c>
      <c r="C36" s="118" t="s">
        <v>365</v>
      </c>
      <c r="D36" s="120" t="s">
        <v>366</v>
      </c>
      <c r="E36" s="124"/>
      <c r="F36" s="124">
        <v>59.01</v>
      </c>
      <c r="G36" s="82">
        <f t="shared" si="5"/>
        <v>16438.489999999983</v>
      </c>
      <c r="H36" s="118">
        <v>14</v>
      </c>
      <c r="I36" s="125">
        <f>IF(Table41[[#This Row],[CODE]]=1, Table41[ [#This Row],[Account Deposit Amount] ]-Table41[ [#This Row],[Account Withdrawl Amount] ], )</f>
        <v>0</v>
      </c>
      <c r="J36" s="18">
        <f>IF(Table41[[#This Row],[CODE]]=2, Table41[ [#This Row],[Account Deposit Amount] ]-Table41[ [#This Row],[Account Withdrawl Amount] ], )</f>
        <v>0</v>
      </c>
      <c r="K36" s="18">
        <f>IF(Table41[[#This Row],[CODE]]=3, Table41[ [#This Row],[Account Deposit Amount] ]-Table41[ [#This Row],[Account Withdrawl Amount] ], )</f>
        <v>0</v>
      </c>
      <c r="L36" s="18">
        <f>IF(Table41[[#This Row],[CODE]]=4, Table41[ [#This Row],[Account Deposit Amount] ]-Table41[ [#This Row],[Account Withdrawl Amount] ], )</f>
        <v>0</v>
      </c>
      <c r="M36" s="18">
        <f>IF(Table41[[#This Row],[CODE]]=5, Table41[ [#This Row],[Account Deposit Amount] ]-Table41[ [#This Row],[Account Withdrawl Amount] ], )</f>
        <v>0</v>
      </c>
      <c r="N36" s="18">
        <f>IF(Table41[[#This Row],[CODE]]=6, Table41[ [#This Row],[Account Deposit Amount] ]-Table41[ [#This Row],[Account Withdrawl Amount] ], )</f>
        <v>0</v>
      </c>
      <c r="O36" s="18">
        <f>IF(Table41[[#This Row],[CODE]]=11, Table41[ [#This Row],[Account Deposit Amount] ]-Table41[ [#This Row],[Account Withdrawl Amount] ], )</f>
        <v>0</v>
      </c>
      <c r="P36" s="18">
        <f>IF(Table41[[#This Row],[CODE]]=12, Table41[ [#This Row],[Account Deposit Amount] ]-Table41[ [#This Row],[Account Withdrawl Amount] ], )</f>
        <v>0</v>
      </c>
      <c r="Q36" s="18">
        <f>IF(Table41[[#This Row],[CODE]]=13, Table41[ [#This Row],[Account Deposit Amount] ]-Table41[ [#This Row],[Account Withdrawl Amount] ], )</f>
        <v>0</v>
      </c>
      <c r="R36" s="18">
        <f>IF(Table41[[#This Row],[CODE]]=14, Table41[ [#This Row],[Account Deposit Amount] ]-Table41[ [#This Row],[Account Withdrawl Amount] ], )</f>
        <v>-59.01</v>
      </c>
      <c r="S36" s="18">
        <f>IF(Table41[[#This Row],[CODE]]=15, Table41[ [#This Row],[Account Deposit Amount] ]-Table41[ [#This Row],[Account Withdrawl Amount] ], )</f>
        <v>0</v>
      </c>
      <c r="T36" s="18">
        <f>IF(Table41[[#This Row],[CODE]]=16, Table41[ [#This Row],[Account Deposit Amount] ]-Table41[ [#This Row],[Account Withdrawl Amount] ], )</f>
        <v>0</v>
      </c>
      <c r="U36" s="17">
        <f>IF(Table41[[#This Row],[CODE]]=17, Table41[ [#This Row],[Account Deposit Amount] ]-Table41[ [#This Row],[Account Withdrawl Amount] ], )</f>
        <v>0</v>
      </c>
      <c r="V36" s="19">
        <f>IF(Table41[[#This Row],[CODE]]=18, Table41[ [#This Row],[Account Deposit Amount] ]-Table41[ [#This Row],[Account Withdrawl Amount] ], )</f>
        <v>0</v>
      </c>
    </row>
    <row r="37" spans="1:22" ht="12.6" thickBot="1">
      <c r="A37" s="118" t="s">
        <v>241</v>
      </c>
      <c r="B37" s="123">
        <v>45195</v>
      </c>
      <c r="C37" s="118" t="s">
        <v>353</v>
      </c>
      <c r="D37" s="120" t="s">
        <v>367</v>
      </c>
      <c r="E37" s="124"/>
      <c r="F37" s="124">
        <v>50</v>
      </c>
      <c r="G37" s="82">
        <f t="shared" si="5"/>
        <v>16388.489999999983</v>
      </c>
      <c r="H37" s="118">
        <v>13</v>
      </c>
      <c r="I37" s="125">
        <f>IF(Table41[[#This Row],[CODE]]=1, Table41[ [#This Row],[Account Deposit Amount] ]-Table41[ [#This Row],[Account Withdrawl Amount] ], )</f>
        <v>0</v>
      </c>
      <c r="J37" s="18">
        <f>IF(Table41[[#This Row],[CODE]]=2, Table41[ [#This Row],[Account Deposit Amount] ]-Table41[ [#This Row],[Account Withdrawl Amount] ], )</f>
        <v>0</v>
      </c>
      <c r="K37" s="18">
        <f>IF(Table41[[#This Row],[CODE]]=3, Table41[ [#This Row],[Account Deposit Amount] ]-Table41[ [#This Row],[Account Withdrawl Amount] ], )</f>
        <v>0</v>
      </c>
      <c r="L37" s="18">
        <f>IF(Table41[[#This Row],[CODE]]=4, Table41[ [#This Row],[Account Deposit Amount] ]-Table41[ [#This Row],[Account Withdrawl Amount] ], )</f>
        <v>0</v>
      </c>
      <c r="M37" s="18">
        <f>IF(Table41[[#This Row],[CODE]]=5, Table41[ [#This Row],[Account Deposit Amount] ]-Table41[ [#This Row],[Account Withdrawl Amount] ], )</f>
        <v>0</v>
      </c>
      <c r="N37" s="18">
        <f>IF(Table41[[#This Row],[CODE]]=6, Table41[ [#This Row],[Account Deposit Amount] ]-Table41[ [#This Row],[Account Withdrawl Amount] ], )</f>
        <v>0</v>
      </c>
      <c r="O37" s="18">
        <f>IF(Table41[[#This Row],[CODE]]=11, Table41[ [#This Row],[Account Deposit Amount] ]-Table41[ [#This Row],[Account Withdrawl Amount] ], )</f>
        <v>0</v>
      </c>
      <c r="P37" s="18">
        <f>IF(Table41[[#This Row],[CODE]]=12, Table41[ [#This Row],[Account Deposit Amount] ]-Table41[ [#This Row],[Account Withdrawl Amount] ], )</f>
        <v>0</v>
      </c>
      <c r="Q37" s="18">
        <f>IF(Table41[[#This Row],[CODE]]=13, Table41[ [#This Row],[Account Deposit Amount] ]-Table41[ [#This Row],[Account Withdrawl Amount] ], )</f>
        <v>-50</v>
      </c>
      <c r="R37" s="18">
        <f>IF(Table41[[#This Row],[CODE]]=14, Table41[ [#This Row],[Account Deposit Amount] ]-Table41[ [#This Row],[Account Withdrawl Amount] ], )</f>
        <v>0</v>
      </c>
      <c r="S37" s="18">
        <f>IF(Table41[[#This Row],[CODE]]=15, Table41[ [#This Row],[Account Deposit Amount] ]-Table41[ [#This Row],[Account Withdrawl Amount] ], )</f>
        <v>0</v>
      </c>
      <c r="T37" s="18">
        <f>IF(Table41[[#This Row],[CODE]]=16, Table41[ [#This Row],[Account Deposit Amount] ]-Table41[ [#This Row],[Account Withdrawl Amount] ], )</f>
        <v>0</v>
      </c>
      <c r="U37" s="17">
        <f>IF(Table41[[#This Row],[CODE]]=17, Table41[ [#This Row],[Account Deposit Amount] ]-Table41[ [#This Row],[Account Withdrawl Amount] ], )</f>
        <v>0</v>
      </c>
      <c r="V37" s="19">
        <f>IF(Table41[[#This Row],[CODE]]=18, Table41[ [#This Row],[Account Deposit Amount] ]-Table41[ [#This Row],[Account Withdrawl Amount] ], )</f>
        <v>0</v>
      </c>
    </row>
    <row r="38" spans="1:22" ht="12.6" thickBot="1">
      <c r="A38" s="118" t="s">
        <v>241</v>
      </c>
      <c r="B38" s="123">
        <v>45195</v>
      </c>
      <c r="C38" s="118" t="s">
        <v>353</v>
      </c>
      <c r="D38" s="120" t="s">
        <v>368</v>
      </c>
      <c r="E38" s="124"/>
      <c r="F38" s="124">
        <v>21</v>
      </c>
      <c r="G38" s="82">
        <f t="shared" si="5"/>
        <v>16367.489999999983</v>
      </c>
      <c r="H38" s="118">
        <v>14</v>
      </c>
      <c r="I38" s="125">
        <f>IF(Table41[[#This Row],[CODE]]=1, Table41[ [#This Row],[Account Deposit Amount] ]-Table41[ [#This Row],[Account Withdrawl Amount] ], )</f>
        <v>0</v>
      </c>
      <c r="J38" s="18">
        <f>IF(Table41[[#This Row],[CODE]]=2, Table41[ [#This Row],[Account Deposit Amount] ]-Table41[ [#This Row],[Account Withdrawl Amount] ], )</f>
        <v>0</v>
      </c>
      <c r="K38" s="18">
        <f>IF(Table41[[#This Row],[CODE]]=3, Table41[ [#This Row],[Account Deposit Amount] ]-Table41[ [#This Row],[Account Withdrawl Amount] ], )</f>
        <v>0</v>
      </c>
      <c r="L38" s="18">
        <f>IF(Table41[[#This Row],[CODE]]=4, Table41[ [#This Row],[Account Deposit Amount] ]-Table41[ [#This Row],[Account Withdrawl Amount] ], )</f>
        <v>0</v>
      </c>
      <c r="M38" s="18">
        <f>IF(Table41[[#This Row],[CODE]]=5, Table41[ [#This Row],[Account Deposit Amount] ]-Table41[ [#This Row],[Account Withdrawl Amount] ], )</f>
        <v>0</v>
      </c>
      <c r="N38" s="18">
        <f>IF(Table41[[#This Row],[CODE]]=6, Table41[ [#This Row],[Account Deposit Amount] ]-Table41[ [#This Row],[Account Withdrawl Amount] ], )</f>
        <v>0</v>
      </c>
      <c r="O38" s="18">
        <f>IF(Table41[[#This Row],[CODE]]=11, Table41[ [#This Row],[Account Deposit Amount] ]-Table41[ [#This Row],[Account Withdrawl Amount] ], )</f>
        <v>0</v>
      </c>
      <c r="P38" s="18">
        <f>IF(Table41[[#This Row],[CODE]]=12, Table41[ [#This Row],[Account Deposit Amount] ]-Table41[ [#This Row],[Account Withdrawl Amount] ], )</f>
        <v>0</v>
      </c>
      <c r="Q38" s="18">
        <f>IF(Table41[[#This Row],[CODE]]=13, Table41[ [#This Row],[Account Deposit Amount] ]-Table41[ [#This Row],[Account Withdrawl Amount] ], )</f>
        <v>0</v>
      </c>
      <c r="R38" s="18">
        <f>IF(Table41[[#This Row],[CODE]]=14, Table41[ [#This Row],[Account Deposit Amount] ]-Table41[ [#This Row],[Account Withdrawl Amount] ], )</f>
        <v>-21</v>
      </c>
      <c r="S38" s="18">
        <f>IF(Table41[[#This Row],[CODE]]=15, Table41[ [#This Row],[Account Deposit Amount] ]-Table41[ [#This Row],[Account Withdrawl Amount] ], )</f>
        <v>0</v>
      </c>
      <c r="T38" s="18">
        <f>IF(Table41[[#This Row],[CODE]]=16, Table41[ [#This Row],[Account Deposit Amount] ]-Table41[ [#This Row],[Account Withdrawl Amount] ], )</f>
        <v>0</v>
      </c>
      <c r="U38" s="17">
        <f>IF(Table41[[#This Row],[CODE]]=17, Table41[ [#This Row],[Account Deposit Amount] ]-Table41[ [#This Row],[Account Withdrawl Amount] ], )</f>
        <v>0</v>
      </c>
      <c r="V38" s="19">
        <f>IF(Table41[[#This Row],[CODE]]=18, Table41[ [#This Row],[Account Deposit Amount] ]-Table41[ [#This Row],[Account Withdrawl Amount] ], )</f>
        <v>0</v>
      </c>
    </row>
    <row r="39" spans="1:22" ht="12.6" thickBot="1">
      <c r="A39" s="118" t="s">
        <v>241</v>
      </c>
      <c r="B39" s="123">
        <v>45195</v>
      </c>
      <c r="C39" s="118" t="s">
        <v>353</v>
      </c>
      <c r="D39" s="120" t="s">
        <v>369</v>
      </c>
      <c r="E39" s="124"/>
      <c r="F39" s="124">
        <v>90</v>
      </c>
      <c r="G39" s="82">
        <f t="shared" si="5"/>
        <v>16277.489999999983</v>
      </c>
      <c r="H39" s="118">
        <v>13</v>
      </c>
      <c r="I39" s="125">
        <f>IF(Table41[[#This Row],[CODE]]=1, Table41[ [#This Row],[Account Deposit Amount] ]-Table41[ [#This Row],[Account Withdrawl Amount] ], )</f>
        <v>0</v>
      </c>
      <c r="J39" s="18">
        <f>IF(Table41[[#This Row],[CODE]]=2, Table41[ [#This Row],[Account Deposit Amount] ]-Table41[ [#This Row],[Account Withdrawl Amount] ], )</f>
        <v>0</v>
      </c>
      <c r="K39" s="18">
        <f>IF(Table41[[#This Row],[CODE]]=3, Table41[ [#This Row],[Account Deposit Amount] ]-Table41[ [#This Row],[Account Withdrawl Amount] ], )</f>
        <v>0</v>
      </c>
      <c r="L39" s="18">
        <f>IF(Table41[[#This Row],[CODE]]=4, Table41[ [#This Row],[Account Deposit Amount] ]-Table41[ [#This Row],[Account Withdrawl Amount] ], )</f>
        <v>0</v>
      </c>
      <c r="M39" s="18">
        <f>IF(Table41[[#This Row],[CODE]]=5, Table41[ [#This Row],[Account Deposit Amount] ]-Table41[ [#This Row],[Account Withdrawl Amount] ], )</f>
        <v>0</v>
      </c>
      <c r="N39" s="18">
        <f>IF(Table41[[#This Row],[CODE]]=6, Table41[ [#This Row],[Account Deposit Amount] ]-Table41[ [#This Row],[Account Withdrawl Amount] ], )</f>
        <v>0</v>
      </c>
      <c r="O39" s="18">
        <f>IF(Table41[[#This Row],[CODE]]=11, Table41[ [#This Row],[Account Deposit Amount] ]-Table41[ [#This Row],[Account Withdrawl Amount] ], )</f>
        <v>0</v>
      </c>
      <c r="P39" s="18">
        <f>IF(Table41[[#This Row],[CODE]]=12, Table41[ [#This Row],[Account Deposit Amount] ]-Table41[ [#This Row],[Account Withdrawl Amount] ], )</f>
        <v>0</v>
      </c>
      <c r="Q39" s="18">
        <f>IF(Table41[[#This Row],[CODE]]=13, Table41[ [#This Row],[Account Deposit Amount] ]-Table41[ [#This Row],[Account Withdrawl Amount] ], )</f>
        <v>-90</v>
      </c>
      <c r="R39" s="18">
        <f>IF(Table41[[#This Row],[CODE]]=14, Table41[ [#This Row],[Account Deposit Amount] ]-Table41[ [#This Row],[Account Withdrawl Amount] ], )</f>
        <v>0</v>
      </c>
      <c r="S39" s="18">
        <f>IF(Table41[[#This Row],[CODE]]=15, Table41[ [#This Row],[Account Deposit Amount] ]-Table41[ [#This Row],[Account Withdrawl Amount] ], )</f>
        <v>0</v>
      </c>
      <c r="T39" s="18">
        <f>IF(Table41[[#This Row],[CODE]]=16, Table41[ [#This Row],[Account Deposit Amount] ]-Table41[ [#This Row],[Account Withdrawl Amount] ], )</f>
        <v>0</v>
      </c>
      <c r="U39" s="17">
        <f>IF(Table41[[#This Row],[CODE]]=17, Table41[ [#This Row],[Account Deposit Amount] ]-Table41[ [#This Row],[Account Withdrawl Amount] ], )</f>
        <v>0</v>
      </c>
      <c r="V39" s="19">
        <f>IF(Table41[[#This Row],[CODE]]=18, Table41[ [#This Row],[Account Deposit Amount] ]-Table41[ [#This Row],[Account Withdrawl Amount] ], )</f>
        <v>0</v>
      </c>
    </row>
    <row r="40" spans="1:22" ht="12.6" thickBot="1">
      <c r="A40" s="118" t="s">
        <v>241</v>
      </c>
      <c r="B40" s="123">
        <v>45197</v>
      </c>
      <c r="C40" s="118" t="s">
        <v>268</v>
      </c>
      <c r="D40" s="120" t="s">
        <v>370</v>
      </c>
      <c r="E40" s="124"/>
      <c r="F40" s="124">
        <v>120.58</v>
      </c>
      <c r="G40" s="82">
        <f t="shared" si="5"/>
        <v>16156.909999999983</v>
      </c>
      <c r="H40" s="118">
        <v>13</v>
      </c>
      <c r="I40" s="125">
        <f>IF(Table41[[#This Row],[CODE]]=1, Table41[ [#This Row],[Account Deposit Amount] ]-Table41[ [#This Row],[Account Withdrawl Amount] ], )</f>
        <v>0</v>
      </c>
      <c r="J40" s="18">
        <f>IF(Table41[[#This Row],[CODE]]=2, Table41[ [#This Row],[Account Deposit Amount] ]-Table41[ [#This Row],[Account Withdrawl Amount] ], )</f>
        <v>0</v>
      </c>
      <c r="K40" s="18">
        <f>IF(Table41[[#This Row],[CODE]]=3, Table41[ [#This Row],[Account Deposit Amount] ]-Table41[ [#This Row],[Account Withdrawl Amount] ], )</f>
        <v>0</v>
      </c>
      <c r="L40" s="18">
        <f>IF(Table41[[#This Row],[CODE]]=4, Table41[ [#This Row],[Account Deposit Amount] ]-Table41[ [#This Row],[Account Withdrawl Amount] ], )</f>
        <v>0</v>
      </c>
      <c r="M40" s="18">
        <f>IF(Table41[[#This Row],[CODE]]=5, Table41[ [#This Row],[Account Deposit Amount] ]-Table41[ [#This Row],[Account Withdrawl Amount] ], )</f>
        <v>0</v>
      </c>
      <c r="N40" s="18">
        <f>IF(Table41[[#This Row],[CODE]]=6, Table41[ [#This Row],[Account Deposit Amount] ]-Table41[ [#This Row],[Account Withdrawl Amount] ], )</f>
        <v>0</v>
      </c>
      <c r="O40" s="18">
        <f>IF(Table41[[#This Row],[CODE]]=11, Table41[ [#This Row],[Account Deposit Amount] ]-Table41[ [#This Row],[Account Withdrawl Amount] ], )</f>
        <v>0</v>
      </c>
      <c r="P40" s="18">
        <f>IF(Table41[[#This Row],[CODE]]=12, Table41[ [#This Row],[Account Deposit Amount] ]-Table41[ [#This Row],[Account Withdrawl Amount] ], )</f>
        <v>0</v>
      </c>
      <c r="Q40" s="18">
        <f>IF(Table41[[#This Row],[CODE]]=13, Table41[ [#This Row],[Account Deposit Amount] ]-Table41[ [#This Row],[Account Withdrawl Amount] ], )</f>
        <v>-120.58</v>
      </c>
      <c r="R40" s="18">
        <f>IF(Table41[[#This Row],[CODE]]=14, Table41[ [#This Row],[Account Deposit Amount] ]-Table41[ [#This Row],[Account Withdrawl Amount] ], )</f>
        <v>0</v>
      </c>
      <c r="S40" s="18">
        <f>IF(Table41[[#This Row],[CODE]]=15, Table41[ [#This Row],[Account Deposit Amount] ]-Table41[ [#This Row],[Account Withdrawl Amount] ], )</f>
        <v>0</v>
      </c>
      <c r="T40" s="18">
        <f>IF(Table41[[#This Row],[CODE]]=16, Table41[ [#This Row],[Account Deposit Amount] ]-Table41[ [#This Row],[Account Withdrawl Amount] ], )</f>
        <v>0</v>
      </c>
      <c r="U40" s="17">
        <f>IF(Table41[[#This Row],[CODE]]=17, Table41[ [#This Row],[Account Deposit Amount] ]-Table41[ [#This Row],[Account Withdrawl Amount] ], )</f>
        <v>0</v>
      </c>
      <c r="V40" s="19">
        <f>IF(Table41[[#This Row],[CODE]]=18, Table41[ [#This Row],[Account Deposit Amount] ]-Table41[ [#This Row],[Account Withdrawl Amount] ], )</f>
        <v>0</v>
      </c>
    </row>
    <row r="41" spans="1:22" ht="12.6" thickBot="1">
      <c r="A41" s="118" t="s">
        <v>241</v>
      </c>
      <c r="B41" s="123">
        <v>45198</v>
      </c>
      <c r="C41" s="118" t="s">
        <v>371</v>
      </c>
      <c r="D41" s="120" t="s">
        <v>372</v>
      </c>
      <c r="E41" s="124"/>
      <c r="F41" s="124">
        <v>9.4499999999999993</v>
      </c>
      <c r="G41" s="82">
        <f t="shared" si="5"/>
        <v>16147.459999999983</v>
      </c>
      <c r="H41" s="118">
        <v>13</v>
      </c>
      <c r="I41" s="125">
        <f>IF(Table41[[#This Row],[CODE]]=1, Table41[ [#This Row],[Account Deposit Amount] ]-Table41[ [#This Row],[Account Withdrawl Amount] ], )</f>
        <v>0</v>
      </c>
      <c r="J41" s="18">
        <f>IF(Table41[[#This Row],[CODE]]=2, Table41[ [#This Row],[Account Deposit Amount] ]-Table41[ [#This Row],[Account Withdrawl Amount] ], )</f>
        <v>0</v>
      </c>
      <c r="K41" s="18">
        <f>IF(Table41[[#This Row],[CODE]]=3, Table41[ [#This Row],[Account Deposit Amount] ]-Table41[ [#This Row],[Account Withdrawl Amount] ], )</f>
        <v>0</v>
      </c>
      <c r="L41" s="18">
        <f>IF(Table41[[#This Row],[CODE]]=4, Table41[ [#This Row],[Account Deposit Amount] ]-Table41[ [#This Row],[Account Withdrawl Amount] ], )</f>
        <v>0</v>
      </c>
      <c r="M41" s="18">
        <f>IF(Table41[[#This Row],[CODE]]=5, Table41[ [#This Row],[Account Deposit Amount] ]-Table41[ [#This Row],[Account Withdrawl Amount] ], )</f>
        <v>0</v>
      </c>
      <c r="N41" s="18">
        <f>IF(Table41[[#This Row],[CODE]]=6, Table41[ [#This Row],[Account Deposit Amount] ]-Table41[ [#This Row],[Account Withdrawl Amount] ], )</f>
        <v>0</v>
      </c>
      <c r="O41" s="18">
        <f>IF(Table41[[#This Row],[CODE]]=11, Table41[ [#This Row],[Account Deposit Amount] ]-Table41[ [#This Row],[Account Withdrawl Amount] ], )</f>
        <v>0</v>
      </c>
      <c r="P41" s="18">
        <f>IF(Table41[[#This Row],[CODE]]=12, Table41[ [#This Row],[Account Deposit Amount] ]-Table41[ [#This Row],[Account Withdrawl Amount] ], )</f>
        <v>0</v>
      </c>
      <c r="Q41" s="18">
        <f>IF(Table41[[#This Row],[CODE]]=13, Table41[ [#This Row],[Account Deposit Amount] ]-Table41[ [#This Row],[Account Withdrawl Amount] ], )</f>
        <v>-9.4499999999999993</v>
      </c>
      <c r="R41" s="18">
        <f>IF(Table41[[#This Row],[CODE]]=14, Table41[ [#This Row],[Account Deposit Amount] ]-Table41[ [#This Row],[Account Withdrawl Amount] ], )</f>
        <v>0</v>
      </c>
      <c r="S41" s="18">
        <f>IF(Table41[[#This Row],[CODE]]=15, Table41[ [#This Row],[Account Deposit Amount] ]-Table41[ [#This Row],[Account Withdrawl Amount] ], )</f>
        <v>0</v>
      </c>
      <c r="T41" s="18">
        <f>IF(Table41[[#This Row],[CODE]]=16, Table41[ [#This Row],[Account Deposit Amount] ]-Table41[ [#This Row],[Account Withdrawl Amount] ], )</f>
        <v>0</v>
      </c>
      <c r="U41" s="17">
        <f>IF(Table41[[#This Row],[CODE]]=17, Table41[ [#This Row],[Account Deposit Amount] ]-Table41[ [#This Row],[Account Withdrawl Amount] ], )</f>
        <v>0</v>
      </c>
      <c r="V41" s="19">
        <f>IF(Table41[[#This Row],[CODE]]=18, Table41[ [#This Row],[Account Deposit Amount] ]-Table41[ [#This Row],[Account Withdrawl Amount] ], )</f>
        <v>0</v>
      </c>
    </row>
    <row r="42" spans="1:22" ht="12.6" thickBot="1">
      <c r="A42" s="118" t="s">
        <v>241</v>
      </c>
      <c r="B42" s="123">
        <v>45198</v>
      </c>
      <c r="C42" s="118" t="s">
        <v>371</v>
      </c>
      <c r="D42" s="120" t="s">
        <v>373</v>
      </c>
      <c r="E42" s="124"/>
      <c r="F42" s="124">
        <v>4.24</v>
      </c>
      <c r="G42" s="82">
        <f t="shared" si="5"/>
        <v>16143.219999999983</v>
      </c>
      <c r="H42" s="118">
        <v>13</v>
      </c>
      <c r="I42" s="125">
        <f>IF(Table41[[#This Row],[CODE]]=1, Table41[ [#This Row],[Account Deposit Amount] ]-Table41[ [#This Row],[Account Withdrawl Amount] ], )</f>
        <v>0</v>
      </c>
      <c r="J42" s="18">
        <f>IF(Table41[[#This Row],[CODE]]=2, Table41[ [#This Row],[Account Deposit Amount] ]-Table41[ [#This Row],[Account Withdrawl Amount] ], )</f>
        <v>0</v>
      </c>
      <c r="K42" s="18">
        <f>IF(Table41[[#This Row],[CODE]]=3, Table41[ [#This Row],[Account Deposit Amount] ]-Table41[ [#This Row],[Account Withdrawl Amount] ], )</f>
        <v>0</v>
      </c>
      <c r="L42" s="18">
        <f>IF(Table41[[#This Row],[CODE]]=4, Table41[ [#This Row],[Account Deposit Amount] ]-Table41[ [#This Row],[Account Withdrawl Amount] ], )</f>
        <v>0</v>
      </c>
      <c r="M42" s="18">
        <f>IF(Table41[[#This Row],[CODE]]=5, Table41[ [#This Row],[Account Deposit Amount] ]-Table41[ [#This Row],[Account Withdrawl Amount] ], )</f>
        <v>0</v>
      </c>
      <c r="N42" s="18">
        <f>IF(Table41[[#This Row],[CODE]]=6, Table41[ [#This Row],[Account Deposit Amount] ]-Table41[ [#This Row],[Account Withdrawl Amount] ], )</f>
        <v>0</v>
      </c>
      <c r="O42" s="18">
        <f>IF(Table41[[#This Row],[CODE]]=11, Table41[ [#This Row],[Account Deposit Amount] ]-Table41[ [#This Row],[Account Withdrawl Amount] ], )</f>
        <v>0</v>
      </c>
      <c r="P42" s="18">
        <f>IF(Table41[[#This Row],[CODE]]=12, Table41[ [#This Row],[Account Deposit Amount] ]-Table41[ [#This Row],[Account Withdrawl Amount] ], )</f>
        <v>0</v>
      </c>
      <c r="Q42" s="18">
        <f>IF(Table41[[#This Row],[CODE]]=13, Table41[ [#This Row],[Account Deposit Amount] ]-Table41[ [#This Row],[Account Withdrawl Amount] ], )</f>
        <v>-4.24</v>
      </c>
      <c r="R42" s="18">
        <f>IF(Table41[[#This Row],[CODE]]=14, Table41[ [#This Row],[Account Deposit Amount] ]-Table41[ [#This Row],[Account Withdrawl Amount] ], )</f>
        <v>0</v>
      </c>
      <c r="S42" s="18">
        <f>IF(Table41[[#This Row],[CODE]]=15, Table41[ [#This Row],[Account Deposit Amount] ]-Table41[ [#This Row],[Account Withdrawl Amount] ], )</f>
        <v>0</v>
      </c>
      <c r="T42" s="18">
        <f>IF(Table41[[#This Row],[CODE]]=16, Table41[ [#This Row],[Account Deposit Amount] ]-Table41[ [#This Row],[Account Withdrawl Amount] ], )</f>
        <v>0</v>
      </c>
      <c r="U42" s="17">
        <f>IF(Table41[[#This Row],[CODE]]=17, Table41[ [#This Row],[Account Deposit Amount] ]-Table41[ [#This Row],[Account Withdrawl Amount] ], )</f>
        <v>0</v>
      </c>
      <c r="V42" s="19">
        <f>IF(Table41[[#This Row],[CODE]]=18, Table41[ [#This Row],[Account Deposit Amount] ]-Table41[ [#This Row],[Account Withdrawl Amount] ], )</f>
        <v>0</v>
      </c>
    </row>
    <row r="43" spans="1:22" ht="12.6" thickBot="1">
      <c r="A43" s="118" t="s">
        <v>241</v>
      </c>
      <c r="B43" s="123">
        <v>45198</v>
      </c>
      <c r="C43" s="118" t="s">
        <v>362</v>
      </c>
      <c r="D43" s="120" t="s">
        <v>374</v>
      </c>
      <c r="E43" s="124"/>
      <c r="F43" s="124">
        <v>39.979999999999997</v>
      </c>
      <c r="G43" s="82">
        <f t="shared" si="5"/>
        <v>16103.239999999983</v>
      </c>
      <c r="H43" s="118">
        <v>15</v>
      </c>
      <c r="I43" s="125">
        <f>IF(Table41[[#This Row],[CODE]]=1, Table41[ [#This Row],[Account Deposit Amount] ]-Table41[ [#This Row],[Account Withdrawl Amount] ], )</f>
        <v>0</v>
      </c>
      <c r="J43" s="18">
        <f>IF(Table41[[#This Row],[CODE]]=2, Table41[ [#This Row],[Account Deposit Amount] ]-Table41[ [#This Row],[Account Withdrawl Amount] ], )</f>
        <v>0</v>
      </c>
      <c r="K43" s="18">
        <f>IF(Table41[[#This Row],[CODE]]=3, Table41[ [#This Row],[Account Deposit Amount] ]-Table41[ [#This Row],[Account Withdrawl Amount] ], )</f>
        <v>0</v>
      </c>
      <c r="L43" s="18">
        <f>IF(Table41[[#This Row],[CODE]]=4, Table41[ [#This Row],[Account Deposit Amount] ]-Table41[ [#This Row],[Account Withdrawl Amount] ], )</f>
        <v>0</v>
      </c>
      <c r="M43" s="18">
        <f>IF(Table41[[#This Row],[CODE]]=5, Table41[ [#This Row],[Account Deposit Amount] ]-Table41[ [#This Row],[Account Withdrawl Amount] ], )</f>
        <v>0</v>
      </c>
      <c r="N43" s="18">
        <f>IF(Table41[[#This Row],[CODE]]=6, Table41[ [#This Row],[Account Deposit Amount] ]-Table41[ [#This Row],[Account Withdrawl Amount] ], )</f>
        <v>0</v>
      </c>
      <c r="O43" s="18">
        <f>IF(Table41[[#This Row],[CODE]]=11, Table41[ [#This Row],[Account Deposit Amount] ]-Table41[ [#This Row],[Account Withdrawl Amount] ], )</f>
        <v>0</v>
      </c>
      <c r="P43" s="18">
        <f>IF(Table41[[#This Row],[CODE]]=12, Table41[ [#This Row],[Account Deposit Amount] ]-Table41[ [#This Row],[Account Withdrawl Amount] ], )</f>
        <v>0</v>
      </c>
      <c r="Q43" s="18">
        <f>IF(Table41[[#This Row],[CODE]]=13, Table41[ [#This Row],[Account Deposit Amount] ]-Table41[ [#This Row],[Account Withdrawl Amount] ], )</f>
        <v>0</v>
      </c>
      <c r="R43" s="18">
        <f>IF(Table41[[#This Row],[CODE]]=14, Table41[ [#This Row],[Account Deposit Amount] ]-Table41[ [#This Row],[Account Withdrawl Amount] ], )</f>
        <v>0</v>
      </c>
      <c r="S43" s="18">
        <f>IF(Table41[[#This Row],[CODE]]=15, Table41[ [#This Row],[Account Deposit Amount] ]-Table41[ [#This Row],[Account Withdrawl Amount] ], )</f>
        <v>-39.979999999999997</v>
      </c>
      <c r="T43" s="18">
        <f>IF(Table41[[#This Row],[CODE]]=16, Table41[ [#This Row],[Account Deposit Amount] ]-Table41[ [#This Row],[Account Withdrawl Amount] ], )</f>
        <v>0</v>
      </c>
      <c r="U43" s="17">
        <f>IF(Table41[[#This Row],[CODE]]=17, Table41[ [#This Row],[Account Deposit Amount] ]-Table41[ [#This Row],[Account Withdrawl Amount] ], )</f>
        <v>0</v>
      </c>
      <c r="V43" s="19">
        <f>IF(Table41[[#This Row],[CODE]]=18, Table41[ [#This Row],[Account Deposit Amount] ]-Table41[ [#This Row],[Account Withdrawl Amount] ], )</f>
        <v>0</v>
      </c>
    </row>
    <row r="44" spans="1:22" ht="12.6" thickBot="1">
      <c r="A44" s="118" t="s">
        <v>241</v>
      </c>
      <c r="B44" s="123">
        <v>45198</v>
      </c>
      <c r="C44" s="118" t="s">
        <v>375</v>
      </c>
      <c r="D44" s="120" t="s">
        <v>376</v>
      </c>
      <c r="E44" s="124"/>
      <c r="F44" s="124">
        <v>3.18</v>
      </c>
      <c r="G44" s="82">
        <f t="shared" si="5"/>
        <v>16100.059999999983</v>
      </c>
      <c r="H44" s="118">
        <v>15</v>
      </c>
      <c r="I44" s="125">
        <f>IF(Table41[[#This Row],[CODE]]=1, Table41[ [#This Row],[Account Deposit Amount] ]-Table41[ [#This Row],[Account Withdrawl Amount] ], )</f>
        <v>0</v>
      </c>
      <c r="J44" s="18">
        <f>IF(Table41[[#This Row],[CODE]]=2, Table41[ [#This Row],[Account Deposit Amount] ]-Table41[ [#This Row],[Account Withdrawl Amount] ], )</f>
        <v>0</v>
      </c>
      <c r="K44" s="18">
        <f>IF(Table41[[#This Row],[CODE]]=3, Table41[ [#This Row],[Account Deposit Amount] ]-Table41[ [#This Row],[Account Withdrawl Amount] ], )</f>
        <v>0</v>
      </c>
      <c r="L44" s="18">
        <f>IF(Table41[[#This Row],[CODE]]=4, Table41[ [#This Row],[Account Deposit Amount] ]-Table41[ [#This Row],[Account Withdrawl Amount] ], )</f>
        <v>0</v>
      </c>
      <c r="M44" s="18">
        <f>IF(Table41[[#This Row],[CODE]]=5, Table41[ [#This Row],[Account Deposit Amount] ]-Table41[ [#This Row],[Account Withdrawl Amount] ], )</f>
        <v>0</v>
      </c>
      <c r="N44" s="18">
        <f>IF(Table41[[#This Row],[CODE]]=6, Table41[ [#This Row],[Account Deposit Amount] ]-Table41[ [#This Row],[Account Withdrawl Amount] ], )</f>
        <v>0</v>
      </c>
      <c r="O44" s="18">
        <f>IF(Table41[[#This Row],[CODE]]=11, Table41[ [#This Row],[Account Deposit Amount] ]-Table41[ [#This Row],[Account Withdrawl Amount] ], )</f>
        <v>0</v>
      </c>
      <c r="P44" s="18">
        <f>IF(Table41[[#This Row],[CODE]]=12, Table41[ [#This Row],[Account Deposit Amount] ]-Table41[ [#This Row],[Account Withdrawl Amount] ], )</f>
        <v>0</v>
      </c>
      <c r="Q44" s="18">
        <f>IF(Table41[[#This Row],[CODE]]=13, Table41[ [#This Row],[Account Deposit Amount] ]-Table41[ [#This Row],[Account Withdrawl Amount] ], )</f>
        <v>0</v>
      </c>
      <c r="R44" s="18">
        <f>IF(Table41[[#This Row],[CODE]]=14, Table41[ [#This Row],[Account Deposit Amount] ]-Table41[ [#This Row],[Account Withdrawl Amount] ], )</f>
        <v>0</v>
      </c>
      <c r="S44" s="18">
        <f>IF(Table41[[#This Row],[CODE]]=15, Table41[ [#This Row],[Account Deposit Amount] ]-Table41[ [#This Row],[Account Withdrawl Amount] ], )</f>
        <v>-3.18</v>
      </c>
      <c r="T44" s="18">
        <f>IF(Table41[[#This Row],[CODE]]=16, Table41[ [#This Row],[Account Deposit Amount] ]-Table41[ [#This Row],[Account Withdrawl Amount] ], )</f>
        <v>0</v>
      </c>
      <c r="U44" s="17">
        <f>IF(Table41[[#This Row],[CODE]]=17, Table41[ [#This Row],[Account Deposit Amount] ]-Table41[ [#This Row],[Account Withdrawl Amount] ], )</f>
        <v>0</v>
      </c>
      <c r="V44" s="19">
        <f>IF(Table41[[#This Row],[CODE]]=18, Table41[ [#This Row],[Account Deposit Amount] ]-Table41[ [#This Row],[Account Withdrawl Amount] ], )</f>
        <v>0</v>
      </c>
    </row>
    <row r="45" spans="1:22" ht="12.6" thickBot="1">
      <c r="A45" s="118" t="s">
        <v>238</v>
      </c>
      <c r="B45" s="123">
        <v>45198</v>
      </c>
      <c r="C45" s="118" t="s">
        <v>201</v>
      </c>
      <c r="D45" s="120" t="s">
        <v>377</v>
      </c>
      <c r="E45" s="124">
        <v>29.68</v>
      </c>
      <c r="F45" s="124"/>
      <c r="G45" s="82">
        <f t="shared" si="5"/>
        <v>16129.739999999983</v>
      </c>
      <c r="H45" s="118">
        <v>12</v>
      </c>
      <c r="I45" s="125">
        <f>IF(Table41[[#This Row],[CODE]]=1, Table41[ [#This Row],[Account Deposit Amount] ]-Table41[ [#This Row],[Account Withdrawl Amount] ], )</f>
        <v>0</v>
      </c>
      <c r="J45" s="18">
        <f>IF(Table41[[#This Row],[CODE]]=2, Table41[ [#This Row],[Account Deposit Amount] ]-Table41[ [#This Row],[Account Withdrawl Amount] ], )</f>
        <v>0</v>
      </c>
      <c r="K45" s="18">
        <f>IF(Table41[[#This Row],[CODE]]=3, Table41[ [#This Row],[Account Deposit Amount] ]-Table41[ [#This Row],[Account Withdrawl Amount] ], )</f>
        <v>0</v>
      </c>
      <c r="L45" s="18">
        <f>IF(Table41[[#This Row],[CODE]]=4, Table41[ [#This Row],[Account Deposit Amount] ]-Table41[ [#This Row],[Account Withdrawl Amount] ], )</f>
        <v>0</v>
      </c>
      <c r="M45" s="18">
        <f>IF(Table41[[#This Row],[CODE]]=5, Table41[ [#This Row],[Account Deposit Amount] ]-Table41[ [#This Row],[Account Withdrawl Amount] ], )</f>
        <v>0</v>
      </c>
      <c r="N45" s="18">
        <f>IF(Table41[[#This Row],[CODE]]=6, Table41[ [#This Row],[Account Deposit Amount] ]-Table41[ [#This Row],[Account Withdrawl Amount] ], )</f>
        <v>0</v>
      </c>
      <c r="O45" s="18">
        <f>IF(Table41[[#This Row],[CODE]]=11, Table41[ [#This Row],[Account Deposit Amount] ]-Table41[ [#This Row],[Account Withdrawl Amount] ], )</f>
        <v>0</v>
      </c>
      <c r="P45" s="18">
        <f>IF(Table41[[#This Row],[CODE]]=12, Table41[ [#This Row],[Account Deposit Amount] ]-Table41[ [#This Row],[Account Withdrawl Amount] ], )</f>
        <v>29.68</v>
      </c>
      <c r="Q45" s="18">
        <f>IF(Table41[[#This Row],[CODE]]=13, Table41[ [#This Row],[Account Deposit Amount] ]-Table41[ [#This Row],[Account Withdrawl Amount] ], )</f>
        <v>0</v>
      </c>
      <c r="R45" s="18">
        <f>IF(Table41[[#This Row],[CODE]]=14, Table41[ [#This Row],[Account Deposit Amount] ]-Table41[ [#This Row],[Account Withdrawl Amount] ], )</f>
        <v>0</v>
      </c>
      <c r="S45" s="18">
        <f>IF(Table41[[#This Row],[CODE]]=15, Table41[ [#This Row],[Account Deposit Amount] ]-Table41[ [#This Row],[Account Withdrawl Amount] ], )</f>
        <v>0</v>
      </c>
      <c r="T45" s="18">
        <f>IF(Table41[[#This Row],[CODE]]=16, Table41[ [#This Row],[Account Deposit Amount] ]-Table41[ [#This Row],[Account Withdrawl Amount] ], )</f>
        <v>0</v>
      </c>
      <c r="U45" s="17">
        <f>IF(Table41[[#This Row],[CODE]]=17, Table41[ [#This Row],[Account Deposit Amount] ]-Table41[ [#This Row],[Account Withdrawl Amount] ], )</f>
        <v>0</v>
      </c>
      <c r="V45" s="19">
        <f>IF(Table41[[#This Row],[CODE]]=18, Table41[ [#This Row],[Account Deposit Amount] ]-Table41[ [#This Row],[Account Withdrawl Amount] ], )</f>
        <v>0</v>
      </c>
    </row>
    <row r="46" spans="1:22" ht="12.6" thickBot="1">
      <c r="A46" s="118" t="s">
        <v>238</v>
      </c>
      <c r="B46" s="123">
        <v>45198</v>
      </c>
      <c r="C46" s="118" t="s">
        <v>201</v>
      </c>
      <c r="D46" s="120" t="s">
        <v>378</v>
      </c>
      <c r="E46" s="124">
        <v>59.36</v>
      </c>
      <c r="F46" s="124"/>
      <c r="G46" s="82">
        <f t="shared" si="5"/>
        <v>16189.099999999984</v>
      </c>
      <c r="H46" s="118">
        <v>12</v>
      </c>
      <c r="I46" s="125">
        <f>IF(Table41[[#This Row],[CODE]]=1, Table41[ [#This Row],[Account Deposit Amount] ]-Table41[ [#This Row],[Account Withdrawl Amount] ], )</f>
        <v>0</v>
      </c>
      <c r="J46" s="18">
        <f>IF(Table41[[#This Row],[CODE]]=2, Table41[ [#This Row],[Account Deposit Amount] ]-Table41[ [#This Row],[Account Withdrawl Amount] ], )</f>
        <v>0</v>
      </c>
      <c r="K46" s="18">
        <f>IF(Table41[[#This Row],[CODE]]=3, Table41[ [#This Row],[Account Deposit Amount] ]-Table41[ [#This Row],[Account Withdrawl Amount] ], )</f>
        <v>0</v>
      </c>
      <c r="L46" s="18">
        <f>IF(Table41[[#This Row],[CODE]]=4, Table41[ [#This Row],[Account Deposit Amount] ]-Table41[ [#This Row],[Account Withdrawl Amount] ], )</f>
        <v>0</v>
      </c>
      <c r="M46" s="18">
        <f>IF(Table41[[#This Row],[CODE]]=5, Table41[ [#This Row],[Account Deposit Amount] ]-Table41[ [#This Row],[Account Withdrawl Amount] ], )</f>
        <v>0</v>
      </c>
      <c r="N46" s="18">
        <f>IF(Table41[[#This Row],[CODE]]=6, Table41[ [#This Row],[Account Deposit Amount] ]-Table41[ [#This Row],[Account Withdrawl Amount] ], )</f>
        <v>0</v>
      </c>
      <c r="O46" s="18">
        <f>IF(Table41[[#This Row],[CODE]]=11, Table41[ [#This Row],[Account Deposit Amount] ]-Table41[ [#This Row],[Account Withdrawl Amount] ], )</f>
        <v>0</v>
      </c>
      <c r="P46" s="18">
        <f>IF(Table41[[#This Row],[CODE]]=12, Table41[ [#This Row],[Account Deposit Amount] ]-Table41[ [#This Row],[Account Withdrawl Amount] ], )</f>
        <v>59.36</v>
      </c>
      <c r="Q46" s="18">
        <f>IF(Table41[[#This Row],[CODE]]=13, Table41[ [#This Row],[Account Deposit Amount] ]-Table41[ [#This Row],[Account Withdrawl Amount] ], )</f>
        <v>0</v>
      </c>
      <c r="R46" s="18">
        <f>IF(Table41[[#This Row],[CODE]]=14, Table41[ [#This Row],[Account Deposit Amount] ]-Table41[ [#This Row],[Account Withdrawl Amount] ], )</f>
        <v>0</v>
      </c>
      <c r="S46" s="18">
        <f>IF(Table41[[#This Row],[CODE]]=15, Table41[ [#This Row],[Account Deposit Amount] ]-Table41[ [#This Row],[Account Withdrawl Amount] ], )</f>
        <v>0</v>
      </c>
      <c r="T46" s="18">
        <f>IF(Table41[[#This Row],[CODE]]=16, Table41[ [#This Row],[Account Deposit Amount] ]-Table41[ [#This Row],[Account Withdrawl Amount] ], )</f>
        <v>0</v>
      </c>
      <c r="U46" s="17">
        <f>IF(Table41[[#This Row],[CODE]]=17, Table41[ [#This Row],[Account Deposit Amount] ]-Table41[ [#This Row],[Account Withdrawl Amount] ], )</f>
        <v>0</v>
      </c>
      <c r="V46" s="19">
        <f>IF(Table41[[#This Row],[CODE]]=18, Table41[ [#This Row],[Account Deposit Amount] ]-Table41[ [#This Row],[Account Withdrawl Amount] ], )</f>
        <v>0</v>
      </c>
    </row>
    <row r="47" spans="1:22" ht="12.6" thickBot="1">
      <c r="A47" s="118" t="s">
        <v>238</v>
      </c>
      <c r="B47" s="123">
        <v>45198</v>
      </c>
      <c r="C47" s="118" t="s">
        <v>201</v>
      </c>
      <c r="D47" s="120" t="s">
        <v>379</v>
      </c>
      <c r="E47" s="124">
        <v>7.31</v>
      </c>
      <c r="F47" s="124"/>
      <c r="G47" s="82">
        <f t="shared" si="5"/>
        <v>16196.409999999983</v>
      </c>
      <c r="H47" s="118">
        <v>12</v>
      </c>
      <c r="I47" s="125">
        <f>IF(Table41[[#This Row],[CODE]]=1, Table41[ [#This Row],[Account Deposit Amount] ]-Table41[ [#This Row],[Account Withdrawl Amount] ], )</f>
        <v>0</v>
      </c>
      <c r="J47" s="18">
        <f>IF(Table41[[#This Row],[CODE]]=2, Table41[ [#This Row],[Account Deposit Amount] ]-Table41[ [#This Row],[Account Withdrawl Amount] ], )</f>
        <v>0</v>
      </c>
      <c r="K47" s="18">
        <f>IF(Table41[[#This Row],[CODE]]=3, Table41[ [#This Row],[Account Deposit Amount] ]-Table41[ [#This Row],[Account Withdrawl Amount] ], )</f>
        <v>0</v>
      </c>
      <c r="L47" s="18">
        <f>IF(Table41[[#This Row],[CODE]]=4, Table41[ [#This Row],[Account Deposit Amount] ]-Table41[ [#This Row],[Account Withdrawl Amount] ], )</f>
        <v>0</v>
      </c>
      <c r="M47" s="18">
        <f>IF(Table41[[#This Row],[CODE]]=5, Table41[ [#This Row],[Account Deposit Amount] ]-Table41[ [#This Row],[Account Withdrawl Amount] ], )</f>
        <v>0</v>
      </c>
      <c r="N47" s="18">
        <f>IF(Table41[[#This Row],[CODE]]=6, Table41[ [#This Row],[Account Deposit Amount] ]-Table41[ [#This Row],[Account Withdrawl Amount] ], )</f>
        <v>0</v>
      </c>
      <c r="O47" s="18">
        <f>IF(Table41[[#This Row],[CODE]]=11, Table41[ [#This Row],[Account Deposit Amount] ]-Table41[ [#This Row],[Account Withdrawl Amount] ], )</f>
        <v>0</v>
      </c>
      <c r="P47" s="18">
        <f>IF(Table41[[#This Row],[CODE]]=12, Table41[ [#This Row],[Account Deposit Amount] ]-Table41[ [#This Row],[Account Withdrawl Amount] ], )</f>
        <v>7.31</v>
      </c>
      <c r="Q47" s="18">
        <f>IF(Table41[[#This Row],[CODE]]=13, Table41[ [#This Row],[Account Deposit Amount] ]-Table41[ [#This Row],[Account Withdrawl Amount] ], )</f>
        <v>0</v>
      </c>
      <c r="R47" s="18">
        <f>IF(Table41[[#This Row],[CODE]]=14, Table41[ [#This Row],[Account Deposit Amount] ]-Table41[ [#This Row],[Account Withdrawl Amount] ], )</f>
        <v>0</v>
      </c>
      <c r="S47" s="18">
        <f>IF(Table41[[#This Row],[CODE]]=15, Table41[ [#This Row],[Account Deposit Amount] ]-Table41[ [#This Row],[Account Withdrawl Amount] ], )</f>
        <v>0</v>
      </c>
      <c r="T47" s="18">
        <f>IF(Table41[[#This Row],[CODE]]=16, Table41[ [#This Row],[Account Deposit Amount] ]-Table41[ [#This Row],[Account Withdrawl Amount] ], )</f>
        <v>0</v>
      </c>
      <c r="U47" s="17">
        <f>IF(Table41[[#This Row],[CODE]]=17, Table41[ [#This Row],[Account Deposit Amount] ]-Table41[ [#This Row],[Account Withdrawl Amount] ], )</f>
        <v>0</v>
      </c>
      <c r="V47" s="19">
        <f>IF(Table41[[#This Row],[CODE]]=18, Table41[ [#This Row],[Account Deposit Amount] ]-Table41[ [#This Row],[Account Withdrawl Amount] ], )</f>
        <v>0</v>
      </c>
    </row>
    <row r="48" spans="1:22" ht="12.6" thickBot="1">
      <c r="A48" s="118" t="s">
        <v>238</v>
      </c>
      <c r="B48" s="123">
        <v>45198</v>
      </c>
      <c r="C48" s="118" t="s">
        <v>201</v>
      </c>
      <c r="D48" s="120" t="s">
        <v>380</v>
      </c>
      <c r="E48" s="124">
        <v>3.71</v>
      </c>
      <c r="F48" s="124"/>
      <c r="G48" s="82">
        <f t="shared" si="5"/>
        <v>16200.119999999983</v>
      </c>
      <c r="H48" s="118">
        <v>12</v>
      </c>
      <c r="I48" s="125">
        <f>IF(Table41[[#This Row],[CODE]]=1, Table41[ [#This Row],[Account Deposit Amount] ]-Table41[ [#This Row],[Account Withdrawl Amount] ], )</f>
        <v>0</v>
      </c>
      <c r="J48" s="18">
        <f>IF(Table41[[#This Row],[CODE]]=2, Table41[ [#This Row],[Account Deposit Amount] ]-Table41[ [#This Row],[Account Withdrawl Amount] ], )</f>
        <v>0</v>
      </c>
      <c r="K48" s="18">
        <f>IF(Table41[[#This Row],[CODE]]=3, Table41[ [#This Row],[Account Deposit Amount] ]-Table41[ [#This Row],[Account Withdrawl Amount] ], )</f>
        <v>0</v>
      </c>
      <c r="L48" s="18">
        <f>IF(Table41[[#This Row],[CODE]]=4, Table41[ [#This Row],[Account Deposit Amount] ]-Table41[ [#This Row],[Account Withdrawl Amount] ], )</f>
        <v>0</v>
      </c>
      <c r="M48" s="18">
        <f>IF(Table41[[#This Row],[CODE]]=5, Table41[ [#This Row],[Account Deposit Amount] ]-Table41[ [#This Row],[Account Withdrawl Amount] ], )</f>
        <v>0</v>
      </c>
      <c r="N48" s="18">
        <f>IF(Table41[[#This Row],[CODE]]=6, Table41[ [#This Row],[Account Deposit Amount] ]-Table41[ [#This Row],[Account Withdrawl Amount] ], )</f>
        <v>0</v>
      </c>
      <c r="O48" s="18">
        <f>IF(Table41[[#This Row],[CODE]]=11, Table41[ [#This Row],[Account Deposit Amount] ]-Table41[ [#This Row],[Account Withdrawl Amount] ], )</f>
        <v>0</v>
      </c>
      <c r="P48" s="18">
        <f>IF(Table41[[#This Row],[CODE]]=12, Table41[ [#This Row],[Account Deposit Amount] ]-Table41[ [#This Row],[Account Withdrawl Amount] ], )</f>
        <v>3.71</v>
      </c>
      <c r="Q48" s="18">
        <f>IF(Table41[[#This Row],[CODE]]=13, Table41[ [#This Row],[Account Deposit Amount] ]-Table41[ [#This Row],[Account Withdrawl Amount] ], )</f>
        <v>0</v>
      </c>
      <c r="R48" s="18">
        <f>IF(Table41[[#This Row],[CODE]]=14, Table41[ [#This Row],[Account Deposit Amount] ]-Table41[ [#This Row],[Account Withdrawl Amount] ], )</f>
        <v>0</v>
      </c>
      <c r="S48" s="18">
        <f>IF(Table41[[#This Row],[CODE]]=15, Table41[ [#This Row],[Account Deposit Amount] ]-Table41[ [#This Row],[Account Withdrawl Amount] ], )</f>
        <v>0</v>
      </c>
      <c r="T48" s="18">
        <f>IF(Table41[[#This Row],[CODE]]=16, Table41[ [#This Row],[Account Deposit Amount] ]-Table41[ [#This Row],[Account Withdrawl Amount] ], )</f>
        <v>0</v>
      </c>
      <c r="U48" s="17">
        <f>IF(Table41[[#This Row],[CODE]]=17, Table41[ [#This Row],[Account Deposit Amount] ]-Table41[ [#This Row],[Account Withdrawl Amount] ], )</f>
        <v>0</v>
      </c>
      <c r="V48" s="19">
        <f>IF(Table41[[#This Row],[CODE]]=18, Table41[ [#This Row],[Account Deposit Amount] ]-Table41[ [#This Row],[Account Withdrawl Amount] ], )</f>
        <v>0</v>
      </c>
    </row>
    <row r="49" spans="1:22" ht="12.6" thickBot="1">
      <c r="A49" s="118" t="s">
        <v>238</v>
      </c>
      <c r="B49" s="123">
        <v>45198</v>
      </c>
      <c r="C49" s="118" t="s">
        <v>201</v>
      </c>
      <c r="D49" s="120" t="s">
        <v>381</v>
      </c>
      <c r="E49" s="124">
        <v>8.48</v>
      </c>
      <c r="F49" s="124"/>
      <c r="G49" s="82">
        <f t="shared" si="5"/>
        <v>16208.599999999982</v>
      </c>
      <c r="H49" s="118">
        <v>12</v>
      </c>
      <c r="I49" s="125">
        <f>IF(Table41[[#This Row],[CODE]]=1, Table41[ [#This Row],[Account Deposit Amount] ]-Table41[ [#This Row],[Account Withdrawl Amount] ], )</f>
        <v>0</v>
      </c>
      <c r="J49" s="18">
        <f>IF(Table41[[#This Row],[CODE]]=2, Table41[ [#This Row],[Account Deposit Amount] ]-Table41[ [#This Row],[Account Withdrawl Amount] ], )</f>
        <v>0</v>
      </c>
      <c r="K49" s="18">
        <f>IF(Table41[[#This Row],[CODE]]=3, Table41[ [#This Row],[Account Deposit Amount] ]-Table41[ [#This Row],[Account Withdrawl Amount] ], )</f>
        <v>0</v>
      </c>
      <c r="L49" s="18">
        <f>IF(Table41[[#This Row],[CODE]]=4, Table41[ [#This Row],[Account Deposit Amount] ]-Table41[ [#This Row],[Account Withdrawl Amount] ], )</f>
        <v>0</v>
      </c>
      <c r="M49" s="18">
        <f>IF(Table41[[#This Row],[CODE]]=5, Table41[ [#This Row],[Account Deposit Amount] ]-Table41[ [#This Row],[Account Withdrawl Amount] ], )</f>
        <v>0</v>
      </c>
      <c r="N49" s="18">
        <f>IF(Table41[[#This Row],[CODE]]=6, Table41[ [#This Row],[Account Deposit Amount] ]-Table41[ [#This Row],[Account Withdrawl Amount] ], )</f>
        <v>0</v>
      </c>
      <c r="O49" s="18">
        <f>IF(Table41[[#This Row],[CODE]]=11, Table41[ [#This Row],[Account Deposit Amount] ]-Table41[ [#This Row],[Account Withdrawl Amount] ], )</f>
        <v>0</v>
      </c>
      <c r="P49" s="18">
        <f>IF(Table41[[#This Row],[CODE]]=12, Table41[ [#This Row],[Account Deposit Amount] ]-Table41[ [#This Row],[Account Withdrawl Amount] ], )</f>
        <v>8.48</v>
      </c>
      <c r="Q49" s="18">
        <f>IF(Table41[[#This Row],[CODE]]=13, Table41[ [#This Row],[Account Deposit Amount] ]-Table41[ [#This Row],[Account Withdrawl Amount] ], )</f>
        <v>0</v>
      </c>
      <c r="R49" s="18">
        <f>IF(Table41[[#This Row],[CODE]]=14, Table41[ [#This Row],[Account Deposit Amount] ]-Table41[ [#This Row],[Account Withdrawl Amount] ], )</f>
        <v>0</v>
      </c>
      <c r="S49" s="18">
        <f>IF(Table41[[#This Row],[CODE]]=15, Table41[ [#This Row],[Account Deposit Amount] ]-Table41[ [#This Row],[Account Withdrawl Amount] ], )</f>
        <v>0</v>
      </c>
      <c r="T49" s="18">
        <f>IF(Table41[[#This Row],[CODE]]=16, Table41[ [#This Row],[Account Deposit Amount] ]-Table41[ [#This Row],[Account Withdrawl Amount] ], )</f>
        <v>0</v>
      </c>
      <c r="U49" s="17">
        <f>IF(Table41[[#This Row],[CODE]]=17, Table41[ [#This Row],[Account Deposit Amount] ]-Table41[ [#This Row],[Account Withdrawl Amount] ], )</f>
        <v>0</v>
      </c>
      <c r="V49" s="19">
        <f>IF(Table41[[#This Row],[CODE]]=18, Table41[ [#This Row],[Account Deposit Amount] ]-Table41[ [#This Row],[Account Withdrawl Amount] ], )</f>
        <v>0</v>
      </c>
    </row>
    <row r="50" spans="1:22" ht="12.6" thickBot="1">
      <c r="A50" s="118" t="s">
        <v>238</v>
      </c>
      <c r="B50" s="123">
        <v>45198</v>
      </c>
      <c r="C50" s="118" t="s">
        <v>201</v>
      </c>
      <c r="D50" s="120" t="s">
        <v>382</v>
      </c>
      <c r="E50" s="124">
        <v>11.13</v>
      </c>
      <c r="F50" s="124"/>
      <c r="G50" s="82">
        <f t="shared" si="5"/>
        <v>16219.729999999981</v>
      </c>
      <c r="H50" s="118">
        <v>12</v>
      </c>
      <c r="I50" s="125">
        <f>IF(Table41[[#This Row],[CODE]]=1, Table41[ [#This Row],[Account Deposit Amount] ]-Table41[ [#This Row],[Account Withdrawl Amount] ], )</f>
        <v>0</v>
      </c>
      <c r="J50" s="18">
        <f>IF(Table41[[#This Row],[CODE]]=2, Table41[ [#This Row],[Account Deposit Amount] ]-Table41[ [#This Row],[Account Withdrawl Amount] ], )</f>
        <v>0</v>
      </c>
      <c r="K50" s="18">
        <f>IF(Table41[[#This Row],[CODE]]=3, Table41[ [#This Row],[Account Deposit Amount] ]-Table41[ [#This Row],[Account Withdrawl Amount] ], )</f>
        <v>0</v>
      </c>
      <c r="L50" s="18">
        <f>IF(Table41[[#This Row],[CODE]]=4, Table41[ [#This Row],[Account Deposit Amount] ]-Table41[ [#This Row],[Account Withdrawl Amount] ], )</f>
        <v>0</v>
      </c>
      <c r="M50" s="18">
        <f>IF(Table41[[#This Row],[CODE]]=5, Table41[ [#This Row],[Account Deposit Amount] ]-Table41[ [#This Row],[Account Withdrawl Amount] ], )</f>
        <v>0</v>
      </c>
      <c r="N50" s="18">
        <f>IF(Table41[[#This Row],[CODE]]=6, Table41[ [#This Row],[Account Deposit Amount] ]-Table41[ [#This Row],[Account Withdrawl Amount] ], )</f>
        <v>0</v>
      </c>
      <c r="O50" s="18">
        <f>IF(Table41[[#This Row],[CODE]]=11, Table41[ [#This Row],[Account Deposit Amount] ]-Table41[ [#This Row],[Account Withdrawl Amount] ], )</f>
        <v>0</v>
      </c>
      <c r="P50" s="18">
        <f>IF(Table41[[#This Row],[CODE]]=12, Table41[ [#This Row],[Account Deposit Amount] ]-Table41[ [#This Row],[Account Withdrawl Amount] ], )</f>
        <v>11.13</v>
      </c>
      <c r="Q50" s="18">
        <f>IF(Table41[[#This Row],[CODE]]=13, Table41[ [#This Row],[Account Deposit Amount] ]-Table41[ [#This Row],[Account Withdrawl Amount] ], )</f>
        <v>0</v>
      </c>
      <c r="R50" s="18">
        <f>IF(Table41[[#This Row],[CODE]]=14, Table41[ [#This Row],[Account Deposit Amount] ]-Table41[ [#This Row],[Account Withdrawl Amount] ], )</f>
        <v>0</v>
      </c>
      <c r="S50" s="18">
        <f>IF(Table41[[#This Row],[CODE]]=15, Table41[ [#This Row],[Account Deposit Amount] ]-Table41[ [#This Row],[Account Withdrawl Amount] ], )</f>
        <v>0</v>
      </c>
      <c r="T50" s="18">
        <f>IF(Table41[[#This Row],[CODE]]=16, Table41[ [#This Row],[Account Deposit Amount] ]-Table41[ [#This Row],[Account Withdrawl Amount] ], )</f>
        <v>0</v>
      </c>
      <c r="U50" s="17">
        <f>IF(Table41[[#This Row],[CODE]]=17, Table41[ [#This Row],[Account Deposit Amount] ]-Table41[ [#This Row],[Account Withdrawl Amount] ], )</f>
        <v>0</v>
      </c>
      <c r="V50" s="19">
        <f>IF(Table41[[#This Row],[CODE]]=18, Table41[ [#This Row],[Account Deposit Amount] ]-Table41[ [#This Row],[Account Withdrawl Amount] ], )</f>
        <v>0</v>
      </c>
    </row>
    <row r="51" spans="1:22" ht="12.6" thickBot="1">
      <c r="A51" s="118" t="s">
        <v>238</v>
      </c>
      <c r="B51" s="123">
        <v>45198</v>
      </c>
      <c r="C51" s="118" t="s">
        <v>201</v>
      </c>
      <c r="D51" s="120" t="s">
        <v>383</v>
      </c>
      <c r="E51" s="124">
        <v>9.5399999999999991</v>
      </c>
      <c r="F51" s="124"/>
      <c r="G51" s="82">
        <f t="shared" si="5"/>
        <v>16229.269999999982</v>
      </c>
      <c r="H51" s="118">
        <v>12</v>
      </c>
      <c r="I51" s="125">
        <f>IF(Table41[[#This Row],[CODE]]=1, Table41[ [#This Row],[Account Deposit Amount] ]-Table41[ [#This Row],[Account Withdrawl Amount] ], )</f>
        <v>0</v>
      </c>
      <c r="J51" s="18">
        <f>IF(Table41[[#This Row],[CODE]]=2, Table41[ [#This Row],[Account Deposit Amount] ]-Table41[ [#This Row],[Account Withdrawl Amount] ], )</f>
        <v>0</v>
      </c>
      <c r="K51" s="18">
        <f>IF(Table41[[#This Row],[CODE]]=3, Table41[ [#This Row],[Account Deposit Amount] ]-Table41[ [#This Row],[Account Withdrawl Amount] ], )</f>
        <v>0</v>
      </c>
      <c r="L51" s="18">
        <f>IF(Table41[[#This Row],[CODE]]=4, Table41[ [#This Row],[Account Deposit Amount] ]-Table41[ [#This Row],[Account Withdrawl Amount] ], )</f>
        <v>0</v>
      </c>
      <c r="M51" s="18">
        <f>IF(Table41[[#This Row],[CODE]]=5, Table41[ [#This Row],[Account Deposit Amount] ]-Table41[ [#This Row],[Account Withdrawl Amount] ], )</f>
        <v>0</v>
      </c>
      <c r="N51" s="18">
        <f>IF(Table41[[#This Row],[CODE]]=6, Table41[ [#This Row],[Account Deposit Amount] ]-Table41[ [#This Row],[Account Withdrawl Amount] ], )</f>
        <v>0</v>
      </c>
      <c r="O51" s="18">
        <f>IF(Table41[[#This Row],[CODE]]=11, Table41[ [#This Row],[Account Deposit Amount] ]-Table41[ [#This Row],[Account Withdrawl Amount] ], )</f>
        <v>0</v>
      </c>
      <c r="P51" s="18">
        <f>IF(Table41[[#This Row],[CODE]]=12, Table41[ [#This Row],[Account Deposit Amount] ]-Table41[ [#This Row],[Account Withdrawl Amount] ], )</f>
        <v>9.5399999999999991</v>
      </c>
      <c r="Q51" s="18">
        <f>IF(Table41[[#This Row],[CODE]]=13, Table41[ [#This Row],[Account Deposit Amount] ]-Table41[ [#This Row],[Account Withdrawl Amount] ], )</f>
        <v>0</v>
      </c>
      <c r="R51" s="18">
        <f>IF(Table41[[#This Row],[CODE]]=14, Table41[ [#This Row],[Account Deposit Amount] ]-Table41[ [#This Row],[Account Withdrawl Amount] ], )</f>
        <v>0</v>
      </c>
      <c r="S51" s="18">
        <f>IF(Table41[[#This Row],[CODE]]=15, Table41[ [#This Row],[Account Deposit Amount] ]-Table41[ [#This Row],[Account Withdrawl Amount] ], )</f>
        <v>0</v>
      </c>
      <c r="T51" s="18">
        <f>IF(Table41[[#This Row],[CODE]]=16, Table41[ [#This Row],[Account Deposit Amount] ]-Table41[ [#This Row],[Account Withdrawl Amount] ], )</f>
        <v>0</v>
      </c>
      <c r="U51" s="17">
        <f>IF(Table41[[#This Row],[CODE]]=17, Table41[ [#This Row],[Account Deposit Amount] ]-Table41[ [#This Row],[Account Withdrawl Amount] ], )</f>
        <v>0</v>
      </c>
      <c r="V51" s="19">
        <f>IF(Table41[[#This Row],[CODE]]=18, Table41[ [#This Row],[Account Deposit Amount] ]-Table41[ [#This Row],[Account Withdrawl Amount] ], )</f>
        <v>0</v>
      </c>
    </row>
    <row r="52" spans="1:22" ht="12.6" thickBot="1">
      <c r="A52" s="118" t="s">
        <v>241</v>
      </c>
      <c r="B52" s="123">
        <v>45199</v>
      </c>
      <c r="C52" s="118" t="s">
        <v>201</v>
      </c>
      <c r="D52" s="120" t="s">
        <v>67</v>
      </c>
      <c r="E52" s="124"/>
      <c r="F52" s="124">
        <v>22.9</v>
      </c>
      <c r="G52" s="82">
        <f t="shared" si="5"/>
        <v>16206.369999999983</v>
      </c>
      <c r="H52" s="118">
        <v>12</v>
      </c>
      <c r="I52" s="125">
        <f>IF(Table41[[#This Row],[CODE]]=1, Table41[ [#This Row],[Account Deposit Amount] ]-Table41[ [#This Row],[Account Withdrawl Amount] ], )</f>
        <v>0</v>
      </c>
      <c r="J52" s="18">
        <f>IF(Table41[[#This Row],[CODE]]=2, Table41[ [#This Row],[Account Deposit Amount] ]-Table41[ [#This Row],[Account Withdrawl Amount] ], )</f>
        <v>0</v>
      </c>
      <c r="K52" s="18">
        <f>IF(Table41[[#This Row],[CODE]]=3, Table41[ [#This Row],[Account Deposit Amount] ]-Table41[ [#This Row],[Account Withdrawl Amount] ], )</f>
        <v>0</v>
      </c>
      <c r="L52" s="18">
        <f>IF(Table41[[#This Row],[CODE]]=4, Table41[ [#This Row],[Account Deposit Amount] ]-Table41[ [#This Row],[Account Withdrawl Amount] ], )</f>
        <v>0</v>
      </c>
      <c r="M52" s="18">
        <f>IF(Table41[[#This Row],[CODE]]=5, Table41[ [#This Row],[Account Deposit Amount] ]-Table41[ [#This Row],[Account Withdrawl Amount] ], )</f>
        <v>0</v>
      </c>
      <c r="N52" s="18">
        <f>IF(Table41[[#This Row],[CODE]]=6, Table41[ [#This Row],[Account Deposit Amount] ]-Table41[ [#This Row],[Account Withdrawl Amount] ], )</f>
        <v>0</v>
      </c>
      <c r="O52" s="18">
        <f>IF(Table41[[#This Row],[CODE]]=11, Table41[ [#This Row],[Account Deposit Amount] ]-Table41[ [#This Row],[Account Withdrawl Amount] ], )</f>
        <v>0</v>
      </c>
      <c r="P52" s="18">
        <f>IF(Table41[[#This Row],[CODE]]=12, Table41[ [#This Row],[Account Deposit Amount] ]-Table41[ [#This Row],[Account Withdrawl Amount] ], )</f>
        <v>-22.9</v>
      </c>
      <c r="Q52" s="18">
        <f>IF(Table41[[#This Row],[CODE]]=13, Table41[ [#This Row],[Account Deposit Amount] ]-Table41[ [#This Row],[Account Withdrawl Amount] ], )</f>
        <v>0</v>
      </c>
      <c r="R52" s="18">
        <f>IF(Table41[[#This Row],[CODE]]=14, Table41[ [#This Row],[Account Deposit Amount] ]-Table41[ [#This Row],[Account Withdrawl Amount] ], )</f>
        <v>0</v>
      </c>
      <c r="S52" s="18">
        <f>IF(Table41[[#This Row],[CODE]]=15, Table41[ [#This Row],[Account Deposit Amount] ]-Table41[ [#This Row],[Account Withdrawl Amount] ], )</f>
        <v>0</v>
      </c>
      <c r="T52" s="18">
        <f>IF(Table41[[#This Row],[CODE]]=16, Table41[ [#This Row],[Account Deposit Amount] ]-Table41[ [#This Row],[Account Withdrawl Amount] ], )</f>
        <v>0</v>
      </c>
      <c r="U52" s="17">
        <f>IF(Table41[[#This Row],[CODE]]=17, Table41[ [#This Row],[Account Deposit Amount] ]-Table41[ [#This Row],[Account Withdrawl Amount] ], )</f>
        <v>0</v>
      </c>
      <c r="V52" s="19">
        <f>IF(Table41[[#This Row],[CODE]]=18, Table41[ [#This Row],[Account Deposit Amount] ]-Table41[ [#This Row],[Account Withdrawl Amount] ], )</f>
        <v>0</v>
      </c>
    </row>
    <row r="53" spans="1:22" ht="12.6" thickBot="1">
      <c r="A53" s="118" t="s">
        <v>241</v>
      </c>
      <c r="B53" s="123">
        <v>45199</v>
      </c>
      <c r="C53" s="118" t="s">
        <v>201</v>
      </c>
      <c r="D53" s="120" t="s">
        <v>67</v>
      </c>
      <c r="E53" s="124"/>
      <c r="F53" s="124">
        <v>147.87</v>
      </c>
      <c r="G53" s="82">
        <f t="shared" si="5"/>
        <v>16058.499999999982</v>
      </c>
      <c r="H53" s="118">
        <v>12</v>
      </c>
      <c r="I53" s="125">
        <f>IF(Table41[[#This Row],[CODE]]=1, Table41[ [#This Row],[Account Deposit Amount] ]-Table41[ [#This Row],[Account Withdrawl Amount] ], )</f>
        <v>0</v>
      </c>
      <c r="J53" s="18">
        <f>IF(Table41[[#This Row],[CODE]]=2, Table41[ [#This Row],[Account Deposit Amount] ]-Table41[ [#This Row],[Account Withdrawl Amount] ], )</f>
        <v>0</v>
      </c>
      <c r="K53" s="18">
        <f>IF(Table41[[#This Row],[CODE]]=3, Table41[ [#This Row],[Account Deposit Amount] ]-Table41[ [#This Row],[Account Withdrawl Amount] ], )</f>
        <v>0</v>
      </c>
      <c r="L53" s="18">
        <f>IF(Table41[[#This Row],[CODE]]=4, Table41[ [#This Row],[Account Deposit Amount] ]-Table41[ [#This Row],[Account Withdrawl Amount] ], )</f>
        <v>0</v>
      </c>
      <c r="M53" s="18">
        <f>IF(Table41[[#This Row],[CODE]]=5, Table41[ [#This Row],[Account Deposit Amount] ]-Table41[ [#This Row],[Account Withdrawl Amount] ], )</f>
        <v>0</v>
      </c>
      <c r="N53" s="18">
        <f>IF(Table41[[#This Row],[CODE]]=6, Table41[ [#This Row],[Account Deposit Amount] ]-Table41[ [#This Row],[Account Withdrawl Amount] ], )</f>
        <v>0</v>
      </c>
      <c r="O53" s="18">
        <f>IF(Table41[[#This Row],[CODE]]=11, Table41[ [#This Row],[Account Deposit Amount] ]-Table41[ [#This Row],[Account Withdrawl Amount] ], )</f>
        <v>0</v>
      </c>
      <c r="P53" s="18">
        <f>IF(Table41[[#This Row],[CODE]]=12, Table41[ [#This Row],[Account Deposit Amount] ]-Table41[ [#This Row],[Account Withdrawl Amount] ], )</f>
        <v>-147.87</v>
      </c>
      <c r="Q53" s="18">
        <f>IF(Table41[[#This Row],[CODE]]=13, Table41[ [#This Row],[Account Deposit Amount] ]-Table41[ [#This Row],[Account Withdrawl Amount] ], )</f>
        <v>0</v>
      </c>
      <c r="R53" s="18">
        <f>IF(Table41[[#This Row],[CODE]]=14, Table41[ [#This Row],[Account Deposit Amount] ]-Table41[ [#This Row],[Account Withdrawl Amount] ], )</f>
        <v>0</v>
      </c>
      <c r="S53" s="18">
        <f>IF(Table41[[#This Row],[CODE]]=15, Table41[ [#This Row],[Account Deposit Amount] ]-Table41[ [#This Row],[Account Withdrawl Amount] ], )</f>
        <v>0</v>
      </c>
      <c r="T53" s="18">
        <f>IF(Table41[[#This Row],[CODE]]=16, Table41[ [#This Row],[Account Deposit Amount] ]-Table41[ [#This Row],[Account Withdrawl Amount] ], )</f>
        <v>0</v>
      </c>
      <c r="U53" s="17">
        <f>IF(Table41[[#This Row],[CODE]]=17, Table41[ [#This Row],[Account Deposit Amount] ]-Table41[ [#This Row],[Account Withdrawl Amount] ], )</f>
        <v>0</v>
      </c>
      <c r="V53" s="19">
        <f>IF(Table41[[#This Row],[CODE]]=18, Table41[ [#This Row],[Account Deposit Amount] ]-Table41[ [#This Row],[Account Withdrawl Amount] ], )</f>
        <v>0</v>
      </c>
    </row>
    <row r="54" spans="1:22" ht="12.6" thickBot="1">
      <c r="A54" s="118"/>
      <c r="B54" s="123"/>
      <c r="C54" s="118"/>
      <c r="D54" s="120"/>
      <c r="E54" s="124"/>
      <c r="F54" s="124"/>
      <c r="G54" s="82">
        <f t="shared" si="5"/>
        <v>16058.499999999982</v>
      </c>
      <c r="H54" s="25"/>
      <c r="I54" s="125">
        <f>IF(Table41[[#This Row],[CODE]]=1, Table41[ [#This Row],[Account Deposit Amount] ]-Table41[ [#This Row],[Account Withdrawl Amount] ], )</f>
        <v>0</v>
      </c>
      <c r="J54" s="18">
        <f>IF(Table41[[#This Row],[CODE]]=2, Table41[ [#This Row],[Account Deposit Amount] ]-Table41[ [#This Row],[Account Withdrawl Amount] ], )</f>
        <v>0</v>
      </c>
      <c r="K54" s="18">
        <f>IF(Table41[[#This Row],[CODE]]=3, Table41[ [#This Row],[Account Deposit Amount] ]-Table41[ [#This Row],[Account Withdrawl Amount] ], )</f>
        <v>0</v>
      </c>
      <c r="L54" s="18">
        <f>IF(Table41[[#This Row],[CODE]]=4, Table41[ [#This Row],[Account Deposit Amount] ]-Table41[ [#This Row],[Account Withdrawl Amount] ], )</f>
        <v>0</v>
      </c>
      <c r="M54" s="18">
        <f>IF(Table41[[#This Row],[CODE]]=5, Table41[ [#This Row],[Account Deposit Amount] ]-Table41[ [#This Row],[Account Withdrawl Amount] ], )</f>
        <v>0</v>
      </c>
      <c r="N54" s="18">
        <f>IF(Table41[[#This Row],[CODE]]=6, Table41[ [#This Row],[Account Deposit Amount] ]-Table41[ [#This Row],[Account Withdrawl Amount] ], )</f>
        <v>0</v>
      </c>
      <c r="O54" s="18">
        <f>IF(Table41[[#This Row],[CODE]]=11, Table41[ [#This Row],[Account Deposit Amount] ]-Table41[ [#This Row],[Account Withdrawl Amount] ], )</f>
        <v>0</v>
      </c>
      <c r="P54" s="18">
        <f>IF(Table41[[#This Row],[CODE]]=12, Table41[ [#This Row],[Account Deposit Amount] ]-Table41[ [#This Row],[Account Withdrawl Amount] ], )</f>
        <v>0</v>
      </c>
      <c r="Q54" s="18">
        <f>IF(Table41[[#This Row],[CODE]]=13, Table41[ [#This Row],[Account Deposit Amount] ]-Table41[ [#This Row],[Account Withdrawl Amount] ], )</f>
        <v>0</v>
      </c>
      <c r="R54" s="18">
        <f>IF(Table41[[#This Row],[CODE]]=14, Table41[ [#This Row],[Account Deposit Amount] ]-Table41[ [#This Row],[Account Withdrawl Amount] ], )</f>
        <v>0</v>
      </c>
      <c r="S54" s="18">
        <f>IF(Table41[[#This Row],[CODE]]=15, Table41[ [#This Row],[Account Deposit Amount] ]-Table41[ [#This Row],[Account Withdrawl Amount] ], )</f>
        <v>0</v>
      </c>
      <c r="T54" s="18">
        <f>IF(Table41[[#This Row],[CODE]]=16, Table41[ [#This Row],[Account Deposit Amount] ]-Table41[ [#This Row],[Account Withdrawl Amount] ], )</f>
        <v>0</v>
      </c>
      <c r="U54" s="17">
        <f>IF(Table41[[#This Row],[CODE]]=17, Table41[ [#This Row],[Account Deposit Amount] ]-Table41[ [#This Row],[Account Withdrawl Amount] ], )</f>
        <v>0</v>
      </c>
      <c r="V54" s="19">
        <f>IF(Table41[[#This Row],[CODE]]=18, Table41[ [#This Row],[Account Deposit Amount] ]-Table41[ [#This Row],[Account Withdrawl Amount] ], )</f>
        <v>0</v>
      </c>
    </row>
    <row r="55" spans="1:22" ht="12.6" thickBot="1">
      <c r="A55" s="23"/>
      <c r="B55" s="24"/>
      <c r="C55" s="23"/>
      <c r="D55" s="25"/>
      <c r="E55" s="26"/>
      <c r="F55" s="26"/>
      <c r="G55" s="82" t="e">
        <f>#REF!+E55-F55</f>
        <v>#REF!</v>
      </c>
      <c r="H55" s="23"/>
      <c r="I55" s="125">
        <f>IF(Table41[[#This Row],[CODE]]=1, Table41[ [#This Row],[Account Deposit Amount] ]-Table41[ [#This Row],[Account Withdrawl Amount] ], )</f>
        <v>0</v>
      </c>
      <c r="J55" s="18">
        <f>IF(Table41[[#This Row],[CODE]]=2, Table41[ [#This Row],[Account Deposit Amount] ]-Table41[ [#This Row],[Account Withdrawl Amount] ], )</f>
        <v>0</v>
      </c>
      <c r="K55" s="18">
        <f>IF(Table41[[#This Row],[CODE]]=3, Table41[ [#This Row],[Account Deposit Amount] ]-Table41[ [#This Row],[Account Withdrawl Amount] ], )</f>
        <v>0</v>
      </c>
      <c r="L55" s="18">
        <f>IF(Table41[[#This Row],[CODE]]=4, Table41[ [#This Row],[Account Deposit Amount] ]-Table41[ [#This Row],[Account Withdrawl Amount] ], )</f>
        <v>0</v>
      </c>
      <c r="M55" s="18">
        <f>IF(Table41[[#This Row],[CODE]]=5, Table41[ [#This Row],[Account Deposit Amount] ]-Table41[ [#This Row],[Account Withdrawl Amount] ], )</f>
        <v>0</v>
      </c>
      <c r="N55" s="18">
        <f>IF(Table41[[#This Row],[CODE]]=6, Table41[ [#This Row],[Account Deposit Amount] ]-Table41[ [#This Row],[Account Withdrawl Amount] ], )</f>
        <v>0</v>
      </c>
      <c r="O55" s="18">
        <f>IF(Table41[[#This Row],[CODE]]=11, Table41[ [#This Row],[Account Deposit Amount] ]-Table41[ [#This Row],[Account Withdrawl Amount] ], )</f>
        <v>0</v>
      </c>
      <c r="P55" s="18">
        <f>IF(Table41[[#This Row],[CODE]]=12, Table41[ [#This Row],[Account Deposit Amount] ]-Table41[ [#This Row],[Account Withdrawl Amount] ], )</f>
        <v>0</v>
      </c>
      <c r="Q55" s="18">
        <f>IF(Table41[[#This Row],[CODE]]=13, Table41[ [#This Row],[Account Deposit Amount] ]-Table41[ [#This Row],[Account Withdrawl Amount] ], )</f>
        <v>0</v>
      </c>
      <c r="R55" s="18">
        <f>IF(Table41[[#This Row],[CODE]]=14, Table41[ [#This Row],[Account Deposit Amount] ]-Table41[ [#This Row],[Account Withdrawl Amount] ], )</f>
        <v>0</v>
      </c>
      <c r="S55" s="18">
        <f>IF(Table41[[#This Row],[CODE]]=15, Table41[ [#This Row],[Account Deposit Amount] ]-Table41[ [#This Row],[Account Withdrawl Amount] ], )</f>
        <v>0</v>
      </c>
      <c r="T55" s="18">
        <f>IF(Table41[[#This Row],[CODE]]=16, Table41[ [#This Row],[Account Deposit Amount] ]-Table41[ [#This Row],[Account Withdrawl Amount] ], )</f>
        <v>0</v>
      </c>
      <c r="U55" s="17">
        <f>IF(Table41[[#This Row],[CODE]]=17, Table41[ [#This Row],[Account Deposit Amount] ]-Table41[ [#This Row],[Account Withdrawl Amount] ], )</f>
        <v>0</v>
      </c>
      <c r="V55" s="19">
        <f>IF(Table41[[#This Row],[CODE]]=18, Table41[ [#This Row],[Account Deposit Amount] ]-Table41[ [#This Row],[Account Withdrawl Amount] ], )</f>
        <v>0</v>
      </c>
    </row>
    <row r="56" spans="1:22" ht="12.6" thickBot="1">
      <c r="A56" s="23"/>
      <c r="B56" s="24"/>
      <c r="C56" s="23"/>
      <c r="D56" s="25"/>
      <c r="E56" s="26"/>
      <c r="F56" s="26"/>
      <c r="G56" s="82" t="e">
        <f t="shared" ref="G56:G57" si="6">G55+E56-F56</f>
        <v>#REF!</v>
      </c>
      <c r="H56" s="23"/>
      <c r="I56" s="125">
        <f>IF(Table41[[#This Row],[CODE]]=1, Table41[ [#This Row],[Account Deposit Amount] ]-Table41[ [#This Row],[Account Withdrawl Amount] ], )</f>
        <v>0</v>
      </c>
      <c r="J56" s="18">
        <f>IF(Table41[[#This Row],[CODE]]=2, Table41[ [#This Row],[Account Deposit Amount] ]-Table41[ [#This Row],[Account Withdrawl Amount] ], )</f>
        <v>0</v>
      </c>
      <c r="K56" s="18">
        <f>IF(Table41[[#This Row],[CODE]]=3, Table41[ [#This Row],[Account Deposit Amount] ]-Table41[ [#This Row],[Account Withdrawl Amount] ], )</f>
        <v>0</v>
      </c>
      <c r="L56" s="18">
        <f>IF(Table41[[#This Row],[CODE]]=4, Table41[ [#This Row],[Account Deposit Amount] ]-Table41[ [#This Row],[Account Withdrawl Amount] ], )</f>
        <v>0</v>
      </c>
      <c r="M56" s="18">
        <f>IF(Table41[[#This Row],[CODE]]=5, Table41[ [#This Row],[Account Deposit Amount] ]-Table41[ [#This Row],[Account Withdrawl Amount] ], )</f>
        <v>0</v>
      </c>
      <c r="N56" s="18">
        <f>IF(Table41[[#This Row],[CODE]]=6, Table41[ [#This Row],[Account Deposit Amount] ]-Table41[ [#This Row],[Account Withdrawl Amount] ], )</f>
        <v>0</v>
      </c>
      <c r="O56" s="18">
        <f>IF(Table41[[#This Row],[CODE]]=11, Table41[ [#This Row],[Account Deposit Amount] ]-Table41[ [#This Row],[Account Withdrawl Amount] ], )</f>
        <v>0</v>
      </c>
      <c r="P56" s="18">
        <f>IF(Table41[[#This Row],[CODE]]=12, Table41[ [#This Row],[Account Deposit Amount] ]-Table41[ [#This Row],[Account Withdrawl Amount] ], )</f>
        <v>0</v>
      </c>
      <c r="Q56" s="18">
        <f>IF(Table41[[#This Row],[CODE]]=13, Table41[ [#This Row],[Account Deposit Amount] ]-Table41[ [#This Row],[Account Withdrawl Amount] ], )</f>
        <v>0</v>
      </c>
      <c r="R56" s="18">
        <f>IF(Table41[[#This Row],[CODE]]=14, Table41[ [#This Row],[Account Deposit Amount] ]-Table41[ [#This Row],[Account Withdrawl Amount] ], )</f>
        <v>0</v>
      </c>
      <c r="S56" s="18">
        <f>IF(Table41[[#This Row],[CODE]]=15, Table41[ [#This Row],[Account Deposit Amount] ]-Table41[ [#This Row],[Account Withdrawl Amount] ], )</f>
        <v>0</v>
      </c>
      <c r="T56" s="18">
        <f>IF(Table41[[#This Row],[CODE]]=16, Table41[ [#This Row],[Account Deposit Amount] ]-Table41[ [#This Row],[Account Withdrawl Amount] ], )</f>
        <v>0</v>
      </c>
      <c r="U56" s="17">
        <f>IF(Table41[[#This Row],[CODE]]=17, Table41[ [#This Row],[Account Deposit Amount] ]-Table41[ [#This Row],[Account Withdrawl Amount] ], )</f>
        <v>0</v>
      </c>
      <c r="V56" s="19">
        <f>IF(Table41[[#This Row],[CODE]]=18, Table41[ [#This Row],[Account Deposit Amount] ]-Table41[ [#This Row],[Account Withdrawl Amount] ], )</f>
        <v>0</v>
      </c>
    </row>
    <row r="57" spans="1:22" ht="13.8" thickBot="1">
      <c r="A57" s="116"/>
      <c r="B57" s="119"/>
      <c r="C57" s="116"/>
      <c r="D57" s="120"/>
      <c r="E57" s="124"/>
      <c r="F57" s="116"/>
      <c r="G57" s="82" t="e">
        <f t="shared" si="6"/>
        <v>#REF!</v>
      </c>
      <c r="H57" s="118"/>
      <c r="I57" s="125"/>
      <c r="J57" s="18"/>
      <c r="K57" s="18"/>
      <c r="L57" s="18"/>
      <c r="M57" s="18"/>
      <c r="N57" s="18"/>
      <c r="O57" s="18"/>
      <c r="P57" s="18"/>
      <c r="Q57" s="18"/>
      <c r="R57" s="18"/>
      <c r="S57" s="18"/>
      <c r="T57" s="18"/>
      <c r="U57" s="17">
        <f>IF(Table41[[#This Row],[CODE]]=17, Table41[ [#This Row],[Account Deposit Amount] ]-Table41[ [#This Row],[Account Withdrawl Amount] ], )</f>
        <v>0</v>
      </c>
      <c r="V57" s="19">
        <f>IF(Table41[[#This Row],[CODE]]=18, Table41[ [#This Row],[Account Deposit Amount] ]-Table41[ [#This Row],[Account Withdrawl Amount] ], )</f>
        <v>0</v>
      </c>
    </row>
    <row r="58" spans="1:22" ht="12.6" thickBot="1">
      <c r="U58" s="17" t="e">
        <f>IF(Table41[[#This Row],[CODE]]=17, Table41[ [#This Row],[Account Deposit Amount] ]-Table41[ [#This Row],[Account Withdrawl Amount] ], )</f>
        <v>#VALUE!</v>
      </c>
      <c r="V58" s="19" t="e">
        <f>IF(Table41[[#This Row],[CODE]]=18, Table41[ [#This Row],[Account Deposit Amount] ]-Table41[ [#This Row],[Account Withdrawl Amount] ], )</f>
        <v>#VALUE!</v>
      </c>
    </row>
    <row r="59" spans="1:22" ht="12.6" thickBot="1">
      <c r="U59" s="17" t="e">
        <f>IF(Table41[[#This Row],[CODE]]=17, Table41[ [#This Row],[Account Deposit Amount] ]-Table41[ [#This Row],[Account Withdrawl Amount] ], )</f>
        <v>#VALUE!</v>
      </c>
      <c r="V59" s="19" t="e">
        <f>IF(Table41[[#This Row],[CODE]]=18, Table41[ [#This Row],[Account Deposit Amount] ]-Table41[ [#This Row],[Account Withdrawl Amount] ], )</f>
        <v>#VALUE!</v>
      </c>
    </row>
    <row r="60" spans="1:22" ht="12.6" thickBot="1">
      <c r="U60" s="17" t="e">
        <f>IF(Table41[[#This Row],[CODE]]=17, Table41[ [#This Row],[Account Deposit Amount] ]-Table41[ [#This Row],[Account Withdrawl Amount] ], )</f>
        <v>#VALUE!</v>
      </c>
      <c r="V60" s="19" t="e">
        <f>IF(Table41[[#This Row],[CODE]]=18, Table41[ [#This Row],[Account Deposit Amount] ]-Table41[ [#This Row],[Account Withdrawl Amount] ], )</f>
        <v>#VALUE!</v>
      </c>
    </row>
    <row r="61" spans="1:22" ht="12.6" thickBot="1">
      <c r="U61" s="17" t="e">
        <f>IF(Table41[[#This Row],[CODE]]=17, Table41[ [#This Row],[Account Deposit Amount] ]-Table41[ [#This Row],[Account Withdrawl Amount] ], )</f>
        <v>#VALUE!</v>
      </c>
      <c r="V61" s="19" t="e">
        <f>IF(Table41[[#This Row],[CODE]]=18, Table41[ [#This Row],[Account Deposit Amount] ]-Table41[ [#This Row],[Account Withdrawl Amount] ], )</f>
        <v>#VALUE!</v>
      </c>
    </row>
    <row r="62" spans="1:22" ht="12.6" thickBot="1">
      <c r="U62" s="17" t="e">
        <f>IF(Table41[[#This Row],[CODE]]=17, Table41[ [#This Row],[Account Deposit Amount] ]-Table41[ [#This Row],[Account Withdrawl Amount] ], )</f>
        <v>#VALUE!</v>
      </c>
      <c r="V62" s="19" t="e">
        <f>IF(Table41[[#This Row],[CODE]]=18, Table41[ [#This Row],[Account Deposit Amount] ]-Table41[ [#This Row],[Account Withdrawl Amount] ], )</f>
        <v>#VALUE!</v>
      </c>
    </row>
    <row r="63" spans="1:22" ht="12.6" thickBot="1">
      <c r="U63" s="17" t="e">
        <f>IF(Table41[[#This Row],[CODE]]=17, Table41[ [#This Row],[Account Deposit Amount] ]-Table41[ [#This Row],[Account Withdrawl Amount] ], )</f>
        <v>#VALUE!</v>
      </c>
      <c r="V63" s="19" t="e">
        <f>IF(Table41[[#This Row],[CODE]]=18, Table41[ [#This Row],[Account Deposit Amount] ]-Table41[ [#This Row],[Account Withdrawl Amount] ], )</f>
        <v>#VALUE!</v>
      </c>
    </row>
    <row r="64" spans="1:22" ht="12.6" thickBot="1">
      <c r="U64" s="17" t="e">
        <f>IF(Table41[[#This Row],[CODE]]=17, Table41[ [#This Row],[Account Deposit Amount] ]-Table41[ [#This Row],[Account Withdrawl Amount] ], )</f>
        <v>#VALUE!</v>
      </c>
      <c r="V64" s="19" t="e">
        <f>IF(Table41[[#This Row],[CODE]]=18, Table41[ [#This Row],[Account Deposit Amount] ]-Table41[ [#This Row],[Account Withdrawl Amount] ], )</f>
        <v>#VALUE!</v>
      </c>
    </row>
    <row r="65" spans="21:22" ht="12.6" thickBot="1">
      <c r="U65" s="17" t="e">
        <f>IF(Table41[[#This Row],[CODE]]=17, Table41[ [#This Row],[Account Deposit Amount] ]-Table41[ [#This Row],[Account Withdrawl Amount] ], )</f>
        <v>#VALUE!</v>
      </c>
      <c r="V65" s="19" t="e">
        <f>IF(Table41[[#This Row],[CODE]]=18, Table41[ [#This Row],[Account Deposit Amount] ]-Table41[ [#This Row],[Account Withdrawl Amount] ], )</f>
        <v>#VALUE!</v>
      </c>
    </row>
    <row r="66" spans="21:22" ht="12.6" thickBot="1">
      <c r="U66" s="17" t="e">
        <f>IF(Table41[[#This Row],[CODE]]=17, Table41[ [#This Row],[Account Deposit Amount] ]-Table41[ [#This Row],[Account Withdrawl Amount] ], )</f>
        <v>#VALUE!</v>
      </c>
      <c r="V66" s="19" t="e">
        <f>IF(Table41[[#This Row],[CODE]]=18, Table41[ [#This Row],[Account Deposit Amount] ]-Table41[ [#This Row],[Account Withdrawl Amount] ], )</f>
        <v>#VALUE!</v>
      </c>
    </row>
    <row r="67" spans="21:22" ht="12.6" thickBot="1">
      <c r="U67" s="17" t="e">
        <f>IF(Table41[[#This Row],[CODE]]=17, Table41[ [#This Row],[Account Deposit Amount] ]-Table41[ [#This Row],[Account Withdrawl Amount] ], )</f>
        <v>#VALUE!</v>
      </c>
      <c r="V67" s="19" t="e">
        <f>IF(Table41[[#This Row],[CODE]]=18, Table41[ [#This Row],[Account Deposit Amount] ]-Table41[ [#This Row],[Account Withdrawl Amount] ], )</f>
        <v>#VALUE!</v>
      </c>
    </row>
    <row r="68" spans="21:22" ht="12.6" thickBot="1">
      <c r="U68" s="17" t="e">
        <f>IF(Table41[[#This Row],[CODE]]=17, Table41[ [#This Row],[Account Deposit Amount] ]-Table41[ [#This Row],[Account Withdrawl Amount] ], )</f>
        <v>#VALUE!</v>
      </c>
      <c r="V68" s="19" t="e">
        <f>IF(Table41[[#This Row],[CODE]]=18, Table41[ [#This Row],[Account Deposit Amount] ]-Table41[ [#This Row],[Account Withdrawl Amount] ], )</f>
        <v>#VALUE!</v>
      </c>
    </row>
    <row r="69" spans="21:22" ht="12.6" thickBot="1">
      <c r="U69" s="17" t="e">
        <f>IF(Table41[[#This Row],[CODE]]=17, Table41[ [#This Row],[Account Deposit Amount] ]-Table41[ [#This Row],[Account Withdrawl Amount] ], )</f>
        <v>#VALUE!</v>
      </c>
      <c r="V69" s="19" t="e">
        <f>IF(Table41[[#This Row],[CODE]]=18, Table41[ [#This Row],[Account Deposit Amount] ]-Table41[ [#This Row],[Account Withdrawl Amount] ], )</f>
        <v>#VALUE!</v>
      </c>
    </row>
    <row r="70" spans="21:22" ht="12.6" thickBot="1">
      <c r="U70" s="17" t="e">
        <f>IF(Table41[[#This Row],[CODE]]=17, Table41[ [#This Row],[Account Deposit Amount] ]-Table41[ [#This Row],[Account Withdrawl Amount] ], )</f>
        <v>#VALUE!</v>
      </c>
      <c r="V70" s="19" t="e">
        <f>IF(Table41[[#This Row],[CODE]]=18, Table41[ [#This Row],[Account Deposit Amount] ]-Table41[ [#This Row],[Account Withdrawl Amount] ], )</f>
        <v>#VALUE!</v>
      </c>
    </row>
    <row r="71" spans="21:22" ht="12.6" thickBot="1">
      <c r="U71" s="17" t="e">
        <f>IF(Table41[[#This Row],[CODE]]=17, Table41[ [#This Row],[Account Deposit Amount] ]-Table41[ [#This Row],[Account Withdrawl Amount] ], )</f>
        <v>#VALUE!</v>
      </c>
      <c r="V71" s="19" t="e">
        <f>IF(Table41[[#This Row],[CODE]]=18, Table41[ [#This Row],[Account Deposit Amount] ]-Table41[ [#This Row],[Account Withdrawl Amount] ], )</f>
        <v>#VALUE!</v>
      </c>
    </row>
    <row r="72" spans="21:22" ht="12.6" thickBot="1">
      <c r="U72" s="17" t="e">
        <f>IF(Table41[[#This Row],[CODE]]=17, Table41[ [#This Row],[Account Deposit Amount] ]-Table41[ [#This Row],[Account Withdrawl Amount] ], )</f>
        <v>#VALUE!</v>
      </c>
      <c r="V72" s="19" t="e">
        <f>IF(Table41[[#This Row],[CODE]]=18, Table41[ [#This Row],[Account Deposit Amount] ]-Table41[ [#This Row],[Account Withdrawl Amount] ], )</f>
        <v>#VALUE!</v>
      </c>
    </row>
    <row r="73" spans="21:22" ht="12.6" thickBot="1">
      <c r="U73" s="17" t="e">
        <f>IF(Table41[[#This Row],[CODE]]=17, Table41[ [#This Row],[Account Deposit Amount] ]-Table41[ [#This Row],[Account Withdrawl Amount] ], )</f>
        <v>#VALUE!</v>
      </c>
      <c r="V73" s="19" t="e">
        <f>IF(Table41[[#This Row],[CODE]]=18, Table41[ [#This Row],[Account Deposit Amount] ]-Table41[ [#This Row],[Account Withdrawl Amount] ], )</f>
        <v>#VALUE!</v>
      </c>
    </row>
    <row r="74" spans="21:22" ht="12.6" thickBot="1">
      <c r="U74" s="17" t="e">
        <f>IF(Table41[[#This Row],[CODE]]=17, Table41[ [#This Row],[Account Deposit Amount] ]-Table41[ [#This Row],[Account Withdrawl Amount] ], )</f>
        <v>#VALUE!</v>
      </c>
      <c r="V74" s="19" t="e">
        <f>IF(Table41[[#This Row],[CODE]]=18, Table41[ [#This Row],[Account Deposit Amount] ]-Table41[ [#This Row],[Account Withdrawl Amount] ], )</f>
        <v>#VALUE!</v>
      </c>
    </row>
    <row r="75" spans="21:22" ht="12.6" thickBot="1">
      <c r="U75" s="17" t="e">
        <f>IF(Table41[[#This Row],[CODE]]=17, Table41[ [#This Row],[Account Deposit Amount] ]-Table41[ [#This Row],[Account Withdrawl Amount] ], )</f>
        <v>#VALUE!</v>
      </c>
      <c r="V75" s="19" t="e">
        <f>IF(Table41[[#This Row],[CODE]]=18, Table41[ [#This Row],[Account Deposit Amount] ]-Table41[ [#This Row],[Account Withdrawl Amount] ], )</f>
        <v>#VALUE!</v>
      </c>
    </row>
    <row r="76" spans="21:22" ht="12.6" thickBot="1">
      <c r="U76" s="17" t="e">
        <f>IF(Table41[[#This Row],[CODE]]=17, Table41[ [#This Row],[Account Deposit Amount] ]-Table41[ [#This Row],[Account Withdrawl Amount] ], )</f>
        <v>#VALUE!</v>
      </c>
      <c r="V76" s="19" t="e">
        <f>IF(Table41[[#This Row],[CODE]]=18, Table41[ [#This Row],[Account Deposit Amount] ]-Table41[ [#This Row],[Account Withdrawl Amount] ], )</f>
        <v>#VALUE!</v>
      </c>
    </row>
    <row r="77" spans="21:22" ht="12.6" thickBot="1">
      <c r="U77" s="17" t="e">
        <f>IF(Table41[[#This Row],[CODE]]=17, Table41[ [#This Row],[Account Deposit Amount] ]-Table41[ [#This Row],[Account Withdrawl Amount] ], )</f>
        <v>#VALUE!</v>
      </c>
      <c r="V77" s="19" t="e">
        <f>IF(Table41[[#This Row],[CODE]]=18, Table41[ [#This Row],[Account Deposit Amount] ]-Table41[ [#This Row],[Account Withdrawl Amount] ], )</f>
        <v>#VALUE!</v>
      </c>
    </row>
    <row r="78" spans="21:22" ht="12.6" thickBot="1">
      <c r="U78" s="17" t="e">
        <f>IF(Table41[[#This Row],[CODE]]=17, Table41[ [#This Row],[Account Deposit Amount] ]-Table41[ [#This Row],[Account Withdrawl Amount] ], )</f>
        <v>#VALUE!</v>
      </c>
      <c r="V78" s="19" t="e">
        <f>IF(Table41[[#This Row],[CODE]]=18, Table41[ [#This Row],[Account Deposit Amount] ]-Table41[ [#This Row],[Account Withdrawl Amount] ], )</f>
        <v>#VALUE!</v>
      </c>
    </row>
    <row r="79" spans="21:22" ht="12.6" thickBot="1">
      <c r="U79" s="17" t="e">
        <f>IF(Table41[[#This Row],[CODE]]=17, Table41[ [#This Row],[Account Deposit Amount] ]-Table41[ [#This Row],[Account Withdrawl Amount] ], )</f>
        <v>#VALUE!</v>
      </c>
      <c r="V79" s="19" t="e">
        <f>IF(Table41[[#This Row],[CODE]]=18, Table41[ [#This Row],[Account Deposit Amount] ]-Table41[ [#This Row],[Account Withdrawl Amount] ], )</f>
        <v>#VALUE!</v>
      </c>
    </row>
    <row r="80" spans="21:22" ht="12.6" thickBot="1">
      <c r="U80" s="17" t="e">
        <f>IF(Table41[[#This Row],[CODE]]=17, Table41[ [#This Row],[Account Deposit Amount] ]-Table41[ [#This Row],[Account Withdrawl Amount] ], )</f>
        <v>#VALUE!</v>
      </c>
      <c r="V80" s="19" t="e">
        <f>IF(Table41[[#This Row],[CODE]]=18, Table41[ [#This Row],[Account Deposit Amount] ]-Table41[ [#This Row],[Account Withdrawl Amount] ], )</f>
        <v>#VALUE!</v>
      </c>
    </row>
    <row r="81" spans="21:22" ht="12.6" thickBot="1">
      <c r="U81" s="17" t="e">
        <f>IF(Table41[[#This Row],[CODE]]=17, Table41[ [#This Row],[Account Deposit Amount] ]-Table41[ [#This Row],[Account Withdrawl Amount] ], )</f>
        <v>#VALUE!</v>
      </c>
      <c r="V81" s="19" t="e">
        <f>IF(Table41[[#This Row],[CODE]]=18, Table41[ [#This Row],[Account Deposit Amount] ]-Table41[ [#This Row],[Account Withdrawl Amount] ], )</f>
        <v>#VALUE!</v>
      </c>
    </row>
    <row r="82" spans="21:22" ht="12.6" thickBot="1">
      <c r="U82" s="17" t="e">
        <f>IF(Table41[[#This Row],[CODE]]=17, Table41[ [#This Row],[Account Deposit Amount] ]-Table41[ [#This Row],[Account Withdrawl Amount] ], )</f>
        <v>#VALUE!</v>
      </c>
      <c r="V82" s="19" t="e">
        <f>IF(Table41[[#This Row],[CODE]]=18, Table41[ [#This Row],[Account Deposit Amount] ]-Table41[ [#This Row],[Account Withdrawl Amount] ], )</f>
        <v>#VALUE!</v>
      </c>
    </row>
    <row r="83" spans="21:22" ht="12.6" thickBot="1">
      <c r="U83" s="17" t="e">
        <f>IF(Table41[[#This Row],[CODE]]=17, Table41[ [#This Row],[Account Deposit Amount] ]-Table41[ [#This Row],[Account Withdrawl Amount] ], )</f>
        <v>#VALUE!</v>
      </c>
      <c r="V83" s="19" t="e">
        <f>IF(Table41[[#This Row],[CODE]]=18, Table41[ [#This Row],[Account Deposit Amount] ]-Table41[ [#This Row],[Account Withdrawl Amount] ], )</f>
        <v>#VALUE!</v>
      </c>
    </row>
    <row r="84" spans="21:22" ht="12.6" thickBot="1">
      <c r="U84" s="17" t="e">
        <f>IF(Table41[[#This Row],[CODE]]=17, Table41[ [#This Row],[Account Deposit Amount] ]-Table41[ [#This Row],[Account Withdrawl Amount] ], )</f>
        <v>#VALUE!</v>
      </c>
      <c r="V84" s="19" t="e">
        <f>IF(Table41[[#This Row],[CODE]]=18, Table41[ [#This Row],[Account Deposit Amount] ]-Table41[ [#This Row],[Account Withdrawl Amount] ], )</f>
        <v>#VALUE!</v>
      </c>
    </row>
    <row r="85" spans="21:22" ht="12.6" thickBot="1">
      <c r="U85" s="17" t="e">
        <f>IF(Table41[[#This Row],[CODE]]=17, Table41[ [#This Row],[Account Deposit Amount] ]-Table41[ [#This Row],[Account Withdrawl Amount] ], )</f>
        <v>#VALUE!</v>
      </c>
      <c r="V85" s="19" t="e">
        <f>IF(Table41[[#This Row],[CODE]]=18, Table41[ [#This Row],[Account Deposit Amount] ]-Table41[ [#This Row],[Account Withdrawl Amount] ], )</f>
        <v>#VALUE!</v>
      </c>
    </row>
    <row r="86" spans="21:22" ht="12.6" thickBot="1">
      <c r="U86" s="17" t="e">
        <f>IF(Table41[[#This Row],[CODE]]=17, Table41[ [#This Row],[Account Deposit Amount] ]-Table41[ [#This Row],[Account Withdrawl Amount] ], )</f>
        <v>#VALUE!</v>
      </c>
      <c r="V86" s="19" t="e">
        <f>IF(Table41[[#This Row],[CODE]]=18, Table41[ [#This Row],[Account Deposit Amount] ]-Table41[ [#This Row],[Account Withdrawl Amount] ], )</f>
        <v>#VALUE!</v>
      </c>
    </row>
    <row r="87" spans="21:22" ht="12.6" thickBot="1">
      <c r="U87" s="17" t="e">
        <f>IF(Table41[[#This Row],[CODE]]=17, Table41[ [#This Row],[Account Deposit Amount] ]-Table41[ [#This Row],[Account Withdrawl Amount] ], )</f>
        <v>#VALUE!</v>
      </c>
      <c r="V87" s="19" t="e">
        <f>IF(Table41[[#This Row],[CODE]]=18, Table41[ [#This Row],[Account Deposit Amount] ]-Table41[ [#This Row],[Account Withdrawl Amount] ], )</f>
        <v>#VALUE!</v>
      </c>
    </row>
    <row r="88" spans="21:22" ht="12.6" thickBot="1">
      <c r="U88" s="17" t="e">
        <f>IF(Table41[[#This Row],[CODE]]=17, Table41[ [#This Row],[Account Deposit Amount] ]-Table41[ [#This Row],[Account Withdrawl Amount] ], )</f>
        <v>#VALUE!</v>
      </c>
      <c r="V88" s="19" t="e">
        <f>IF(Table41[[#This Row],[CODE]]=18, Table41[ [#This Row],[Account Deposit Amount] ]-Table41[ [#This Row],[Account Withdrawl Amount] ], )</f>
        <v>#VALUE!</v>
      </c>
    </row>
    <row r="89" spans="21:22" ht="12.6" thickBot="1">
      <c r="U89" s="17" t="e">
        <f>IF(Table41[[#This Row],[CODE]]=17, Table41[ [#This Row],[Account Deposit Amount] ]-Table41[ [#This Row],[Account Withdrawl Amount] ], )</f>
        <v>#VALUE!</v>
      </c>
      <c r="V89" s="19" t="e">
        <f>IF(Table41[[#This Row],[CODE]]=18, Table41[ [#This Row],[Account Deposit Amount] ]-Table41[ [#This Row],[Account Withdrawl Amount] ], )</f>
        <v>#VALUE!</v>
      </c>
    </row>
    <row r="90" spans="21:22" ht="12.6" thickBot="1">
      <c r="U90" s="17" t="e">
        <f>IF(Table41[[#This Row],[CODE]]=17, Table41[ [#This Row],[Account Deposit Amount] ]-Table41[ [#This Row],[Account Withdrawl Amount] ], )</f>
        <v>#VALUE!</v>
      </c>
      <c r="V90" s="19" t="e">
        <f>IF(Table41[[#This Row],[CODE]]=18, Table41[ [#This Row],[Account Deposit Amount] ]-Table41[ [#This Row],[Account Withdrawl Amount] ], )</f>
        <v>#VALUE!</v>
      </c>
    </row>
    <row r="91" spans="21:22" ht="12.6" thickBot="1">
      <c r="U91" s="17" t="e">
        <f>IF(Table41[[#This Row],[CODE]]=17, Table41[ [#This Row],[Account Deposit Amount] ]-Table41[ [#This Row],[Account Withdrawl Amount] ], )</f>
        <v>#VALUE!</v>
      </c>
      <c r="V91" s="19" t="e">
        <f>IF(Table41[[#This Row],[CODE]]=18, Table41[ [#This Row],[Account Deposit Amount] ]-Table41[ [#This Row],[Account Withdrawl Amount] ], )</f>
        <v>#VALUE!</v>
      </c>
    </row>
    <row r="92" spans="21:22" ht="12.6" thickBot="1">
      <c r="U92" s="17" t="e">
        <f>IF(Table41[[#This Row],[CODE]]=17, Table41[ [#This Row],[Account Deposit Amount] ]-Table41[ [#This Row],[Account Withdrawl Amount] ], )</f>
        <v>#VALUE!</v>
      </c>
      <c r="V92" s="19" t="e">
        <f>IF(Table41[[#This Row],[CODE]]=18, Table41[ [#This Row],[Account Deposit Amount] ]-Table41[ [#This Row],[Account Withdrawl Amount] ], )</f>
        <v>#VALUE!</v>
      </c>
    </row>
    <row r="93" spans="21:22" ht="12.6" thickBot="1">
      <c r="U93" s="17" t="e">
        <f>IF(Table41[[#This Row],[CODE]]=17, Table41[ [#This Row],[Account Deposit Amount] ]-Table41[ [#This Row],[Account Withdrawl Amount] ], )</f>
        <v>#VALUE!</v>
      </c>
      <c r="V93" s="19" t="e">
        <f>IF(Table41[[#This Row],[CODE]]=18, Table41[ [#This Row],[Account Deposit Amount] ]-Table41[ [#This Row],[Account Withdrawl Amount] ], )</f>
        <v>#VALUE!</v>
      </c>
    </row>
    <row r="94" spans="21:22" ht="12.6" thickBot="1">
      <c r="U94" s="17" t="e">
        <f>IF(Table41[[#This Row],[CODE]]=17, Table41[ [#This Row],[Account Deposit Amount] ]-Table41[ [#This Row],[Account Withdrawl Amount] ], )</f>
        <v>#VALUE!</v>
      </c>
      <c r="V94" s="19" t="e">
        <f>IF(Table41[[#This Row],[CODE]]=18, Table41[ [#This Row],[Account Deposit Amount] ]-Table41[ [#This Row],[Account Withdrawl Amount] ], )</f>
        <v>#VALUE!</v>
      </c>
    </row>
    <row r="95" spans="21:22" ht="12.6" thickBot="1">
      <c r="U95" s="17" t="e">
        <f>IF(Table41[[#This Row],[CODE]]=17, Table41[ [#This Row],[Account Deposit Amount] ]-Table41[ [#This Row],[Account Withdrawl Amount] ], )</f>
        <v>#VALUE!</v>
      </c>
      <c r="V95" s="19" t="e">
        <f>IF(Table41[[#This Row],[CODE]]=18, Table41[ [#This Row],[Account Deposit Amount] ]-Table41[ [#This Row],[Account Withdrawl Amount] ], )</f>
        <v>#VALUE!</v>
      </c>
    </row>
    <row r="96" spans="21:22" ht="12.6" thickBot="1">
      <c r="U96" s="17" t="e">
        <f>IF(Table41[[#This Row],[CODE]]=17, Table41[ [#This Row],[Account Deposit Amount] ]-Table41[ [#This Row],[Account Withdrawl Amount] ], )</f>
        <v>#VALUE!</v>
      </c>
      <c r="V96" s="19" t="e">
        <f>IF(Table41[[#This Row],[CODE]]=18, Table41[ [#This Row],[Account Deposit Amount] ]-Table41[ [#This Row],[Account Withdrawl Amount] ], )</f>
        <v>#VALUE!</v>
      </c>
    </row>
    <row r="97" spans="21:22" ht="12.6" thickBot="1">
      <c r="U97" s="17" t="e">
        <f>IF(Table41[[#This Row],[CODE]]=17, Table41[ [#This Row],[Account Deposit Amount] ]-Table41[ [#This Row],[Account Withdrawl Amount] ], )</f>
        <v>#VALUE!</v>
      </c>
      <c r="V97" s="19" t="e">
        <f>IF(Table41[[#This Row],[CODE]]=18, Table41[ [#This Row],[Account Deposit Amount] ]-Table41[ [#This Row],[Account Withdrawl Amount] ], )</f>
        <v>#VALUE!</v>
      </c>
    </row>
    <row r="98" spans="21:22" ht="12.6" thickBot="1">
      <c r="U98" s="17" t="e">
        <f>IF(Table41[[#This Row],[CODE]]=17, Table41[ [#This Row],[Account Deposit Amount] ]-Table41[ [#This Row],[Account Withdrawl Amount] ], )</f>
        <v>#VALUE!</v>
      </c>
      <c r="V98" s="19" t="e">
        <f>IF(Table41[[#This Row],[CODE]]=18, Table41[ [#This Row],[Account Deposit Amount] ]-Table41[ [#This Row],[Account Withdrawl Amount] ], )</f>
        <v>#VALUE!</v>
      </c>
    </row>
    <row r="99" spans="21:22" ht="12.6" thickBot="1">
      <c r="U99" s="17" t="e">
        <f>IF(Table41[[#This Row],[CODE]]=17, Table41[ [#This Row],[Account Deposit Amount] ]-Table41[ [#This Row],[Account Withdrawl Amount] ], )</f>
        <v>#VALUE!</v>
      </c>
      <c r="V99" s="19" t="e">
        <f>IF(Table41[[#This Row],[CODE]]=18, Table41[ [#This Row],[Account Deposit Amount] ]-Table41[ [#This Row],[Account Withdrawl Amount] ], )</f>
        <v>#VALUE!</v>
      </c>
    </row>
    <row r="100" spans="21:22" ht="12.6" thickBot="1">
      <c r="U100" s="17" t="e">
        <f>IF(Table41[[#This Row],[CODE]]=17, Table41[ [#This Row],[Account Deposit Amount] ]-Table41[ [#This Row],[Account Withdrawl Amount] ], )</f>
        <v>#VALUE!</v>
      </c>
      <c r="V100" s="19" t="e">
        <f>IF(Table41[[#This Row],[CODE]]=18, Table41[ [#This Row],[Account Deposit Amount] ]-Table41[ [#This Row],[Account Withdrawl Amount] ], )</f>
        <v>#VALUE!</v>
      </c>
    </row>
    <row r="101" spans="21:22" ht="12.6" thickBot="1">
      <c r="U101" s="17" t="e">
        <f>IF(Table41[[#This Row],[CODE]]=17, Table41[ [#This Row],[Account Deposit Amount] ]-Table41[ [#This Row],[Account Withdrawl Amount] ], )</f>
        <v>#VALUE!</v>
      </c>
      <c r="V101" s="19" t="e">
        <f>IF(Table41[[#This Row],[CODE]]=18, Table41[ [#This Row],[Account Deposit Amount] ]-Table41[ [#This Row],[Account Withdrawl Amount] ], )</f>
        <v>#VALUE!</v>
      </c>
    </row>
    <row r="102" spans="21:22" ht="12.6" thickBot="1">
      <c r="U102" s="17" t="e">
        <f>IF(Table41[[#This Row],[CODE]]=17, Table41[ [#This Row],[Account Deposit Amount] ]-Table41[ [#This Row],[Account Withdrawl Amount] ], )</f>
        <v>#VALUE!</v>
      </c>
      <c r="V102" s="19" t="e">
        <f>IF(Table41[[#This Row],[CODE]]=18, Table41[ [#This Row],[Account Deposit Amount] ]-Table41[ [#This Row],[Account Withdrawl Amount] ], )</f>
        <v>#VALUE!</v>
      </c>
    </row>
    <row r="103" spans="21:22" ht="12.6" thickBot="1">
      <c r="U103" s="17" t="e">
        <f>IF(Table41[[#This Row],[CODE]]=17, Table41[ [#This Row],[Account Deposit Amount] ]-Table41[ [#This Row],[Account Withdrawl Amount] ], )</f>
        <v>#VALUE!</v>
      </c>
      <c r="V103" s="19" t="e">
        <f>IF(Table41[[#This Row],[CODE]]=18, Table41[ [#This Row],[Account Deposit Amount] ]-Table41[ [#This Row],[Account Withdrawl Amount] ], )</f>
        <v>#VALUE!</v>
      </c>
    </row>
    <row r="104" spans="21:22" ht="12.6" thickBot="1">
      <c r="U104" s="17" t="e">
        <f>IF(Table41[[#This Row],[CODE]]=17, Table41[ [#This Row],[Account Deposit Amount] ]-Table41[ [#This Row],[Account Withdrawl Amount] ], )</f>
        <v>#VALUE!</v>
      </c>
      <c r="V104" s="19" t="e">
        <f>IF(Table41[[#This Row],[CODE]]=18, Table41[ [#This Row],[Account Deposit Amount] ]-Table41[ [#This Row],[Account Withdrawl Amount] ], )</f>
        <v>#VALUE!</v>
      </c>
    </row>
    <row r="105" spans="21:22" ht="12.6" thickBot="1">
      <c r="U105" s="17" t="e">
        <f>IF(Table41[[#This Row],[CODE]]=17, Table41[ [#This Row],[Account Deposit Amount] ]-Table41[ [#This Row],[Account Withdrawl Amount] ], )</f>
        <v>#VALUE!</v>
      </c>
      <c r="V105" s="19" t="e">
        <f>IF(Table41[[#This Row],[CODE]]=18, Table41[ [#This Row],[Account Deposit Amount] ]-Table41[ [#This Row],[Account Withdrawl Amount] ], )</f>
        <v>#VALUE!</v>
      </c>
    </row>
    <row r="106" spans="21:22" ht="12.6" thickBot="1">
      <c r="U106" s="17" t="e">
        <f>IF(Table41[[#This Row],[CODE]]=17, Table41[ [#This Row],[Account Deposit Amount] ]-Table41[ [#This Row],[Account Withdrawl Amount] ], )</f>
        <v>#VALUE!</v>
      </c>
      <c r="V106" s="19" t="e">
        <f>IF(Table41[[#This Row],[CODE]]=18, Table41[ [#This Row],[Account Deposit Amount] ]-Table41[ [#This Row],[Account Withdrawl Amount] ], )</f>
        <v>#VALUE!</v>
      </c>
    </row>
    <row r="107" spans="21:22" ht="12.6" thickBot="1">
      <c r="U107" s="17" t="e">
        <f>IF(Table41[[#This Row],[CODE]]=17, Table41[ [#This Row],[Account Deposit Amount] ]-Table41[ [#This Row],[Account Withdrawl Amount] ], )</f>
        <v>#VALUE!</v>
      </c>
      <c r="V107" s="19" t="e">
        <f>IF(Table41[[#This Row],[CODE]]=18, Table41[ [#This Row],[Account Deposit Amount] ]-Table41[ [#This Row],[Account Withdrawl Amount] ], )</f>
        <v>#VALUE!</v>
      </c>
    </row>
    <row r="108" spans="21:22" ht="12.6" thickBot="1">
      <c r="U108" s="17" t="e">
        <f>IF(Table41[[#This Row],[CODE]]=17, Table41[ [#This Row],[Account Deposit Amount] ]-Table41[ [#This Row],[Account Withdrawl Amount] ], )</f>
        <v>#VALUE!</v>
      </c>
      <c r="V108" s="19" t="e">
        <f>IF(Table41[[#This Row],[CODE]]=18, Table41[ [#This Row],[Account Deposit Amount] ]-Table41[ [#This Row],[Account Withdrawl Amount] ], )</f>
        <v>#VALUE!</v>
      </c>
    </row>
    <row r="109" spans="21:22" ht="12.6" thickBot="1">
      <c r="U109" s="17" t="e">
        <f>IF(Table41[[#This Row],[CODE]]=17, Table41[ [#This Row],[Account Deposit Amount] ]-Table41[ [#This Row],[Account Withdrawl Amount] ], )</f>
        <v>#VALUE!</v>
      </c>
      <c r="V109" s="19" t="e">
        <f>IF(Table41[[#This Row],[CODE]]=18, Table41[ [#This Row],[Account Deposit Amount] ]-Table41[ [#This Row],[Account Withdrawl Amount] ], )</f>
        <v>#VALUE!</v>
      </c>
    </row>
    <row r="110" spans="21:22" ht="12.6" thickBot="1">
      <c r="U110" s="17" t="e">
        <f>IF(Table41[[#This Row],[CODE]]=17, Table41[ [#This Row],[Account Deposit Amount] ]-Table41[ [#This Row],[Account Withdrawl Amount] ], )</f>
        <v>#VALUE!</v>
      </c>
      <c r="V110" s="19" t="e">
        <f>IF(Table41[[#This Row],[CODE]]=18, Table41[ [#This Row],[Account Deposit Amount] ]-Table41[ [#This Row],[Account Withdrawl Amount] ], )</f>
        <v>#VALUE!</v>
      </c>
    </row>
    <row r="111" spans="21:22" ht="12.6" thickBot="1">
      <c r="U111" s="17" t="e">
        <f>IF(Table41[[#This Row],[CODE]]=17, Table41[ [#This Row],[Account Deposit Amount] ]-Table41[ [#This Row],[Account Withdrawl Amount] ], )</f>
        <v>#VALUE!</v>
      </c>
      <c r="V111" s="19" t="e">
        <f>IF(Table41[[#This Row],[CODE]]=18, Table41[ [#This Row],[Account Deposit Amount] ]-Table41[ [#This Row],[Account Withdrawl Amount] ], )</f>
        <v>#VALUE!</v>
      </c>
    </row>
    <row r="112" spans="21:22" ht="12.6" thickBot="1">
      <c r="U112" s="17" t="e">
        <f>IF(Table41[[#This Row],[CODE]]=17, Table41[ [#This Row],[Account Deposit Amount] ]-Table41[ [#This Row],[Account Withdrawl Amount] ], )</f>
        <v>#VALUE!</v>
      </c>
      <c r="V112" s="19" t="e">
        <f>IF(Table41[[#This Row],[CODE]]=18, Table41[ [#This Row],[Account Deposit Amount] ]-Table41[ [#This Row],[Account Withdrawl Amount] ], )</f>
        <v>#VALUE!</v>
      </c>
    </row>
    <row r="113" spans="21:22" ht="12.6" thickBot="1">
      <c r="U113" s="17" t="e">
        <f>IF(Table41[[#This Row],[CODE]]=17, Table41[ [#This Row],[Account Deposit Amount] ]-Table41[ [#This Row],[Account Withdrawl Amount] ], )</f>
        <v>#VALUE!</v>
      </c>
      <c r="V113" s="19" t="e">
        <f>IF(Table41[[#This Row],[CODE]]=18, Table41[ [#This Row],[Account Deposit Amount] ]-Table41[ [#This Row],[Account Withdrawl Amount] ], )</f>
        <v>#VALUE!</v>
      </c>
    </row>
    <row r="114" spans="21:22" ht="12.6" thickBot="1">
      <c r="U114" s="17" t="e">
        <f>IF(Table41[[#This Row],[CODE]]=17, Table41[ [#This Row],[Account Deposit Amount] ]-Table41[ [#This Row],[Account Withdrawl Amount] ], )</f>
        <v>#VALUE!</v>
      </c>
      <c r="V114" s="19" t="e">
        <f>IF(Table41[[#This Row],[CODE]]=18, Table41[ [#This Row],[Account Deposit Amount] ]-Table41[ [#This Row],[Account Withdrawl Amount] ], )</f>
        <v>#VALUE!</v>
      </c>
    </row>
    <row r="115" spans="21:22" ht="12.6" thickBot="1">
      <c r="U115" s="17" t="e">
        <f>IF(Table41[[#This Row],[CODE]]=17, Table41[ [#This Row],[Account Deposit Amount] ]-Table41[ [#This Row],[Account Withdrawl Amount] ], )</f>
        <v>#VALUE!</v>
      </c>
      <c r="V115" s="19" t="e">
        <f>IF(Table41[[#This Row],[CODE]]=18, Table41[ [#This Row],[Account Deposit Amount] ]-Table41[ [#This Row],[Account Withdrawl Amount] ], )</f>
        <v>#VALUE!</v>
      </c>
    </row>
    <row r="116" spans="21:22" ht="12.6" thickBot="1">
      <c r="U116" s="17" t="e">
        <f>IF(Table41[[#This Row],[CODE]]=17, Table41[ [#This Row],[Account Deposit Amount] ]-Table41[ [#This Row],[Account Withdrawl Amount] ], )</f>
        <v>#VALUE!</v>
      </c>
      <c r="V116" s="19" t="e">
        <f>IF(Table41[[#This Row],[CODE]]=18, Table41[ [#This Row],[Account Deposit Amount] ]-Table41[ [#This Row],[Account Withdrawl Amount] ], )</f>
        <v>#VALUE!</v>
      </c>
    </row>
    <row r="117" spans="21:22" ht="12.6" thickBot="1">
      <c r="U117" s="17" t="e">
        <f>IF(Table41[[#This Row],[CODE]]=17, Table41[ [#This Row],[Account Deposit Amount] ]-Table41[ [#This Row],[Account Withdrawl Amount] ], )</f>
        <v>#VALUE!</v>
      </c>
      <c r="V117" s="19" t="e">
        <f>IF(Table41[[#This Row],[CODE]]=18, Table41[ [#This Row],[Account Deposit Amount] ]-Table41[ [#This Row],[Account Withdrawl Amount] ], )</f>
        <v>#VALUE!</v>
      </c>
    </row>
    <row r="118" spans="21:22" ht="12.6" thickBot="1">
      <c r="U118" s="17" t="e">
        <f>IF(Table41[[#This Row],[CODE]]=17, Table41[ [#This Row],[Account Deposit Amount] ]-Table41[ [#This Row],[Account Withdrawl Amount] ], )</f>
        <v>#VALUE!</v>
      </c>
      <c r="V118" s="19" t="e">
        <f>IF(Table41[[#This Row],[CODE]]=18, Table41[ [#This Row],[Account Deposit Amount] ]-Table41[ [#This Row],[Account Withdrawl Amount] ], )</f>
        <v>#VALUE!</v>
      </c>
    </row>
    <row r="119" spans="21:22" ht="12.6" thickBot="1">
      <c r="U119" s="17" t="e">
        <f>IF(Table41[[#This Row],[CODE]]=17, Table41[ [#This Row],[Account Deposit Amount] ]-Table41[ [#This Row],[Account Withdrawl Amount] ], )</f>
        <v>#VALUE!</v>
      </c>
      <c r="V119" s="19" t="e">
        <f>IF(Table41[[#This Row],[CODE]]=18, Table41[ [#This Row],[Account Deposit Amount] ]-Table41[ [#This Row],[Account Withdrawl Amount] ], )</f>
        <v>#VALUE!</v>
      </c>
    </row>
    <row r="120" spans="21:22" ht="12.6" thickBot="1">
      <c r="U120" s="17" t="e">
        <f>IF(Table41[[#This Row],[CODE]]=17, Table41[ [#This Row],[Account Deposit Amount] ]-Table41[ [#This Row],[Account Withdrawl Amount] ], )</f>
        <v>#VALUE!</v>
      </c>
      <c r="V120" s="19" t="e">
        <f>IF(Table41[[#This Row],[CODE]]=18, Table41[ [#This Row],[Account Deposit Amount] ]-Table41[ [#This Row],[Account Withdrawl Amount] ], )</f>
        <v>#VALUE!</v>
      </c>
    </row>
    <row r="121" spans="21:22" ht="12.6" thickBot="1">
      <c r="U121" s="17" t="e">
        <f>IF(Table41[[#This Row],[CODE]]=17, Table41[ [#This Row],[Account Deposit Amount] ]-Table41[ [#This Row],[Account Withdrawl Amount] ], )</f>
        <v>#VALUE!</v>
      </c>
      <c r="V121" s="19" t="e">
        <f>IF(Table41[[#This Row],[CODE]]=18, Table41[ [#This Row],[Account Deposit Amount] ]-Table41[ [#This Row],[Account Withdrawl Amount] ], )</f>
        <v>#VALUE!</v>
      </c>
    </row>
    <row r="122" spans="21:22" ht="12.6" thickBot="1">
      <c r="U122" s="17" t="e">
        <f>IF(Table41[[#This Row],[CODE]]=17, Table41[ [#This Row],[Account Deposit Amount] ]-Table41[ [#This Row],[Account Withdrawl Amount] ], )</f>
        <v>#VALUE!</v>
      </c>
      <c r="V122" s="19" t="e">
        <f>IF(Table41[[#This Row],[CODE]]=18, Table41[ [#This Row],[Account Deposit Amount] ]-Table41[ [#This Row],[Account Withdrawl Amount] ], )</f>
        <v>#VALUE!</v>
      </c>
    </row>
    <row r="123" spans="21:22" ht="12.6" thickBot="1">
      <c r="U123" s="17" t="e">
        <f>IF(Table41[[#This Row],[CODE]]=17, Table41[ [#This Row],[Account Deposit Amount] ]-Table41[ [#This Row],[Account Withdrawl Amount] ], )</f>
        <v>#VALUE!</v>
      </c>
      <c r="V123" s="19" t="e">
        <f>IF(Table41[[#This Row],[CODE]]=18, Table41[ [#This Row],[Account Deposit Amount] ]-Table41[ [#This Row],[Account Withdrawl Amount] ], )</f>
        <v>#VALUE!</v>
      </c>
    </row>
    <row r="124" spans="21:22" ht="12.6" thickBot="1">
      <c r="U124" s="17" t="e">
        <f>IF(Table41[[#This Row],[CODE]]=17, Table41[ [#This Row],[Account Deposit Amount] ]-Table41[ [#This Row],[Account Withdrawl Amount] ], )</f>
        <v>#VALUE!</v>
      </c>
      <c r="V124" s="19" t="e">
        <f>IF(Table41[[#This Row],[CODE]]=18, Table41[ [#This Row],[Account Deposit Amount] ]-Table41[ [#This Row],[Account Withdrawl Amount] ], )</f>
        <v>#VALUE!</v>
      </c>
    </row>
    <row r="125" spans="21:22" ht="12.6" thickBot="1">
      <c r="U125" s="17" t="e">
        <f>IF(Table41[[#This Row],[CODE]]=17, Table41[ [#This Row],[Account Deposit Amount] ]-Table41[ [#This Row],[Account Withdrawl Amount] ], )</f>
        <v>#VALUE!</v>
      </c>
      <c r="V125" s="19" t="e">
        <f>IF(Table41[[#This Row],[CODE]]=18, Table41[ [#This Row],[Account Deposit Amount] ]-Table41[ [#This Row],[Account Withdrawl Amount] ], )</f>
        <v>#VALUE!</v>
      </c>
    </row>
    <row r="126" spans="21:22" ht="12.6" thickBot="1">
      <c r="U126" s="17" t="e">
        <f>IF(Table41[[#This Row],[CODE]]=17, Table41[ [#This Row],[Account Deposit Amount] ]-Table41[ [#This Row],[Account Withdrawl Amount] ], )</f>
        <v>#VALUE!</v>
      </c>
      <c r="V126" s="19" t="e">
        <f>IF(Table41[[#This Row],[CODE]]=18, Table41[ [#This Row],[Account Deposit Amount] ]-Table41[ [#This Row],[Account Withdrawl Amount] ], )</f>
        <v>#VALUE!</v>
      </c>
    </row>
    <row r="127" spans="21:22" ht="12.6" thickBot="1">
      <c r="U127" s="17" t="e">
        <f>IF(Table41[[#This Row],[CODE]]=17, Table41[ [#This Row],[Account Deposit Amount] ]-Table41[ [#This Row],[Account Withdrawl Amount] ], )</f>
        <v>#VALUE!</v>
      </c>
      <c r="V127" s="19" t="e">
        <f>IF(Table41[[#This Row],[CODE]]=18, Table41[ [#This Row],[Account Deposit Amount] ]-Table41[ [#This Row],[Account Withdrawl Amount] ], )</f>
        <v>#VALUE!</v>
      </c>
    </row>
    <row r="128" spans="21:22" ht="12.6" thickBot="1">
      <c r="U128" s="17" t="e">
        <f>IF(Table41[[#This Row],[CODE]]=17, Table41[ [#This Row],[Account Deposit Amount] ]-Table41[ [#This Row],[Account Withdrawl Amount] ], )</f>
        <v>#VALUE!</v>
      </c>
      <c r="V128" s="19" t="e">
        <f>IF(Table41[[#This Row],[CODE]]=18, Table41[ [#This Row],[Account Deposit Amount] ]-Table41[ [#This Row],[Account Withdrawl Amount] ], )</f>
        <v>#VALUE!</v>
      </c>
    </row>
    <row r="129" spans="21:22" ht="12.6" thickBot="1">
      <c r="U129" s="17" t="e">
        <f>IF(Table41[[#This Row],[CODE]]=17, Table41[ [#This Row],[Account Deposit Amount] ]-Table41[ [#This Row],[Account Withdrawl Amount] ], )</f>
        <v>#VALUE!</v>
      </c>
      <c r="V129" s="19" t="e">
        <f>IF(Table41[[#This Row],[CODE]]=18, Table41[ [#This Row],[Account Deposit Amount] ]-Table41[ [#This Row],[Account Withdrawl Amount] ], )</f>
        <v>#VALUE!</v>
      </c>
    </row>
    <row r="130" spans="21:22" ht="12.6" thickBot="1">
      <c r="U130" s="17" t="e">
        <f>IF(Table41[[#This Row],[CODE]]=17, Table41[ [#This Row],[Account Deposit Amount] ]-Table41[ [#This Row],[Account Withdrawl Amount] ], )</f>
        <v>#VALUE!</v>
      </c>
      <c r="V130" s="19" t="e">
        <f>IF(Table41[[#This Row],[CODE]]=18, Table41[ [#This Row],[Account Deposit Amount] ]-Table41[ [#This Row],[Account Withdrawl Amount] ], )</f>
        <v>#VALUE!</v>
      </c>
    </row>
    <row r="131" spans="21:22" ht="12.6" thickBot="1">
      <c r="U131" s="17" t="e">
        <f>IF(Table41[[#This Row],[CODE]]=17, Table41[ [#This Row],[Account Deposit Amount] ]-Table41[ [#This Row],[Account Withdrawl Amount] ], )</f>
        <v>#VALUE!</v>
      </c>
      <c r="V131" s="19" t="e">
        <f>IF(Table41[[#This Row],[CODE]]=18, Table41[ [#This Row],[Account Deposit Amount] ]-Table41[ [#This Row],[Account Withdrawl Amount] ], )</f>
        <v>#VALUE!</v>
      </c>
    </row>
    <row r="132" spans="21:22" ht="12.6" thickBot="1">
      <c r="U132" s="17" t="e">
        <f>IF(Table41[[#This Row],[CODE]]=17, Table41[ [#This Row],[Account Deposit Amount] ]-Table41[ [#This Row],[Account Withdrawl Amount] ], )</f>
        <v>#VALUE!</v>
      </c>
      <c r="V132" s="19" t="e">
        <f>IF(Table41[[#This Row],[CODE]]=18, Table41[ [#This Row],[Account Deposit Amount] ]-Table41[ [#This Row],[Account Withdrawl Amount] ], )</f>
        <v>#VALUE!</v>
      </c>
    </row>
    <row r="133" spans="21:22" ht="12.6" thickBot="1">
      <c r="U133" s="17" t="e">
        <f>IF(Table41[[#This Row],[CODE]]=17, Table41[ [#This Row],[Account Deposit Amount] ]-Table41[ [#This Row],[Account Withdrawl Amount] ], )</f>
        <v>#VALUE!</v>
      </c>
      <c r="V133" s="19" t="e">
        <f>IF(Table41[[#This Row],[CODE]]=18, Table41[ [#This Row],[Account Deposit Amount] ]-Table41[ [#This Row],[Account Withdrawl Amount] ], )</f>
        <v>#VALUE!</v>
      </c>
    </row>
    <row r="134" spans="21:22" ht="12.6" thickBot="1">
      <c r="U134" s="17" t="e">
        <f>IF(Table41[[#This Row],[CODE]]=17, Table41[ [#This Row],[Account Deposit Amount] ]-Table41[ [#This Row],[Account Withdrawl Amount] ], )</f>
        <v>#VALUE!</v>
      </c>
      <c r="V134" s="19" t="e">
        <f>IF(Table41[[#This Row],[CODE]]=18, Table41[ [#This Row],[Account Deposit Amount] ]-Table41[ [#This Row],[Account Withdrawl Amount] ], )</f>
        <v>#VALUE!</v>
      </c>
    </row>
    <row r="135" spans="21:22" ht="12.6" thickBot="1">
      <c r="U135" s="17" t="e">
        <f>IF(Table41[[#This Row],[CODE]]=17, Table41[ [#This Row],[Account Deposit Amount] ]-Table41[ [#This Row],[Account Withdrawl Amount] ], )</f>
        <v>#VALUE!</v>
      </c>
      <c r="V135" s="19" t="e">
        <f>IF(Table41[[#This Row],[CODE]]=18, Table41[ [#This Row],[Account Deposit Amount] ]-Table41[ [#This Row],[Account Withdrawl Amount] ], )</f>
        <v>#VALUE!</v>
      </c>
    </row>
    <row r="136" spans="21:22" ht="12.6" thickBot="1">
      <c r="U136" s="17" t="e">
        <f>IF(Table41[[#This Row],[CODE]]=17, Table41[ [#This Row],[Account Deposit Amount] ]-Table41[ [#This Row],[Account Withdrawl Amount] ], )</f>
        <v>#VALUE!</v>
      </c>
      <c r="V136" s="19" t="e">
        <f>IF(Table41[[#This Row],[CODE]]=18, Table41[ [#This Row],[Account Deposit Amount] ]-Table41[ [#This Row],[Account Withdrawl Amount] ], )</f>
        <v>#VALUE!</v>
      </c>
    </row>
    <row r="137" spans="21:22" ht="12.6" thickBot="1">
      <c r="U137" s="17" t="e">
        <f>IF(Table41[[#This Row],[CODE]]=17, Table41[ [#This Row],[Account Deposit Amount] ]-Table41[ [#This Row],[Account Withdrawl Amount] ], )</f>
        <v>#VALUE!</v>
      </c>
      <c r="V137" s="19" t="e">
        <f>IF(Table41[[#This Row],[CODE]]=18, Table41[ [#This Row],[Account Deposit Amount] ]-Table41[ [#This Row],[Account Withdrawl Amount] ], )</f>
        <v>#VALUE!</v>
      </c>
    </row>
    <row r="138" spans="21:22" ht="12.6" thickBot="1">
      <c r="U138" s="17" t="e">
        <f>IF(Table41[[#This Row],[CODE]]=17, Table41[ [#This Row],[Account Deposit Amount] ]-Table41[ [#This Row],[Account Withdrawl Amount] ], )</f>
        <v>#VALUE!</v>
      </c>
      <c r="V138" s="19" t="e">
        <f>IF(Table41[[#This Row],[CODE]]=18, Table41[ [#This Row],[Account Deposit Amount] ]-Table41[ [#This Row],[Account Withdrawl Amount] ], )</f>
        <v>#VALUE!</v>
      </c>
    </row>
    <row r="139" spans="21:22" ht="12.6" thickBot="1">
      <c r="U139" s="17" t="e">
        <f>IF(Table41[[#This Row],[CODE]]=17, Table41[ [#This Row],[Account Deposit Amount] ]-Table41[ [#This Row],[Account Withdrawl Amount] ], )</f>
        <v>#VALUE!</v>
      </c>
      <c r="V139" s="19" t="e">
        <f>IF(Table41[[#This Row],[CODE]]=18, Table41[ [#This Row],[Account Deposit Amount] ]-Table41[ [#This Row],[Account Withdrawl Amount] ], )</f>
        <v>#VALUE!</v>
      </c>
    </row>
    <row r="140" spans="21:22" ht="12.6" thickBot="1">
      <c r="U140" s="17" t="e">
        <f>IF(Table41[[#This Row],[CODE]]=17, Table41[ [#This Row],[Account Deposit Amount] ]-Table41[ [#This Row],[Account Withdrawl Amount] ], )</f>
        <v>#VALUE!</v>
      </c>
      <c r="V140" s="19" t="e">
        <f>IF(Table41[[#This Row],[CODE]]=18, Table41[ [#This Row],[Account Deposit Amount] ]-Table41[ [#This Row],[Account Withdrawl Amount] ], )</f>
        <v>#VALUE!</v>
      </c>
    </row>
    <row r="141" spans="21:22" ht="12.6" thickBot="1">
      <c r="U141" s="17" t="e">
        <f>IF(Table41[[#This Row],[CODE]]=17, Table41[ [#This Row],[Account Deposit Amount] ]-Table41[ [#This Row],[Account Withdrawl Amount] ], )</f>
        <v>#VALUE!</v>
      </c>
      <c r="V141" s="19" t="e">
        <f>IF(Table41[[#This Row],[CODE]]=18, Table41[ [#This Row],[Account Deposit Amount] ]-Table41[ [#This Row],[Account Withdrawl Amount] ], )</f>
        <v>#VALUE!</v>
      </c>
    </row>
    <row r="142" spans="21:22" ht="12.6" thickBot="1">
      <c r="U142" s="17" t="e">
        <f>IF(Table41[[#This Row],[CODE]]=17, Table41[ [#This Row],[Account Deposit Amount] ]-Table41[ [#This Row],[Account Withdrawl Amount] ], )</f>
        <v>#VALUE!</v>
      </c>
      <c r="V142" s="19" t="e">
        <f>IF(Table41[[#This Row],[CODE]]=18, Table41[ [#This Row],[Account Deposit Amount] ]-Table41[ [#This Row],[Account Withdrawl Amount] ], )</f>
        <v>#VALUE!</v>
      </c>
    </row>
    <row r="143" spans="21:22" ht="12.6" thickBot="1">
      <c r="U143" s="17" t="e">
        <f>IF(Table41[[#This Row],[CODE]]=17, Table41[ [#This Row],[Account Deposit Amount] ]-Table41[ [#This Row],[Account Withdrawl Amount] ], )</f>
        <v>#VALUE!</v>
      </c>
      <c r="V143" s="19" t="e">
        <f>IF(Table41[[#This Row],[CODE]]=18, Table41[ [#This Row],[Account Deposit Amount] ]-Table41[ [#This Row],[Account Withdrawl Amount] ], )</f>
        <v>#VALUE!</v>
      </c>
    </row>
    <row r="144" spans="21:22" ht="12.6" thickBot="1">
      <c r="U144" s="17" t="e">
        <f>IF(Table41[[#This Row],[CODE]]=17, Table41[ [#This Row],[Account Deposit Amount] ]-Table41[ [#This Row],[Account Withdrawl Amount] ], )</f>
        <v>#VALUE!</v>
      </c>
      <c r="V144" s="19" t="e">
        <f>IF(Table41[[#This Row],[CODE]]=18, Table41[ [#This Row],[Account Deposit Amount] ]-Table41[ [#This Row],[Account Withdrawl Amount] ], )</f>
        <v>#VALUE!</v>
      </c>
    </row>
    <row r="145" spans="21:22" ht="12.6" thickBot="1">
      <c r="U145" s="17" t="e">
        <f>IF(Table41[[#This Row],[CODE]]=17, Table41[ [#This Row],[Account Deposit Amount] ]-Table41[ [#This Row],[Account Withdrawl Amount] ], )</f>
        <v>#VALUE!</v>
      </c>
      <c r="V145" s="19" t="e">
        <f>IF(Table41[[#This Row],[CODE]]=18, Table41[ [#This Row],[Account Deposit Amount] ]-Table41[ [#This Row],[Account Withdrawl Amount] ], )</f>
        <v>#VALUE!</v>
      </c>
    </row>
    <row r="146" spans="21:22" ht="12.6" thickBot="1">
      <c r="U146" s="17" t="e">
        <f>IF(Table41[[#This Row],[CODE]]=17, Table41[ [#This Row],[Account Deposit Amount] ]-Table41[ [#This Row],[Account Withdrawl Amount] ], )</f>
        <v>#VALUE!</v>
      </c>
      <c r="V146" s="19" t="e">
        <f>IF(Table41[[#This Row],[CODE]]=18, Table41[ [#This Row],[Account Deposit Amount] ]-Table41[ [#This Row],[Account Withdrawl Amount] ], )</f>
        <v>#VALUE!</v>
      </c>
    </row>
    <row r="147" spans="21:22" ht="12.6" thickBot="1">
      <c r="U147" s="17" t="e">
        <f>IF(Table41[[#This Row],[CODE]]=17, Table41[ [#This Row],[Account Deposit Amount] ]-Table41[ [#This Row],[Account Withdrawl Amount] ], )</f>
        <v>#VALUE!</v>
      </c>
      <c r="V147" s="19" t="e">
        <f>IF(Table41[[#This Row],[CODE]]=18, Table41[ [#This Row],[Account Deposit Amount] ]-Table41[ [#This Row],[Account Withdrawl Amount] ], )</f>
        <v>#VALUE!</v>
      </c>
    </row>
    <row r="148" spans="21:22" ht="12.6" thickBot="1">
      <c r="U148" s="17" t="e">
        <f>IF(Table41[[#This Row],[CODE]]=17, Table41[ [#This Row],[Account Deposit Amount] ]-Table41[ [#This Row],[Account Withdrawl Amount] ], )</f>
        <v>#VALUE!</v>
      </c>
      <c r="V148" s="19" t="e">
        <f>IF(Table41[[#This Row],[CODE]]=18, Table41[ [#This Row],[Account Deposit Amount] ]-Table41[ [#This Row],[Account Withdrawl Amount] ], )</f>
        <v>#VALUE!</v>
      </c>
    </row>
    <row r="149" spans="21:22" ht="12.6" thickBot="1">
      <c r="U149" s="17" t="e">
        <f>IF(Table41[[#This Row],[CODE]]=17, Table41[ [#This Row],[Account Deposit Amount] ]-Table41[ [#This Row],[Account Withdrawl Amount] ], )</f>
        <v>#VALUE!</v>
      </c>
      <c r="V149" s="19" t="e">
        <f>IF(Table41[[#This Row],[CODE]]=18, Table41[ [#This Row],[Account Deposit Amount] ]-Table41[ [#This Row],[Account Withdrawl Amount] ], )</f>
        <v>#VALUE!</v>
      </c>
    </row>
    <row r="150" spans="21:22" ht="12.6" thickBot="1">
      <c r="U150" s="17" t="e">
        <f>IF(Table41[[#This Row],[CODE]]=17, Table41[ [#This Row],[Account Deposit Amount] ]-Table41[ [#This Row],[Account Withdrawl Amount] ], )</f>
        <v>#VALUE!</v>
      </c>
      <c r="V150" s="19" t="e">
        <f>IF(Table41[[#This Row],[CODE]]=18, Table41[ [#This Row],[Account Deposit Amount] ]-Table41[ [#This Row],[Account Withdrawl Amount] ], )</f>
        <v>#VALUE!</v>
      </c>
    </row>
    <row r="151" spans="21:22" ht="12.6" thickBot="1">
      <c r="U151" s="17" t="e">
        <f>IF(Table41[[#This Row],[CODE]]=17, Table41[ [#This Row],[Account Deposit Amount] ]-Table41[ [#This Row],[Account Withdrawl Amount] ], )</f>
        <v>#VALUE!</v>
      </c>
      <c r="V151" s="19" t="e">
        <f>IF(Table41[[#This Row],[CODE]]=18, Table41[ [#This Row],[Account Deposit Amount] ]-Table41[ [#This Row],[Account Withdrawl Amount] ], )</f>
        <v>#VALUE!</v>
      </c>
    </row>
    <row r="152" spans="21:22" ht="12.6" thickBot="1">
      <c r="U152" s="17" t="e">
        <f>IF(Table41[[#This Row],[CODE]]=17, Table41[ [#This Row],[Account Deposit Amount] ]-Table41[ [#This Row],[Account Withdrawl Amount] ], )</f>
        <v>#VALUE!</v>
      </c>
      <c r="V152" s="19" t="e">
        <f>IF(Table41[[#This Row],[CODE]]=18, Table41[ [#This Row],[Account Deposit Amount] ]-Table41[ [#This Row],[Account Withdrawl Amount] ], )</f>
        <v>#VALUE!</v>
      </c>
    </row>
    <row r="153" spans="21:22" ht="12.6" thickBot="1">
      <c r="U153" s="17" t="e">
        <f>IF(Table41[[#This Row],[CODE]]=17, Table41[ [#This Row],[Account Deposit Amount] ]-Table41[ [#This Row],[Account Withdrawl Amount] ], )</f>
        <v>#VALUE!</v>
      </c>
      <c r="V153" s="19" t="e">
        <f>IF(Table41[[#This Row],[CODE]]=18, Table41[ [#This Row],[Account Deposit Amount] ]-Table41[ [#This Row],[Account Withdrawl Amount] ], )</f>
        <v>#VALUE!</v>
      </c>
    </row>
    <row r="154" spans="21:22" ht="12.6" thickBot="1">
      <c r="U154" s="17" t="e">
        <f>IF(Table41[[#This Row],[CODE]]=17, Table41[ [#This Row],[Account Deposit Amount] ]-Table41[ [#This Row],[Account Withdrawl Amount] ], )</f>
        <v>#VALUE!</v>
      </c>
      <c r="V154" s="19" t="e">
        <f>IF(Table41[[#This Row],[CODE]]=18, Table41[ [#This Row],[Account Deposit Amount] ]-Table41[ [#This Row],[Account Withdrawl Amount] ], )</f>
        <v>#VALUE!</v>
      </c>
    </row>
    <row r="155" spans="21:22" ht="12.6" thickBot="1">
      <c r="U155" s="17" t="e">
        <f>IF(Table41[[#This Row],[CODE]]=17, Table41[ [#This Row],[Account Deposit Amount] ]-Table41[ [#This Row],[Account Withdrawl Amount] ], )</f>
        <v>#VALUE!</v>
      </c>
      <c r="V155" s="19" t="e">
        <f>IF(Table41[[#This Row],[CODE]]=18, Table41[ [#This Row],[Account Deposit Amount] ]-Table41[ [#This Row],[Account Withdrawl Amount] ], )</f>
        <v>#VALUE!</v>
      </c>
    </row>
    <row r="156" spans="21:22" ht="12.6" thickBot="1">
      <c r="U156" s="17" t="e">
        <f>IF(Table41[[#This Row],[CODE]]=17, Table41[ [#This Row],[Account Deposit Amount] ]-Table41[ [#This Row],[Account Withdrawl Amount] ], )</f>
        <v>#VALUE!</v>
      </c>
      <c r="V156" s="19" t="e">
        <f>IF(Table41[[#This Row],[CODE]]=18, Table41[ [#This Row],[Account Deposit Amount] ]-Table41[ [#This Row],[Account Withdrawl Amount] ], )</f>
        <v>#VALUE!</v>
      </c>
    </row>
    <row r="157" spans="21:22" ht="12.6" thickBot="1">
      <c r="U157" s="17" t="e">
        <f>IF(Table41[[#This Row],[CODE]]=17, Table41[ [#This Row],[Account Deposit Amount] ]-Table41[ [#This Row],[Account Withdrawl Amount] ], )</f>
        <v>#VALUE!</v>
      </c>
      <c r="V157" s="19" t="e">
        <f>IF(Table41[[#This Row],[CODE]]=18, Table41[ [#This Row],[Account Deposit Amount] ]-Table41[ [#This Row],[Account Withdrawl Amount] ], )</f>
        <v>#VALUE!</v>
      </c>
    </row>
    <row r="158" spans="21:22" ht="12.6" thickBot="1">
      <c r="U158" s="17" t="e">
        <f>IF(Table41[[#This Row],[CODE]]=17, Table41[ [#This Row],[Account Deposit Amount] ]-Table41[ [#This Row],[Account Withdrawl Amount] ], )</f>
        <v>#VALUE!</v>
      </c>
      <c r="V158" s="19" t="e">
        <f>IF(Table41[[#This Row],[CODE]]=18, Table41[ [#This Row],[Account Deposit Amount] ]-Table41[ [#This Row],[Account Withdrawl Amount] ], )</f>
        <v>#VALUE!</v>
      </c>
    </row>
    <row r="159" spans="21:22" ht="12.6" thickBot="1">
      <c r="U159" s="17" t="e">
        <f>IF(Table41[[#This Row],[CODE]]=17, Table41[ [#This Row],[Account Deposit Amount] ]-Table41[ [#This Row],[Account Withdrawl Amount] ], )</f>
        <v>#VALUE!</v>
      </c>
      <c r="V159" s="19" t="e">
        <f>IF(Table41[[#This Row],[CODE]]=18, Table41[ [#This Row],[Account Deposit Amount] ]-Table41[ [#This Row],[Account Withdrawl Amount] ], )</f>
        <v>#VALUE!</v>
      </c>
    </row>
    <row r="160" spans="21:22" ht="12.6" thickBot="1">
      <c r="U160" s="17" t="e">
        <f>IF(Table41[[#This Row],[CODE]]=17, Table41[ [#This Row],[Account Deposit Amount] ]-Table41[ [#This Row],[Account Withdrawl Amount] ], )</f>
        <v>#VALUE!</v>
      </c>
      <c r="V160" s="19" t="e">
        <f>IF(Table41[[#This Row],[CODE]]=18, Table41[ [#This Row],[Account Deposit Amount] ]-Table41[ [#This Row],[Account Withdrawl Amount] ], )</f>
        <v>#VALUE!</v>
      </c>
    </row>
    <row r="161" spans="21:22" ht="12.6" thickBot="1">
      <c r="U161" s="17" t="e">
        <f>IF(Table41[[#This Row],[CODE]]=17, Table41[ [#This Row],[Account Deposit Amount] ]-Table41[ [#This Row],[Account Withdrawl Amount] ], )</f>
        <v>#VALUE!</v>
      </c>
      <c r="V161" s="19" t="e">
        <f>IF(Table41[[#This Row],[CODE]]=18, Table41[ [#This Row],[Account Deposit Amount] ]-Table41[ [#This Row],[Account Withdrawl Amount] ], )</f>
        <v>#VALUE!</v>
      </c>
    </row>
    <row r="162" spans="21:22" ht="12.6" thickBot="1">
      <c r="U162" s="17" t="e">
        <f>IF(Table41[[#This Row],[CODE]]=17, Table41[ [#This Row],[Account Deposit Amount] ]-Table41[ [#This Row],[Account Withdrawl Amount] ], )</f>
        <v>#VALUE!</v>
      </c>
      <c r="V162" s="19" t="e">
        <f>IF(Table41[[#This Row],[CODE]]=18, Table41[ [#This Row],[Account Deposit Amount] ]-Table41[ [#This Row],[Account Withdrawl Amount] ], )</f>
        <v>#VALUE!</v>
      </c>
    </row>
    <row r="163" spans="21:22" ht="12.6" thickBot="1">
      <c r="U163" s="17" t="e">
        <f>IF(Table41[[#This Row],[CODE]]=17, Table41[ [#This Row],[Account Deposit Amount] ]-Table41[ [#This Row],[Account Withdrawl Amount] ], )</f>
        <v>#VALUE!</v>
      </c>
      <c r="V163" s="19" t="e">
        <f>IF(Table41[[#This Row],[CODE]]=18, Table41[ [#This Row],[Account Deposit Amount] ]-Table41[ [#This Row],[Account Withdrawl Amount] ], )</f>
        <v>#VALUE!</v>
      </c>
    </row>
    <row r="164" spans="21:22" ht="12.6" thickBot="1">
      <c r="U164" s="17" t="e">
        <f>IF(Table41[[#This Row],[CODE]]=17, Table41[ [#This Row],[Account Deposit Amount] ]-Table41[ [#This Row],[Account Withdrawl Amount] ], )</f>
        <v>#VALUE!</v>
      </c>
      <c r="V164" s="19" t="e">
        <f>IF(Table41[[#This Row],[CODE]]=18, Table41[ [#This Row],[Account Deposit Amount] ]-Table41[ [#This Row],[Account Withdrawl Amount] ], )</f>
        <v>#VALUE!</v>
      </c>
    </row>
    <row r="165" spans="21:22" ht="12.6" thickBot="1">
      <c r="U165" s="17" t="e">
        <f>IF(Table41[[#This Row],[CODE]]=17, Table41[ [#This Row],[Account Deposit Amount] ]-Table41[ [#This Row],[Account Withdrawl Amount] ], )</f>
        <v>#VALUE!</v>
      </c>
      <c r="V165" s="19" t="e">
        <f>IF(Table41[[#This Row],[CODE]]=18, Table41[ [#This Row],[Account Deposit Amount] ]-Table41[ [#This Row],[Account Withdrawl Amount] ], )</f>
        <v>#VALUE!</v>
      </c>
    </row>
    <row r="166" spans="21:22" ht="12.6" thickBot="1">
      <c r="U166" s="17" t="e">
        <f>IF(Table41[[#This Row],[CODE]]=17, Table41[ [#This Row],[Account Deposit Amount] ]-Table41[ [#This Row],[Account Withdrawl Amount] ], )</f>
        <v>#VALUE!</v>
      </c>
      <c r="V166" s="19" t="e">
        <f>IF(Table41[[#This Row],[CODE]]=18, Table41[ [#This Row],[Account Deposit Amount] ]-Table41[ [#This Row],[Account Withdrawl Amount] ], )</f>
        <v>#VALUE!</v>
      </c>
    </row>
    <row r="167" spans="21:22" ht="12.6" thickBot="1">
      <c r="U167" s="17" t="e">
        <f>IF(Table41[[#This Row],[CODE]]=17, Table41[ [#This Row],[Account Deposit Amount] ]-Table41[ [#This Row],[Account Withdrawl Amount] ], )</f>
        <v>#VALUE!</v>
      </c>
      <c r="V167" s="19" t="e">
        <f>IF(Table41[[#This Row],[CODE]]=18, Table41[ [#This Row],[Account Deposit Amount] ]-Table41[ [#This Row],[Account Withdrawl Amount] ], )</f>
        <v>#VALUE!</v>
      </c>
    </row>
    <row r="168" spans="21:22" ht="12.6" thickBot="1">
      <c r="U168" s="17" t="e">
        <f>IF(Table41[[#This Row],[CODE]]=17, Table41[ [#This Row],[Account Deposit Amount] ]-Table41[ [#This Row],[Account Withdrawl Amount] ], )</f>
        <v>#VALUE!</v>
      </c>
      <c r="V168" s="19" t="e">
        <f>IF(Table41[[#This Row],[CODE]]=18, Table41[ [#This Row],[Account Deposit Amount] ]-Table41[ [#This Row],[Account Withdrawl Amount] ], )</f>
        <v>#VALUE!</v>
      </c>
    </row>
    <row r="169" spans="21:22" ht="12.6" thickBot="1">
      <c r="U169" s="17" t="e">
        <f>IF(Table41[[#This Row],[CODE]]=17, Table41[ [#This Row],[Account Deposit Amount] ]-Table41[ [#This Row],[Account Withdrawl Amount] ], )</f>
        <v>#VALUE!</v>
      </c>
      <c r="V169" s="19" t="e">
        <f>IF(Table41[[#This Row],[CODE]]=18, Table41[ [#This Row],[Account Deposit Amount] ]-Table41[ [#This Row],[Account Withdrawl Amount] ], )</f>
        <v>#VALUE!</v>
      </c>
    </row>
    <row r="170" spans="21:22" ht="12.6" thickBot="1">
      <c r="U170" s="17" t="e">
        <f>IF(Table41[[#This Row],[CODE]]=17, Table41[ [#This Row],[Account Deposit Amount] ]-Table41[ [#This Row],[Account Withdrawl Amount] ], )</f>
        <v>#VALUE!</v>
      </c>
      <c r="V170" s="19" t="e">
        <f>IF(Table41[[#This Row],[CODE]]=18, Table41[ [#This Row],[Account Deposit Amount] ]-Table41[ [#This Row],[Account Withdrawl Amount] ], )</f>
        <v>#VALUE!</v>
      </c>
    </row>
    <row r="171" spans="21:22" ht="12.6" thickBot="1">
      <c r="U171" s="17" t="e">
        <f>IF(Table41[[#This Row],[CODE]]=17, Table41[ [#This Row],[Account Deposit Amount] ]-Table41[ [#This Row],[Account Withdrawl Amount] ], )</f>
        <v>#VALUE!</v>
      </c>
      <c r="V171" s="19" t="e">
        <f>IF(Table41[[#This Row],[CODE]]=18, Table41[ [#This Row],[Account Deposit Amount] ]-Table41[ [#This Row],[Account Withdrawl Amount] ], )</f>
        <v>#VALUE!</v>
      </c>
    </row>
    <row r="172" spans="21:22" ht="12.6" thickBot="1">
      <c r="U172" s="17" t="e">
        <f>IF(Table41[[#This Row],[CODE]]=17, Table41[ [#This Row],[Account Deposit Amount] ]-Table41[ [#This Row],[Account Withdrawl Amount] ], )</f>
        <v>#VALUE!</v>
      </c>
      <c r="V172" s="19" t="e">
        <f>IF(Table41[[#This Row],[CODE]]=18, Table41[ [#This Row],[Account Deposit Amount] ]-Table41[ [#This Row],[Account Withdrawl Amount] ], )</f>
        <v>#VALUE!</v>
      </c>
    </row>
    <row r="173" spans="21:22" ht="12.6" thickBot="1">
      <c r="U173" s="17" t="e">
        <f>IF(Table41[[#This Row],[CODE]]=17, Table41[ [#This Row],[Account Deposit Amount] ]-Table41[ [#This Row],[Account Withdrawl Amount] ], )</f>
        <v>#VALUE!</v>
      </c>
      <c r="V173" s="19" t="e">
        <f>IF(Table41[[#This Row],[CODE]]=18, Table41[ [#This Row],[Account Deposit Amount] ]-Table41[ [#This Row],[Account Withdrawl Amount] ], )</f>
        <v>#VALUE!</v>
      </c>
    </row>
    <row r="174" spans="21:22" ht="12.6" thickBot="1">
      <c r="U174" s="17" t="e">
        <f>IF(Table41[[#This Row],[CODE]]=17, Table41[ [#This Row],[Account Deposit Amount] ]-Table41[ [#This Row],[Account Withdrawl Amount] ], )</f>
        <v>#VALUE!</v>
      </c>
      <c r="V174" s="19" t="e">
        <f>IF(Table41[[#This Row],[CODE]]=18, Table41[ [#This Row],[Account Deposit Amount] ]-Table41[ [#This Row],[Account Withdrawl Amount] ], )</f>
        <v>#VALUE!</v>
      </c>
    </row>
    <row r="175" spans="21:22" ht="12.6" thickBot="1">
      <c r="U175" s="17" t="e">
        <f>IF(Table41[[#This Row],[CODE]]=17, Table41[ [#This Row],[Account Deposit Amount] ]-Table41[ [#This Row],[Account Withdrawl Amount] ], )</f>
        <v>#VALUE!</v>
      </c>
      <c r="V175" s="19" t="e">
        <f>IF(Table41[[#This Row],[CODE]]=18, Table41[ [#This Row],[Account Deposit Amount] ]-Table41[ [#This Row],[Account Withdrawl Amount] ], )</f>
        <v>#VALUE!</v>
      </c>
    </row>
    <row r="176" spans="21:22" ht="12.6" thickBot="1">
      <c r="U176" s="17" t="e">
        <f>IF(Table41[[#This Row],[CODE]]=17, Table41[ [#This Row],[Account Deposit Amount] ]-Table41[ [#This Row],[Account Withdrawl Amount] ], )</f>
        <v>#VALUE!</v>
      </c>
      <c r="V176" s="19" t="e">
        <f>IF(Table41[[#This Row],[CODE]]=18, Table41[ [#This Row],[Account Deposit Amount] ]-Table41[ [#This Row],[Account Withdrawl Amount] ], )</f>
        <v>#VALUE!</v>
      </c>
    </row>
    <row r="177" spans="21:22" ht="12.6" thickBot="1">
      <c r="U177" s="17" t="e">
        <f>IF(Table41[[#This Row],[CODE]]=17, Table41[ [#This Row],[Account Deposit Amount] ]-Table41[ [#This Row],[Account Withdrawl Amount] ], )</f>
        <v>#VALUE!</v>
      </c>
      <c r="V177" s="19" t="e">
        <f>IF(Table41[[#This Row],[CODE]]=18, Table41[ [#This Row],[Account Deposit Amount] ]-Table41[ [#This Row],[Account Withdrawl Amount] ], )</f>
        <v>#VALUE!</v>
      </c>
    </row>
    <row r="178" spans="21:22" ht="12.6" thickBot="1">
      <c r="U178" s="17" t="e">
        <f>IF(Table41[[#This Row],[CODE]]=17, Table41[ [#This Row],[Account Deposit Amount] ]-Table41[ [#This Row],[Account Withdrawl Amount] ], )</f>
        <v>#VALUE!</v>
      </c>
      <c r="V178" s="19" t="e">
        <f>IF(Table41[[#This Row],[CODE]]=18, Table41[ [#This Row],[Account Deposit Amount] ]-Table41[ [#This Row],[Account Withdrawl Amount] ], )</f>
        <v>#VALUE!</v>
      </c>
    </row>
    <row r="179" spans="21:22" ht="12.6" thickBot="1">
      <c r="U179" s="17" t="e">
        <f>IF(Table41[[#This Row],[CODE]]=17, Table41[ [#This Row],[Account Deposit Amount] ]-Table41[ [#This Row],[Account Withdrawl Amount] ], )</f>
        <v>#VALUE!</v>
      </c>
      <c r="V179" s="19" t="e">
        <f>IF(Table41[[#This Row],[CODE]]=18, Table41[ [#This Row],[Account Deposit Amount] ]-Table41[ [#This Row],[Account Withdrawl Amount] ], )</f>
        <v>#VALUE!</v>
      </c>
    </row>
    <row r="180" spans="21:22" ht="12.6" thickBot="1">
      <c r="U180" s="17" t="e">
        <f>IF(Table41[[#This Row],[CODE]]=17, Table41[ [#This Row],[Account Deposit Amount] ]-Table41[ [#This Row],[Account Withdrawl Amount] ], )</f>
        <v>#VALUE!</v>
      </c>
      <c r="V180" s="19" t="e">
        <f>IF(Table41[[#This Row],[CODE]]=18, Table41[ [#This Row],[Account Deposit Amount] ]-Table41[ [#This Row],[Account Withdrawl Amount] ], )</f>
        <v>#VALUE!</v>
      </c>
    </row>
    <row r="181" spans="21:22" ht="12.6" thickBot="1">
      <c r="U181" s="17" t="e">
        <f>IF(Table41[[#This Row],[CODE]]=17, Table41[ [#This Row],[Account Deposit Amount] ]-Table41[ [#This Row],[Account Withdrawl Amount] ], )</f>
        <v>#VALUE!</v>
      </c>
      <c r="V181" s="19" t="e">
        <f>IF(Table41[[#This Row],[CODE]]=18, Table41[ [#This Row],[Account Deposit Amount] ]-Table41[ [#This Row],[Account Withdrawl Amount] ], )</f>
        <v>#VALUE!</v>
      </c>
    </row>
    <row r="182" spans="21:22" ht="12.6" thickBot="1">
      <c r="U182" s="17" t="e">
        <f>IF(Table41[[#This Row],[CODE]]=17, Table41[ [#This Row],[Account Deposit Amount] ]-Table41[ [#This Row],[Account Withdrawl Amount] ], )</f>
        <v>#VALUE!</v>
      </c>
      <c r="V182" s="19" t="e">
        <f>IF(Table41[[#This Row],[CODE]]=18, Table41[ [#This Row],[Account Deposit Amount] ]-Table41[ [#This Row],[Account Withdrawl Amount] ], )</f>
        <v>#VALUE!</v>
      </c>
    </row>
    <row r="183" spans="21:22" ht="12.6" thickBot="1">
      <c r="U183" s="17" t="e">
        <f>IF(Table41[[#This Row],[CODE]]=17, Table41[ [#This Row],[Account Deposit Amount] ]-Table41[ [#This Row],[Account Withdrawl Amount] ], )</f>
        <v>#VALUE!</v>
      </c>
      <c r="V183" s="19" t="e">
        <f>IF(Table41[[#This Row],[CODE]]=18, Table41[ [#This Row],[Account Deposit Amount] ]-Table41[ [#This Row],[Account Withdrawl Amount] ], )</f>
        <v>#VALUE!</v>
      </c>
    </row>
    <row r="184" spans="21:22" ht="12.6" thickBot="1">
      <c r="U184" s="17" t="e">
        <f>IF(Table41[[#This Row],[CODE]]=17, Table41[ [#This Row],[Account Deposit Amount] ]-Table41[ [#This Row],[Account Withdrawl Amount] ], )</f>
        <v>#VALUE!</v>
      </c>
      <c r="V184" s="19" t="e">
        <f>IF(Table41[[#This Row],[CODE]]=18, Table41[ [#This Row],[Account Deposit Amount] ]-Table41[ [#This Row],[Account Withdrawl Amount] ], )</f>
        <v>#VALUE!</v>
      </c>
    </row>
    <row r="185" spans="21:22" ht="12.6" thickBot="1">
      <c r="U185" s="17" t="e">
        <f>IF(Table41[[#This Row],[CODE]]=17, Table41[ [#This Row],[Account Deposit Amount] ]-Table41[ [#This Row],[Account Withdrawl Amount] ], )</f>
        <v>#VALUE!</v>
      </c>
      <c r="V185" s="19" t="e">
        <f>IF(Table41[[#This Row],[CODE]]=18, Table41[ [#This Row],[Account Deposit Amount] ]-Table41[ [#This Row],[Account Withdrawl Amount] ], )</f>
        <v>#VALUE!</v>
      </c>
    </row>
    <row r="186" spans="21:22" ht="12.6" thickBot="1">
      <c r="U186" s="17" t="e">
        <f>IF(Table41[[#This Row],[CODE]]=17, Table41[ [#This Row],[Account Deposit Amount] ]-Table41[ [#This Row],[Account Withdrawl Amount] ], )</f>
        <v>#VALUE!</v>
      </c>
      <c r="V186" s="19" t="e">
        <f>IF(Table41[[#This Row],[CODE]]=18, Table41[ [#This Row],[Account Deposit Amount] ]-Table41[ [#This Row],[Account Withdrawl Amount] ], )</f>
        <v>#VALUE!</v>
      </c>
    </row>
    <row r="187" spans="21:22" ht="12.6" thickBot="1">
      <c r="U187" s="17" t="e">
        <f>IF(Table41[[#This Row],[CODE]]=17, Table41[ [#This Row],[Account Deposit Amount] ]-Table41[ [#This Row],[Account Withdrawl Amount] ], )</f>
        <v>#VALUE!</v>
      </c>
      <c r="V187" s="19" t="e">
        <f>IF(Table41[[#This Row],[CODE]]=18, Table41[ [#This Row],[Account Deposit Amount] ]-Table41[ [#This Row],[Account Withdrawl Amount] ], )</f>
        <v>#VALUE!</v>
      </c>
    </row>
    <row r="188" spans="21:22" ht="12.6" thickBot="1">
      <c r="U188" s="17" t="e">
        <f>IF(Table41[[#This Row],[CODE]]=17, Table41[ [#This Row],[Account Deposit Amount] ]-Table41[ [#This Row],[Account Withdrawl Amount] ], )</f>
        <v>#VALUE!</v>
      </c>
      <c r="V188" s="19" t="e">
        <f>IF(Table41[[#This Row],[CODE]]=18, Table41[ [#This Row],[Account Deposit Amount] ]-Table41[ [#This Row],[Account Withdrawl Amount] ], )</f>
        <v>#VALUE!</v>
      </c>
    </row>
    <row r="189" spans="21:22" ht="12.6" thickBot="1">
      <c r="U189" s="17" t="e">
        <f>IF(Table41[[#This Row],[CODE]]=17, Table41[ [#This Row],[Account Deposit Amount] ]-Table41[ [#This Row],[Account Withdrawl Amount] ], )</f>
        <v>#VALUE!</v>
      </c>
      <c r="V189" s="19" t="e">
        <f>IF(Table41[[#This Row],[CODE]]=18, Table41[ [#This Row],[Account Deposit Amount] ]-Table41[ [#This Row],[Account Withdrawl Amount] ], )</f>
        <v>#VALUE!</v>
      </c>
    </row>
    <row r="190" spans="21:22" ht="12.6" thickBot="1">
      <c r="U190" s="17" t="e">
        <f>IF(Table41[[#This Row],[CODE]]=17, Table41[ [#This Row],[Account Deposit Amount] ]-Table41[ [#This Row],[Account Withdrawl Amount] ], )</f>
        <v>#VALUE!</v>
      </c>
      <c r="V190" s="19" t="e">
        <f>IF(Table41[[#This Row],[CODE]]=18, Table41[ [#This Row],[Account Deposit Amount] ]-Table41[ [#This Row],[Account Withdrawl Amount] ], )</f>
        <v>#VALUE!</v>
      </c>
    </row>
    <row r="191" spans="21:22" ht="12.6" thickBot="1">
      <c r="U191" s="17" t="e">
        <f>IF(Table41[[#This Row],[CODE]]=17, Table41[ [#This Row],[Account Deposit Amount] ]-Table41[ [#This Row],[Account Withdrawl Amount] ], )</f>
        <v>#VALUE!</v>
      </c>
      <c r="V191" s="19" t="e">
        <f>IF(Table41[[#This Row],[CODE]]=18, Table41[ [#This Row],[Account Deposit Amount] ]-Table41[ [#This Row],[Account Withdrawl Amount] ], )</f>
        <v>#VALUE!</v>
      </c>
    </row>
    <row r="192" spans="21:22" ht="12.6" thickBot="1">
      <c r="U192" s="17" t="e">
        <f>IF(Table41[[#This Row],[CODE]]=17, Table41[ [#This Row],[Account Deposit Amount] ]-Table41[ [#This Row],[Account Withdrawl Amount] ], )</f>
        <v>#VALUE!</v>
      </c>
      <c r="V192" s="19" t="e">
        <f>IF(Table41[[#This Row],[CODE]]=18, Table41[ [#This Row],[Account Deposit Amount] ]-Table41[ [#This Row],[Account Withdrawl Amount] ], )</f>
        <v>#VALUE!</v>
      </c>
    </row>
    <row r="193" spans="21:22" ht="12.6" thickBot="1">
      <c r="U193" s="17" t="e">
        <f>IF(Table41[[#This Row],[CODE]]=17, Table41[ [#This Row],[Account Deposit Amount] ]-Table41[ [#This Row],[Account Withdrawl Amount] ], )</f>
        <v>#VALUE!</v>
      </c>
      <c r="V193" s="19" t="e">
        <f>IF(Table41[[#This Row],[CODE]]=18, Table41[ [#This Row],[Account Deposit Amount] ]-Table41[ [#This Row],[Account Withdrawl Amount] ], )</f>
        <v>#VALUE!</v>
      </c>
    </row>
    <row r="194" spans="21:22" ht="12.6" thickBot="1">
      <c r="U194" s="17" t="e">
        <f>IF(Table41[[#This Row],[CODE]]=17, Table41[ [#This Row],[Account Deposit Amount] ]-Table41[ [#This Row],[Account Withdrawl Amount] ], )</f>
        <v>#VALUE!</v>
      </c>
      <c r="V194" s="19" t="e">
        <f>IF(Table41[[#This Row],[CODE]]=18, Table41[ [#This Row],[Account Deposit Amount] ]-Table41[ [#This Row],[Account Withdrawl Amount] ], )</f>
        <v>#VALUE!</v>
      </c>
    </row>
    <row r="195" spans="21:22" ht="12.6" thickBot="1">
      <c r="U195" s="17" t="e">
        <f>IF(Table41[[#This Row],[CODE]]=17, Table41[ [#This Row],[Account Deposit Amount] ]-Table41[ [#This Row],[Account Withdrawl Amount] ], )</f>
        <v>#VALUE!</v>
      </c>
      <c r="V195" s="19" t="e">
        <f>IF(Table41[[#This Row],[CODE]]=18, Table41[ [#This Row],[Account Deposit Amount] ]-Table41[ [#This Row],[Account Withdrawl Amount] ], )</f>
        <v>#VALUE!</v>
      </c>
    </row>
    <row r="196" spans="21:22" ht="12.6" thickBot="1">
      <c r="U196" s="17" t="e">
        <f>IF(Table41[[#This Row],[CODE]]=17, Table41[ [#This Row],[Account Deposit Amount] ]-Table41[ [#This Row],[Account Withdrawl Amount] ], )</f>
        <v>#VALUE!</v>
      </c>
      <c r="V196" s="19" t="e">
        <f>IF(Table41[[#This Row],[CODE]]=18, Table41[ [#This Row],[Account Deposit Amount] ]-Table41[ [#This Row],[Account Withdrawl Amount] ], )</f>
        <v>#VALUE!</v>
      </c>
    </row>
    <row r="197" spans="21:22" ht="12.6" thickBot="1">
      <c r="U197" s="17" t="e">
        <f>IF(Table41[[#This Row],[CODE]]=17, Table41[ [#This Row],[Account Deposit Amount] ]-Table41[ [#This Row],[Account Withdrawl Amount] ], )</f>
        <v>#VALUE!</v>
      </c>
      <c r="V197" s="19" t="e">
        <f>IF(Table41[[#This Row],[CODE]]=18, Table41[ [#This Row],[Account Deposit Amount] ]-Table41[ [#This Row],[Account Withdrawl Amount] ], )</f>
        <v>#VALUE!</v>
      </c>
    </row>
    <row r="198" spans="21:22" ht="12.6" thickBot="1">
      <c r="U198" s="17" t="e">
        <f>IF(Table41[[#This Row],[CODE]]=17, Table41[ [#This Row],[Account Deposit Amount] ]-Table41[ [#This Row],[Account Withdrawl Amount] ], )</f>
        <v>#VALUE!</v>
      </c>
      <c r="V198" s="19" t="e">
        <f>IF(Table41[[#This Row],[CODE]]=18, Table41[ [#This Row],[Account Deposit Amount] ]-Table41[ [#This Row],[Account Withdrawl Amount] ], )</f>
        <v>#VALUE!</v>
      </c>
    </row>
    <row r="199" spans="21:22" ht="12.6" thickBot="1">
      <c r="U199" s="17" t="e">
        <f>IF(Table41[[#This Row],[CODE]]=17, Table41[ [#This Row],[Account Deposit Amount] ]-Table41[ [#This Row],[Account Withdrawl Amount] ], )</f>
        <v>#VALUE!</v>
      </c>
      <c r="V199" s="19" t="e">
        <f>IF(Table41[[#This Row],[CODE]]=18, Table41[ [#This Row],[Account Deposit Amount] ]-Table41[ [#This Row],[Account Withdrawl Amount] ], )</f>
        <v>#VALUE!</v>
      </c>
    </row>
    <row r="200" spans="21:22" ht="12.6" thickBot="1">
      <c r="U200" s="17" t="e">
        <f>IF(Table41[[#This Row],[CODE]]=17, Table41[ [#This Row],[Account Deposit Amount] ]-Table41[ [#This Row],[Account Withdrawl Amount] ], )</f>
        <v>#VALUE!</v>
      </c>
      <c r="V200" s="19" t="e">
        <f>IF(Table41[[#This Row],[CODE]]=18, Table41[ [#This Row],[Account Deposit Amount] ]-Table41[ [#This Row],[Account Withdrawl Amount] ], )</f>
        <v>#VALUE!</v>
      </c>
    </row>
    <row r="201" spans="21:22" ht="12.6" thickBot="1">
      <c r="U201" s="17" t="e">
        <f>IF(Table41[[#This Row],[CODE]]=17, Table41[ [#This Row],[Account Deposit Amount] ]-Table41[ [#This Row],[Account Withdrawl Amount] ], )</f>
        <v>#VALUE!</v>
      </c>
      <c r="V201" s="19" t="e">
        <f>IF(Table41[[#This Row],[CODE]]=18, Table41[ [#This Row],[Account Deposit Amount] ]-Table41[ [#This Row],[Account Withdrawl Amount] ], )</f>
        <v>#VALUE!</v>
      </c>
    </row>
    <row r="202" spans="21:22" ht="12.6" thickBot="1">
      <c r="U202" s="17" t="e">
        <f>IF(Table41[[#This Row],[CODE]]=17, Table41[ [#This Row],[Account Deposit Amount] ]-Table41[ [#This Row],[Account Withdrawl Amount] ], )</f>
        <v>#VALUE!</v>
      </c>
      <c r="V202" s="19" t="e">
        <f>IF(Table41[[#This Row],[CODE]]=18, Table41[ [#This Row],[Account Deposit Amount] ]-Table41[ [#This Row],[Account Withdrawl Amount] ], )</f>
        <v>#VALUE!</v>
      </c>
    </row>
    <row r="203" spans="21:22" ht="12.6" thickBot="1">
      <c r="U203" s="17" t="e">
        <f>IF(Table41[[#This Row],[CODE]]=17, Table41[ [#This Row],[Account Deposit Amount] ]-Table41[ [#This Row],[Account Withdrawl Amount] ], )</f>
        <v>#VALUE!</v>
      </c>
      <c r="V203" s="19" t="e">
        <f>IF(Table41[[#This Row],[CODE]]=18, Table41[ [#This Row],[Account Deposit Amount] ]-Table41[ [#This Row],[Account Withdrawl Amount] ], )</f>
        <v>#VALUE!</v>
      </c>
    </row>
    <row r="204" spans="21:22" ht="12.6" thickBot="1">
      <c r="U204" s="17" t="e">
        <f>IF(Table41[[#This Row],[CODE]]=17, Table41[ [#This Row],[Account Deposit Amount] ]-Table41[ [#This Row],[Account Withdrawl Amount] ], )</f>
        <v>#VALUE!</v>
      </c>
      <c r="V204" s="19" t="e">
        <f>IF(Table41[[#This Row],[CODE]]=18, Table41[ [#This Row],[Account Deposit Amount] ]-Table41[ [#This Row],[Account Withdrawl Amount] ], )</f>
        <v>#VALUE!</v>
      </c>
    </row>
    <row r="205" spans="21:22" ht="12.6" thickBot="1">
      <c r="U205" s="17" t="e">
        <f>IF(Table41[[#This Row],[CODE]]=17, Table41[ [#This Row],[Account Deposit Amount] ]-Table41[ [#This Row],[Account Withdrawl Amount] ], )</f>
        <v>#VALUE!</v>
      </c>
      <c r="V205" s="19" t="e">
        <f>IF(Table41[[#This Row],[CODE]]=18, Table41[ [#This Row],[Account Deposit Amount] ]-Table41[ [#This Row],[Account Withdrawl Amount] ], )</f>
        <v>#VALUE!</v>
      </c>
    </row>
    <row r="206" spans="21:22" ht="12.6" thickBot="1">
      <c r="U206" s="17" t="e">
        <f>IF(Table41[[#This Row],[CODE]]=17, Table41[ [#This Row],[Account Deposit Amount] ]-Table41[ [#This Row],[Account Withdrawl Amount] ], )</f>
        <v>#VALUE!</v>
      </c>
      <c r="V206" s="19" t="e">
        <f>IF(Table41[[#This Row],[CODE]]=18, Table41[ [#This Row],[Account Deposit Amount] ]-Table41[ [#This Row],[Account Withdrawl Amount] ], )</f>
        <v>#VALUE!</v>
      </c>
    </row>
    <row r="207" spans="21:22" ht="12.6" thickBot="1">
      <c r="U207" s="17" t="e">
        <f>IF(Table41[[#This Row],[CODE]]=17, Table41[ [#This Row],[Account Deposit Amount] ]-Table41[ [#This Row],[Account Withdrawl Amount] ], )</f>
        <v>#VALUE!</v>
      </c>
      <c r="V207" s="19" t="e">
        <f>IF(Table41[[#This Row],[CODE]]=18, Table41[ [#This Row],[Account Deposit Amount] ]-Table41[ [#This Row],[Account Withdrawl Amount] ], )</f>
        <v>#VALUE!</v>
      </c>
    </row>
    <row r="208" spans="21:22" ht="12.6" thickBot="1">
      <c r="U208" s="17" t="e">
        <f>IF(Table41[[#This Row],[CODE]]=17, Table41[ [#This Row],[Account Deposit Amount] ]-Table41[ [#This Row],[Account Withdrawl Amount] ], )</f>
        <v>#VALUE!</v>
      </c>
      <c r="V208" s="19" t="e">
        <f>IF(Table41[[#This Row],[CODE]]=18, Table41[ [#This Row],[Account Deposit Amount] ]-Table41[ [#This Row],[Account Withdrawl Amount] ], )</f>
        <v>#VALUE!</v>
      </c>
    </row>
    <row r="209" spans="21:22" ht="12.6" thickBot="1">
      <c r="U209" s="17" t="e">
        <f>IF(Table41[[#This Row],[CODE]]=17, Table41[ [#This Row],[Account Deposit Amount] ]-Table41[ [#This Row],[Account Withdrawl Amount] ], )</f>
        <v>#VALUE!</v>
      </c>
      <c r="V209" s="19" t="e">
        <f>IF(Table41[[#This Row],[CODE]]=18, Table41[ [#This Row],[Account Deposit Amount] ]-Table41[ [#This Row],[Account Withdrawl Amount] ], )</f>
        <v>#VALUE!</v>
      </c>
    </row>
    <row r="210" spans="21:22" ht="12.6" thickBot="1">
      <c r="U210" s="17" t="e">
        <f>IF(Table41[[#This Row],[CODE]]=17, Table41[ [#This Row],[Account Deposit Amount] ]-Table41[ [#This Row],[Account Withdrawl Amount] ], )</f>
        <v>#VALUE!</v>
      </c>
      <c r="V210" s="19" t="e">
        <f>IF(Table41[[#This Row],[CODE]]=18, Table41[ [#This Row],[Account Deposit Amount] ]-Table41[ [#This Row],[Account Withdrawl Amount] ], )</f>
        <v>#VALUE!</v>
      </c>
    </row>
    <row r="211" spans="21:22" ht="12.6" thickBot="1">
      <c r="U211" s="17" t="e">
        <f>IF(Table41[[#This Row],[CODE]]=17, Table41[ [#This Row],[Account Deposit Amount] ]-Table41[ [#This Row],[Account Withdrawl Amount] ], )</f>
        <v>#VALUE!</v>
      </c>
      <c r="V211" s="19" t="e">
        <f>IF(Table41[[#This Row],[CODE]]=18, Table41[ [#This Row],[Account Deposit Amount] ]-Table41[ [#This Row],[Account Withdrawl Amount] ], )</f>
        <v>#VALUE!</v>
      </c>
    </row>
    <row r="212" spans="21:22" ht="12.6" thickBot="1">
      <c r="U212" s="17" t="e">
        <f>IF(Table41[[#This Row],[CODE]]=17, Table41[ [#This Row],[Account Deposit Amount] ]-Table41[ [#This Row],[Account Withdrawl Amount] ], )</f>
        <v>#VALUE!</v>
      </c>
      <c r="V212" s="19" t="e">
        <f>IF(Table41[[#This Row],[CODE]]=18, Table41[ [#This Row],[Account Deposit Amount] ]-Table41[ [#This Row],[Account Withdrawl Amount] ], )</f>
        <v>#VALUE!</v>
      </c>
    </row>
    <row r="213" spans="21:22" ht="12.6" thickBot="1">
      <c r="U213" s="17" t="e">
        <f>IF(Table41[[#This Row],[CODE]]=17, Table41[ [#This Row],[Account Deposit Amount] ]-Table41[ [#This Row],[Account Withdrawl Amount] ], )</f>
        <v>#VALUE!</v>
      </c>
      <c r="V213" s="19" t="e">
        <f>IF(Table41[[#This Row],[CODE]]=18, Table41[ [#This Row],[Account Deposit Amount] ]-Table41[ [#This Row],[Account Withdrawl Amount] ], )</f>
        <v>#VALUE!</v>
      </c>
    </row>
    <row r="214" spans="21:22" ht="12.6" thickBot="1">
      <c r="U214" s="17" t="e">
        <f>IF(Table41[[#This Row],[CODE]]=17, Table41[ [#This Row],[Account Deposit Amount] ]-Table41[ [#This Row],[Account Withdrawl Amount] ], )</f>
        <v>#VALUE!</v>
      </c>
      <c r="V214" s="19" t="e">
        <f>IF(Table41[[#This Row],[CODE]]=18, Table41[ [#This Row],[Account Deposit Amount] ]-Table41[ [#This Row],[Account Withdrawl Amount] ], )</f>
        <v>#VALUE!</v>
      </c>
    </row>
    <row r="215" spans="21:22" ht="12.6" thickBot="1">
      <c r="U215" s="17" t="e">
        <f>IF(Table41[[#This Row],[CODE]]=17, Table41[ [#This Row],[Account Deposit Amount] ]-Table41[ [#This Row],[Account Withdrawl Amount] ], )</f>
        <v>#VALUE!</v>
      </c>
      <c r="V215" s="19" t="e">
        <f>IF(Table41[[#This Row],[CODE]]=18, Table41[ [#This Row],[Account Deposit Amount] ]-Table41[ [#This Row],[Account Withdrawl Amount] ], )</f>
        <v>#VALUE!</v>
      </c>
    </row>
    <row r="216" spans="21:22" ht="12.6" thickBot="1">
      <c r="U216" s="17" t="e">
        <f>IF(Table41[[#This Row],[CODE]]=17, Table41[ [#This Row],[Account Deposit Amount] ]-Table41[ [#This Row],[Account Withdrawl Amount] ], )</f>
        <v>#VALUE!</v>
      </c>
      <c r="V216" s="19" t="e">
        <f>IF(Table41[[#This Row],[CODE]]=18, Table41[ [#This Row],[Account Deposit Amount] ]-Table41[ [#This Row],[Account Withdrawl Amount] ], )</f>
        <v>#VALUE!</v>
      </c>
    </row>
    <row r="217" spans="21:22" ht="12.6" thickBot="1">
      <c r="U217" s="17" t="e">
        <f>IF(Table41[[#This Row],[CODE]]=17, Table41[ [#This Row],[Account Deposit Amount] ]-Table41[ [#This Row],[Account Withdrawl Amount] ], )</f>
        <v>#VALUE!</v>
      </c>
      <c r="V217" s="19" t="e">
        <f>IF(Table41[[#This Row],[CODE]]=18, Table41[ [#This Row],[Account Deposit Amount] ]-Table41[ [#This Row],[Account Withdrawl Amount] ], )</f>
        <v>#VALUE!</v>
      </c>
    </row>
    <row r="218" spans="21:22" ht="12.6" thickBot="1">
      <c r="U218" s="17" t="e">
        <f>IF(Table41[[#This Row],[CODE]]=17, Table41[ [#This Row],[Account Deposit Amount] ]-Table41[ [#This Row],[Account Withdrawl Amount] ], )</f>
        <v>#VALUE!</v>
      </c>
      <c r="V218" s="19" t="e">
        <f>IF(Table41[[#This Row],[CODE]]=18, Table41[ [#This Row],[Account Deposit Amount] ]-Table41[ [#This Row],[Account Withdrawl Amount] ], )</f>
        <v>#VALUE!</v>
      </c>
    </row>
    <row r="219" spans="21:22" ht="12.6" thickBot="1">
      <c r="U219" s="17" t="e">
        <f>IF(Table41[[#This Row],[CODE]]=17, Table41[ [#This Row],[Account Deposit Amount] ]-Table41[ [#This Row],[Account Withdrawl Amount] ], )</f>
        <v>#VALUE!</v>
      </c>
      <c r="V219" s="19" t="e">
        <f>IF(Table41[[#This Row],[CODE]]=18, Table41[ [#This Row],[Account Deposit Amount] ]-Table41[ [#This Row],[Account Withdrawl Amount] ], )</f>
        <v>#VALUE!</v>
      </c>
    </row>
    <row r="220" spans="21:22" ht="12.6" thickBot="1">
      <c r="U220" s="17" t="e">
        <f>IF(Table41[[#This Row],[CODE]]=17, Table41[ [#This Row],[Account Deposit Amount] ]-Table41[ [#This Row],[Account Withdrawl Amount] ], )</f>
        <v>#VALUE!</v>
      </c>
      <c r="V220" s="19" t="e">
        <f>IF(Table41[[#This Row],[CODE]]=18, Table41[ [#This Row],[Account Deposit Amount] ]-Table41[ [#This Row],[Account Withdrawl Amount] ], )</f>
        <v>#VALUE!</v>
      </c>
    </row>
    <row r="221" spans="21:22" ht="12.6" thickBot="1">
      <c r="U221" s="17" t="e">
        <f>IF(Table41[[#This Row],[CODE]]=17, Table41[ [#This Row],[Account Deposit Amount] ]-Table41[ [#This Row],[Account Withdrawl Amount] ], )</f>
        <v>#VALUE!</v>
      </c>
      <c r="V221" s="19" t="e">
        <f>IF(Table41[[#This Row],[CODE]]=18, Table41[ [#This Row],[Account Deposit Amount] ]-Table41[ [#This Row],[Account Withdrawl Amount] ], )</f>
        <v>#VALUE!</v>
      </c>
    </row>
    <row r="222" spans="21:22" ht="12.6" thickBot="1">
      <c r="U222" s="17" t="e">
        <f>IF(Table41[[#This Row],[CODE]]=17, Table41[ [#This Row],[Account Deposit Amount] ]-Table41[ [#This Row],[Account Withdrawl Amount] ], )</f>
        <v>#VALUE!</v>
      </c>
      <c r="V222" s="19" t="e">
        <f>IF(Table41[[#This Row],[CODE]]=18, Table41[ [#This Row],[Account Deposit Amount] ]-Table41[ [#This Row],[Account Withdrawl Amount] ], )</f>
        <v>#VALUE!</v>
      </c>
    </row>
    <row r="223" spans="21:22" ht="12.6" thickBot="1">
      <c r="U223" s="17" t="e">
        <f>IF(Table41[[#This Row],[CODE]]=17, Table41[ [#This Row],[Account Deposit Amount] ]-Table41[ [#This Row],[Account Withdrawl Amount] ], )</f>
        <v>#VALUE!</v>
      </c>
      <c r="V223" s="19" t="e">
        <f>IF(Table41[[#This Row],[CODE]]=18, Table41[ [#This Row],[Account Deposit Amount] ]-Table41[ [#This Row],[Account Withdrawl Amount] ], )</f>
        <v>#VALUE!</v>
      </c>
    </row>
    <row r="224" spans="21:22" ht="12.6" thickBot="1">
      <c r="U224" s="17" t="e">
        <f>IF(Table41[[#This Row],[CODE]]=17, Table41[ [#This Row],[Account Deposit Amount] ]-Table41[ [#This Row],[Account Withdrawl Amount] ], )</f>
        <v>#VALUE!</v>
      </c>
      <c r="V224" s="19" t="e">
        <f>IF(Table41[[#This Row],[CODE]]=18, Table41[ [#This Row],[Account Deposit Amount] ]-Table41[ [#This Row],[Account Withdrawl Amount] ], )</f>
        <v>#VALUE!</v>
      </c>
    </row>
    <row r="225" spans="21:22" ht="12.6" thickBot="1">
      <c r="U225" s="17" t="e">
        <f>IF(Table41[[#This Row],[CODE]]=17, Table41[ [#This Row],[Account Deposit Amount] ]-Table41[ [#This Row],[Account Withdrawl Amount] ], )</f>
        <v>#VALUE!</v>
      </c>
      <c r="V225" s="19" t="e">
        <f>IF(Table41[[#This Row],[CODE]]=18, Table41[ [#This Row],[Account Deposit Amount] ]-Table41[ [#This Row],[Account Withdrawl Amount] ], )</f>
        <v>#VALUE!</v>
      </c>
    </row>
    <row r="226" spans="21:22" ht="12.6" thickBot="1">
      <c r="U226" s="17" t="e">
        <f>IF(Table41[[#This Row],[CODE]]=17, Table41[ [#This Row],[Account Deposit Amount] ]-Table41[ [#This Row],[Account Withdrawl Amount] ], )</f>
        <v>#VALUE!</v>
      </c>
      <c r="V226" s="19" t="e">
        <f>IF(Table41[[#This Row],[CODE]]=18, Table41[ [#This Row],[Account Deposit Amount] ]-Table41[ [#This Row],[Account Withdrawl Amount] ], )</f>
        <v>#VALUE!</v>
      </c>
    </row>
    <row r="227" spans="21:22" ht="12.6" thickBot="1">
      <c r="U227" s="17" t="e">
        <f>IF(Table41[[#This Row],[CODE]]=17, Table41[ [#This Row],[Account Deposit Amount] ]-Table41[ [#This Row],[Account Withdrawl Amount] ], )</f>
        <v>#VALUE!</v>
      </c>
      <c r="V227" s="19" t="e">
        <f>IF(Table41[[#This Row],[CODE]]=18, Table41[ [#This Row],[Account Deposit Amount] ]-Table41[ [#This Row],[Account Withdrawl Amount] ], )</f>
        <v>#VALUE!</v>
      </c>
    </row>
    <row r="228" spans="21:22" ht="12.6" thickBot="1">
      <c r="U228" s="17" t="e">
        <f>IF(Table41[[#This Row],[CODE]]=17, Table41[ [#This Row],[Account Deposit Amount] ]-Table41[ [#This Row],[Account Withdrawl Amount] ], )</f>
        <v>#VALUE!</v>
      </c>
      <c r="V228" s="19" t="e">
        <f>IF(Table41[[#This Row],[CODE]]=18, Table41[ [#This Row],[Account Deposit Amount] ]-Table41[ [#This Row],[Account Withdrawl Amount] ], )</f>
        <v>#VALUE!</v>
      </c>
    </row>
    <row r="229" spans="21:22" ht="12.6" thickBot="1">
      <c r="U229" s="17" t="e">
        <f>IF(Table41[[#This Row],[CODE]]=17, Table41[ [#This Row],[Account Deposit Amount] ]-Table41[ [#This Row],[Account Withdrawl Amount] ], )</f>
        <v>#VALUE!</v>
      </c>
      <c r="V229" s="19" t="e">
        <f>IF(Table41[[#This Row],[CODE]]=18, Table41[ [#This Row],[Account Deposit Amount] ]-Table41[ [#This Row],[Account Withdrawl Amount] ], )</f>
        <v>#VALUE!</v>
      </c>
    </row>
    <row r="230" spans="21:22" ht="12.6" thickBot="1">
      <c r="U230" s="17" t="e">
        <f>IF(Table41[[#This Row],[CODE]]=17, Table41[ [#This Row],[Account Deposit Amount] ]-Table41[ [#This Row],[Account Withdrawl Amount] ], )</f>
        <v>#VALUE!</v>
      </c>
      <c r="V230" s="19" t="e">
        <f>IF(Table41[[#This Row],[CODE]]=18, Table41[ [#This Row],[Account Deposit Amount] ]-Table41[ [#This Row],[Account Withdrawl Amount] ], )</f>
        <v>#VALUE!</v>
      </c>
    </row>
    <row r="231" spans="21:22" ht="12.6" thickBot="1">
      <c r="U231" s="17" t="e">
        <f>IF(Table41[[#This Row],[CODE]]=17, Table41[ [#This Row],[Account Deposit Amount] ]-Table41[ [#This Row],[Account Withdrawl Amount] ], )</f>
        <v>#VALUE!</v>
      </c>
      <c r="V231" s="19" t="e">
        <f>IF(Table41[[#This Row],[CODE]]=18, Table41[ [#This Row],[Account Deposit Amount] ]-Table41[ [#This Row],[Account Withdrawl Amount] ], )</f>
        <v>#VALUE!</v>
      </c>
    </row>
    <row r="232" spans="21:22" ht="12.6" thickBot="1">
      <c r="U232" s="17" t="e">
        <f>IF(Table41[[#This Row],[CODE]]=17, Table41[ [#This Row],[Account Deposit Amount] ]-Table41[ [#This Row],[Account Withdrawl Amount] ], )</f>
        <v>#VALUE!</v>
      </c>
      <c r="V232" s="19" t="e">
        <f>IF(Table41[[#This Row],[CODE]]=18, Table41[ [#This Row],[Account Deposit Amount] ]-Table41[ [#This Row],[Account Withdrawl Amount] ], )</f>
        <v>#VALUE!</v>
      </c>
    </row>
    <row r="233" spans="21:22" ht="12.6" thickBot="1">
      <c r="U233" s="17" t="e">
        <f>IF(Table41[[#This Row],[CODE]]=17, Table41[ [#This Row],[Account Deposit Amount] ]-Table41[ [#This Row],[Account Withdrawl Amount] ], )</f>
        <v>#VALUE!</v>
      </c>
      <c r="V233" s="19" t="e">
        <f>IF(Table41[[#This Row],[CODE]]=18, Table41[ [#This Row],[Account Deposit Amount] ]-Table41[ [#This Row],[Account Withdrawl Amount] ], )</f>
        <v>#VALUE!</v>
      </c>
    </row>
    <row r="234" spans="21:22" ht="12.6" thickBot="1">
      <c r="U234" s="17" t="e">
        <f>IF(Table41[[#This Row],[CODE]]=17, Table41[ [#This Row],[Account Deposit Amount] ]-Table41[ [#This Row],[Account Withdrawl Amount] ], )</f>
        <v>#VALUE!</v>
      </c>
      <c r="V234" s="19" t="e">
        <f>IF(Table41[[#This Row],[CODE]]=18, Table41[ [#This Row],[Account Deposit Amount] ]-Table41[ [#This Row],[Account Withdrawl Amount] ], )</f>
        <v>#VALUE!</v>
      </c>
    </row>
    <row r="235" spans="21:22" ht="12.6" thickBot="1">
      <c r="U235" s="17" t="e">
        <f>IF(Table41[[#This Row],[CODE]]=17, Table41[ [#This Row],[Account Deposit Amount] ]-Table41[ [#This Row],[Account Withdrawl Amount] ], )</f>
        <v>#VALUE!</v>
      </c>
      <c r="V235" s="19" t="e">
        <f>IF(Table41[[#This Row],[CODE]]=18, Table41[ [#This Row],[Account Deposit Amount] ]-Table41[ [#This Row],[Account Withdrawl Amount] ], )</f>
        <v>#VALUE!</v>
      </c>
    </row>
    <row r="236" spans="21:22" ht="12.6" thickBot="1">
      <c r="U236" s="17" t="e">
        <f>IF(Table41[[#This Row],[CODE]]=17, Table41[ [#This Row],[Account Deposit Amount] ]-Table41[ [#This Row],[Account Withdrawl Amount] ], )</f>
        <v>#VALUE!</v>
      </c>
      <c r="V236" s="19" t="e">
        <f>IF(Table41[[#This Row],[CODE]]=18, Table41[ [#This Row],[Account Deposit Amount] ]-Table41[ [#This Row],[Account Withdrawl Amount] ], )</f>
        <v>#VALUE!</v>
      </c>
    </row>
    <row r="237" spans="21:22" ht="12.6" thickBot="1">
      <c r="U237" s="17" t="e">
        <f>IF(Table41[[#This Row],[CODE]]=17, Table41[ [#This Row],[Account Deposit Amount] ]-Table41[ [#This Row],[Account Withdrawl Amount] ], )</f>
        <v>#VALUE!</v>
      </c>
      <c r="V237" s="19" t="e">
        <f>IF(Table41[[#This Row],[CODE]]=18, Table41[ [#This Row],[Account Deposit Amount] ]-Table41[ [#This Row],[Account Withdrawl Amount] ], )</f>
        <v>#VALUE!</v>
      </c>
    </row>
    <row r="238" spans="21:22" ht="12.6" thickBot="1">
      <c r="U238" s="17" t="e">
        <f>IF(Table41[[#This Row],[CODE]]=17, Table41[ [#This Row],[Account Deposit Amount] ]-Table41[ [#This Row],[Account Withdrawl Amount] ], )</f>
        <v>#VALUE!</v>
      </c>
      <c r="V238" s="19" t="e">
        <f>IF(Table41[[#This Row],[CODE]]=18, Table41[ [#This Row],[Account Deposit Amount] ]-Table41[ [#This Row],[Account Withdrawl Amount] ], )</f>
        <v>#VALUE!</v>
      </c>
    </row>
    <row r="239" spans="21:22" ht="12.6" thickBot="1">
      <c r="U239" s="17" t="e">
        <f>IF(Table41[[#This Row],[CODE]]=17, Table41[ [#This Row],[Account Deposit Amount] ]-Table41[ [#This Row],[Account Withdrawl Amount] ], )</f>
        <v>#VALUE!</v>
      </c>
      <c r="V239" s="19" t="e">
        <f>IF(Table41[[#This Row],[CODE]]=18, Table41[ [#This Row],[Account Deposit Amount] ]-Table41[ [#This Row],[Account Withdrawl Amount] ], )</f>
        <v>#VALUE!</v>
      </c>
    </row>
    <row r="240" spans="21:22" ht="12.6" thickBot="1">
      <c r="U240" s="17" t="e">
        <f>IF(Table41[[#This Row],[CODE]]=17, Table41[ [#This Row],[Account Deposit Amount] ]-Table41[ [#This Row],[Account Withdrawl Amount] ], )</f>
        <v>#VALUE!</v>
      </c>
      <c r="V240" s="19" t="e">
        <f>IF(Table41[[#This Row],[CODE]]=18, Table41[ [#This Row],[Account Deposit Amount] ]-Table41[ [#This Row],[Account Withdrawl Amount] ], )</f>
        <v>#VALUE!</v>
      </c>
    </row>
    <row r="241" spans="21:22" ht="12.6" thickBot="1">
      <c r="U241" s="17" t="e">
        <f>IF(Table41[[#This Row],[CODE]]=17, Table41[ [#This Row],[Account Deposit Amount] ]-Table41[ [#This Row],[Account Withdrawl Amount] ], )</f>
        <v>#VALUE!</v>
      </c>
      <c r="V241" s="19" t="e">
        <f>IF(Table41[[#This Row],[CODE]]=18, Table41[ [#This Row],[Account Deposit Amount] ]-Table41[ [#This Row],[Account Withdrawl Amount] ], )</f>
        <v>#VALUE!</v>
      </c>
    </row>
    <row r="242" spans="21:22" ht="12.6" thickBot="1">
      <c r="U242" s="17" t="e">
        <f>IF(Table41[[#This Row],[CODE]]=17, Table41[ [#This Row],[Account Deposit Amount] ]-Table41[ [#This Row],[Account Withdrawl Amount] ], )</f>
        <v>#VALUE!</v>
      </c>
      <c r="V242" s="19" t="e">
        <f>IF(Table41[[#This Row],[CODE]]=18, Table41[ [#This Row],[Account Deposit Amount] ]-Table41[ [#This Row],[Account Withdrawl Amount] ], )</f>
        <v>#VALUE!</v>
      </c>
    </row>
    <row r="243" spans="21:22" ht="12.6" thickBot="1">
      <c r="U243" s="17" t="e">
        <f>IF(Table41[[#This Row],[CODE]]=17, Table41[ [#This Row],[Account Deposit Amount] ]-Table41[ [#This Row],[Account Withdrawl Amount] ], )</f>
        <v>#VALUE!</v>
      </c>
      <c r="V243" s="19" t="e">
        <f>IF(Table41[[#This Row],[CODE]]=18, Table41[ [#This Row],[Account Deposit Amount] ]-Table41[ [#This Row],[Account Withdrawl Amount] ], )</f>
        <v>#VALUE!</v>
      </c>
    </row>
    <row r="244" spans="21:22" ht="12.6" thickBot="1">
      <c r="U244" s="17" t="e">
        <f>IF(Table41[[#This Row],[CODE]]=17, Table41[ [#This Row],[Account Deposit Amount] ]-Table41[ [#This Row],[Account Withdrawl Amount] ], )</f>
        <v>#VALUE!</v>
      </c>
      <c r="V244" s="19" t="e">
        <f>IF(Table41[[#This Row],[CODE]]=18, Table41[ [#This Row],[Account Deposit Amount] ]-Table41[ [#This Row],[Account Withdrawl Amount] ], )</f>
        <v>#VALUE!</v>
      </c>
    </row>
    <row r="245" spans="21:22" ht="12.6" thickBot="1">
      <c r="U245" s="17" t="e">
        <f>IF(Table41[[#This Row],[CODE]]=17, Table41[ [#This Row],[Account Deposit Amount] ]-Table41[ [#This Row],[Account Withdrawl Amount] ], )</f>
        <v>#VALUE!</v>
      </c>
      <c r="V245" s="19" t="e">
        <f>IF(Table41[[#This Row],[CODE]]=18, Table41[ [#This Row],[Account Deposit Amount] ]-Table41[ [#This Row],[Account Withdrawl Amount] ], )</f>
        <v>#VALUE!</v>
      </c>
    </row>
    <row r="246" spans="21:22" ht="12.6" thickBot="1">
      <c r="U246" s="17" t="e">
        <f>IF(Table41[[#This Row],[CODE]]=17, Table41[ [#This Row],[Account Deposit Amount] ]-Table41[ [#This Row],[Account Withdrawl Amount] ], )</f>
        <v>#VALUE!</v>
      </c>
      <c r="V246" s="19" t="e">
        <f>IF(Table41[[#This Row],[CODE]]=18, Table41[ [#This Row],[Account Deposit Amount] ]-Table41[ [#This Row],[Account Withdrawl Amount] ], )</f>
        <v>#VALUE!</v>
      </c>
    </row>
    <row r="247" spans="21:22" ht="12.6" thickBot="1">
      <c r="U247" s="17" t="e">
        <f>IF(Table41[[#This Row],[CODE]]=17, Table41[ [#This Row],[Account Deposit Amount] ]-Table41[ [#This Row],[Account Withdrawl Amount] ], )</f>
        <v>#VALUE!</v>
      </c>
      <c r="V247" s="19" t="e">
        <f>IF(Table41[[#This Row],[CODE]]=18, Table41[ [#This Row],[Account Deposit Amount] ]-Table41[ [#This Row],[Account Withdrawl Amount] ], )</f>
        <v>#VALUE!</v>
      </c>
    </row>
    <row r="248" spans="21:22" ht="12.6" thickBot="1">
      <c r="U248" s="17" t="e">
        <f>IF(Table41[[#This Row],[CODE]]=17, Table41[ [#This Row],[Account Deposit Amount] ]-Table41[ [#This Row],[Account Withdrawl Amount] ], )</f>
        <v>#VALUE!</v>
      </c>
      <c r="V248" s="19" t="e">
        <f>IF(Table41[[#This Row],[CODE]]=18, Table41[ [#This Row],[Account Deposit Amount] ]-Table41[ [#This Row],[Account Withdrawl Amount] ], )</f>
        <v>#VALUE!</v>
      </c>
    </row>
    <row r="249" spans="21:22" ht="12.6" thickBot="1">
      <c r="U249" s="17" t="e">
        <f>IF(Table41[[#This Row],[CODE]]=17, Table41[ [#This Row],[Account Deposit Amount] ]-Table41[ [#This Row],[Account Withdrawl Amount] ], )</f>
        <v>#VALUE!</v>
      </c>
      <c r="V249" s="19" t="e">
        <f>IF(Table41[[#This Row],[CODE]]=18, Table41[ [#This Row],[Account Deposit Amount] ]-Table41[ [#This Row],[Account Withdrawl Amount] ], )</f>
        <v>#VALUE!</v>
      </c>
    </row>
    <row r="250" spans="21:22" ht="12.6" thickBot="1">
      <c r="U250" s="17" t="e">
        <f>IF(Table41[[#This Row],[CODE]]=17, Table41[ [#This Row],[Account Deposit Amount] ]-Table41[ [#This Row],[Account Withdrawl Amount] ], )</f>
        <v>#VALUE!</v>
      </c>
      <c r="V250" s="19" t="e">
        <f>IF(Table41[[#This Row],[CODE]]=18, Table41[ [#This Row],[Account Deposit Amount] ]-Table41[ [#This Row],[Account Withdrawl Amount] ], )</f>
        <v>#VALUE!</v>
      </c>
    </row>
    <row r="251" spans="21:22" ht="12.6" thickBot="1">
      <c r="U251" s="17" t="e">
        <f>IF(Table41[[#This Row],[CODE]]=17, Table41[ [#This Row],[Account Deposit Amount] ]-Table41[ [#This Row],[Account Withdrawl Amount] ], )</f>
        <v>#VALUE!</v>
      </c>
      <c r="V251" s="19" t="e">
        <f>IF(Table41[[#This Row],[CODE]]=18, Table41[ [#This Row],[Account Deposit Amount] ]-Table41[ [#This Row],[Account Withdrawl Amount] ], )</f>
        <v>#VALUE!</v>
      </c>
    </row>
    <row r="252" spans="21:22" ht="12.6" thickBot="1">
      <c r="U252" s="17" t="e">
        <f>IF(Table41[[#This Row],[CODE]]=17, Table41[ [#This Row],[Account Deposit Amount] ]-Table41[ [#This Row],[Account Withdrawl Amount] ], )</f>
        <v>#VALUE!</v>
      </c>
      <c r="V252" s="19" t="e">
        <f>IF(Table41[[#This Row],[CODE]]=18, Table41[ [#This Row],[Account Deposit Amount] ]-Table41[ [#This Row],[Account Withdrawl Amount] ], )</f>
        <v>#VALUE!</v>
      </c>
    </row>
    <row r="253" spans="21:22" ht="12.6" thickBot="1">
      <c r="U253" s="17" t="e">
        <f>IF(Table41[[#This Row],[CODE]]=17, Table41[ [#This Row],[Account Deposit Amount] ]-Table41[ [#This Row],[Account Withdrawl Amount] ], )</f>
        <v>#VALUE!</v>
      </c>
      <c r="V253" s="19" t="e">
        <f>IF(Table41[[#This Row],[CODE]]=18, Table41[ [#This Row],[Account Deposit Amount] ]-Table41[ [#This Row],[Account Withdrawl Amount] ], )</f>
        <v>#VALUE!</v>
      </c>
    </row>
    <row r="254" spans="21:22" ht="12.6" thickBot="1">
      <c r="U254" s="17" t="e">
        <f>IF(Table41[[#This Row],[CODE]]=17, Table41[ [#This Row],[Account Deposit Amount] ]-Table41[ [#This Row],[Account Withdrawl Amount] ], )</f>
        <v>#VALUE!</v>
      </c>
      <c r="V254" s="19" t="e">
        <f>IF(Table41[[#This Row],[CODE]]=18, Table41[ [#This Row],[Account Deposit Amount] ]-Table41[ [#This Row],[Account Withdrawl Amount] ], )</f>
        <v>#VALUE!</v>
      </c>
    </row>
    <row r="255" spans="21:22" ht="12.6" thickBot="1">
      <c r="U255" s="17" t="e">
        <f>IF(Table41[[#This Row],[CODE]]=17, Table41[ [#This Row],[Account Deposit Amount] ]-Table41[ [#This Row],[Account Withdrawl Amount] ], )</f>
        <v>#VALUE!</v>
      </c>
      <c r="V255" s="19" t="e">
        <f>IF(Table41[[#This Row],[CODE]]=18, Table41[ [#This Row],[Account Deposit Amount] ]-Table41[ [#This Row],[Account Withdrawl Amount] ], )</f>
        <v>#VALUE!</v>
      </c>
    </row>
    <row r="256" spans="21:22" ht="12.6" thickBot="1">
      <c r="U256" s="17" t="e">
        <f>IF(Table41[[#This Row],[CODE]]=17, Table41[ [#This Row],[Account Deposit Amount] ]-Table41[ [#This Row],[Account Withdrawl Amount] ], )</f>
        <v>#VALUE!</v>
      </c>
      <c r="V256" s="19" t="e">
        <f>IF(Table41[[#This Row],[CODE]]=18, Table41[ [#This Row],[Account Deposit Amount] ]-Table41[ [#This Row],[Account Withdrawl Amount] ], )</f>
        <v>#VALUE!</v>
      </c>
    </row>
    <row r="257" spans="21:22" ht="12.6" thickBot="1">
      <c r="U257" s="17" t="e">
        <f>IF(Table41[[#This Row],[CODE]]=17, Table41[ [#This Row],[Account Deposit Amount] ]-Table41[ [#This Row],[Account Withdrawl Amount] ], )</f>
        <v>#VALUE!</v>
      </c>
      <c r="V257" s="19" t="e">
        <f>IF(Table41[[#This Row],[CODE]]=18, Table41[ [#This Row],[Account Deposit Amount] ]-Table41[ [#This Row],[Account Withdrawl Amount] ], )</f>
        <v>#VALUE!</v>
      </c>
    </row>
    <row r="258" spans="21:22" ht="12.6" thickBot="1">
      <c r="U258" s="17" t="e">
        <f>IF(Table41[[#This Row],[CODE]]=17, Table41[ [#This Row],[Account Deposit Amount] ]-Table41[ [#This Row],[Account Withdrawl Amount] ], )</f>
        <v>#VALUE!</v>
      </c>
      <c r="V258" s="19" t="e">
        <f>IF(Table41[[#This Row],[CODE]]=18, Table41[ [#This Row],[Account Deposit Amount] ]-Table41[ [#This Row],[Account Withdrawl Amount] ], )</f>
        <v>#VALUE!</v>
      </c>
    </row>
    <row r="259" spans="21:22" ht="12.6" thickBot="1">
      <c r="U259" s="17" t="e">
        <f>IF(Table41[[#This Row],[CODE]]=17, Table41[ [#This Row],[Account Deposit Amount] ]-Table41[ [#This Row],[Account Withdrawl Amount] ], )</f>
        <v>#VALUE!</v>
      </c>
      <c r="V259" s="19" t="e">
        <f>IF(Table41[[#This Row],[CODE]]=18, Table41[ [#This Row],[Account Deposit Amount] ]-Table41[ [#This Row],[Account Withdrawl Amount] ], )</f>
        <v>#VALUE!</v>
      </c>
    </row>
    <row r="260" spans="21:22" ht="12.6" thickBot="1">
      <c r="U260" s="17" t="e">
        <f>IF(Table41[[#This Row],[CODE]]=17, Table41[ [#This Row],[Account Deposit Amount] ]-Table41[ [#This Row],[Account Withdrawl Amount] ], )</f>
        <v>#VALUE!</v>
      </c>
      <c r="V260" s="19" t="e">
        <f>IF(Table41[[#This Row],[CODE]]=18, Table41[ [#This Row],[Account Deposit Amount] ]-Table41[ [#This Row],[Account Withdrawl Amount] ], )</f>
        <v>#VALUE!</v>
      </c>
    </row>
    <row r="261" spans="21:22" ht="12.6" thickBot="1">
      <c r="U261" s="17" t="e">
        <f>IF(Table41[[#This Row],[CODE]]=17, Table41[ [#This Row],[Account Deposit Amount] ]-Table41[ [#This Row],[Account Withdrawl Amount] ], )</f>
        <v>#VALUE!</v>
      </c>
      <c r="V261" s="19" t="e">
        <f>IF(Table41[[#This Row],[CODE]]=18, Table41[ [#This Row],[Account Deposit Amount] ]-Table41[ [#This Row],[Account Withdrawl Amount] ], )</f>
        <v>#VALUE!</v>
      </c>
    </row>
    <row r="262" spans="21:22" ht="12.6" thickBot="1">
      <c r="U262" s="17" t="e">
        <f>IF(Table41[[#This Row],[CODE]]=17, Table41[ [#This Row],[Account Deposit Amount] ]-Table41[ [#This Row],[Account Withdrawl Amount] ], )</f>
        <v>#VALUE!</v>
      </c>
      <c r="V262" s="19" t="e">
        <f>IF(Table41[[#This Row],[CODE]]=18, Table41[ [#This Row],[Account Deposit Amount] ]-Table41[ [#This Row],[Account Withdrawl Amount] ], )</f>
        <v>#VALUE!</v>
      </c>
    </row>
    <row r="263" spans="21:22" ht="12.6" thickBot="1">
      <c r="U263" s="17" t="e">
        <f>IF(Table41[[#This Row],[CODE]]=17, Table41[ [#This Row],[Account Deposit Amount] ]-Table41[ [#This Row],[Account Withdrawl Amount] ], )</f>
        <v>#VALUE!</v>
      </c>
      <c r="V263" s="19" t="e">
        <f>IF(Table41[[#This Row],[CODE]]=18, Table41[ [#This Row],[Account Deposit Amount] ]-Table41[ [#This Row],[Account Withdrawl Amount] ], )</f>
        <v>#VALUE!</v>
      </c>
    </row>
    <row r="264" spans="21:22" ht="12.6" thickBot="1">
      <c r="U264" s="17" t="e">
        <f>IF(Table41[[#This Row],[CODE]]=17, Table41[ [#This Row],[Account Deposit Amount] ]-Table41[ [#This Row],[Account Withdrawl Amount] ], )</f>
        <v>#VALUE!</v>
      </c>
      <c r="V264" s="19" t="e">
        <f>IF(Table41[[#This Row],[CODE]]=18, Table41[ [#This Row],[Account Deposit Amount] ]-Table41[ [#This Row],[Account Withdrawl Amount] ], )</f>
        <v>#VALUE!</v>
      </c>
    </row>
    <row r="265" spans="21:22" ht="12.6" thickBot="1">
      <c r="U265" s="17" t="e">
        <f>IF(Table41[[#This Row],[CODE]]=17, Table41[ [#This Row],[Account Deposit Amount] ]-Table41[ [#This Row],[Account Withdrawl Amount] ], )</f>
        <v>#VALUE!</v>
      </c>
      <c r="V265" s="19" t="e">
        <f>IF(Table41[[#This Row],[CODE]]=18, Table41[ [#This Row],[Account Deposit Amount] ]-Table41[ [#This Row],[Account Withdrawl Amount] ], )</f>
        <v>#VALUE!</v>
      </c>
    </row>
    <row r="266" spans="21:22" ht="12.6" thickBot="1">
      <c r="U266" s="17" t="e">
        <f>IF(Table41[[#This Row],[CODE]]=17, Table41[ [#This Row],[Account Deposit Amount] ]-Table41[ [#This Row],[Account Withdrawl Amount] ], )</f>
        <v>#VALUE!</v>
      </c>
      <c r="V266" s="19" t="e">
        <f>IF(Table41[[#This Row],[CODE]]=18, Table41[ [#This Row],[Account Deposit Amount] ]-Table41[ [#This Row],[Account Withdrawl Amount] ], )</f>
        <v>#VALUE!</v>
      </c>
    </row>
    <row r="267" spans="21:22" ht="12.6" thickBot="1">
      <c r="U267" s="17" t="e">
        <f>IF(Table41[[#This Row],[CODE]]=17, Table41[ [#This Row],[Account Deposit Amount] ]-Table41[ [#This Row],[Account Withdrawl Amount] ], )</f>
        <v>#VALUE!</v>
      </c>
      <c r="V267" s="19" t="e">
        <f>IF(Table41[[#This Row],[CODE]]=18, Table41[ [#This Row],[Account Deposit Amount] ]-Table41[ [#This Row],[Account Withdrawl Amount] ], )</f>
        <v>#VALUE!</v>
      </c>
    </row>
    <row r="268" spans="21:22" ht="12.6" thickBot="1">
      <c r="U268" s="17" t="e">
        <f>IF(Table41[[#This Row],[CODE]]=17, Table41[ [#This Row],[Account Deposit Amount] ]-Table41[ [#This Row],[Account Withdrawl Amount] ], )</f>
        <v>#VALUE!</v>
      </c>
      <c r="V268" s="19" t="e">
        <f>IF(Table41[[#This Row],[CODE]]=18, Table41[ [#This Row],[Account Deposit Amount] ]-Table41[ [#This Row],[Account Withdrawl Amount] ], )</f>
        <v>#VALUE!</v>
      </c>
    </row>
    <row r="269" spans="21:22" ht="12.6" thickBot="1">
      <c r="U269" s="17" t="e">
        <f>IF(Table41[[#This Row],[CODE]]=17, Table41[ [#This Row],[Account Deposit Amount] ]-Table41[ [#This Row],[Account Withdrawl Amount] ], )</f>
        <v>#VALUE!</v>
      </c>
      <c r="V269" s="19" t="e">
        <f>IF(Table41[[#This Row],[CODE]]=18, Table41[ [#This Row],[Account Deposit Amount] ]-Table41[ [#This Row],[Account Withdrawl Amount] ], )</f>
        <v>#VALUE!</v>
      </c>
    </row>
    <row r="270" spans="21:22" ht="12.6" thickBot="1">
      <c r="U270" s="17">
        <v>235</v>
      </c>
      <c r="V270" s="19" t="e">
        <f>IF(Table41[[#This Row],[CODE]]=18, Table41[ [#This Row],[Account Deposit Amount] ]-Table41[ [#This Row],[Account Withdrawl Amount] ], )</f>
        <v>#VALUE!</v>
      </c>
    </row>
    <row r="271" spans="21:22" ht="12.6" thickBot="1">
      <c r="U271" s="17" t="e">
        <f>IF(Table41[[#This Row],[CODE]]=17, Table41[ [#This Row],[Account Deposit Amount] ]-Table41[ [#This Row],[Account Withdrawl Amount] ], )</f>
        <v>#VALUE!</v>
      </c>
      <c r="V271" s="19" t="e">
        <f>IF(Table41[[#This Row],[CODE]]=18, Table41[ [#This Row],[Account Deposit Amount] ]-Table41[ [#This Row],[Account Withdrawl Amount] ], )</f>
        <v>#VALUE!</v>
      </c>
    </row>
    <row r="272" spans="21:22" ht="12.6" thickBot="1">
      <c r="U272" s="17" t="e">
        <f>IF(Table41[[#This Row],[CODE]]=17, Table41[ [#This Row],[Account Deposit Amount] ]-Table41[ [#This Row],[Account Withdrawl Amount] ], )</f>
        <v>#VALUE!</v>
      </c>
      <c r="V272" s="19" t="e">
        <f>IF(Table41[[#This Row],[CODE]]=18, Table41[ [#This Row],[Account Deposit Amount] ]-Table41[ [#This Row],[Account Withdrawl Amount] ], )</f>
        <v>#VALUE!</v>
      </c>
    </row>
    <row r="273" spans="21:22" ht="12.6" thickBot="1">
      <c r="U273" s="17" t="e">
        <f>IF(Table41[[#This Row],[CODE]]=17, Table41[ [#This Row],[Account Deposit Amount] ]-Table41[ [#This Row],[Account Withdrawl Amount] ], )</f>
        <v>#VALUE!</v>
      </c>
      <c r="V273" s="19" t="e">
        <f>IF(Table41[[#This Row],[CODE]]=18, Table41[ [#This Row],[Account Deposit Amount] ]-Table41[ [#This Row],[Account Withdrawl Amount] ], )</f>
        <v>#VALUE!</v>
      </c>
    </row>
  </sheetData>
  <sheetProtection formatCells="0" formatColumns="0" formatRows="0" insertColumns="0" insertRows="0" selectLockedCells="1" sort="0" autoFilter="0"/>
  <mergeCells count="4">
    <mergeCell ref="I1:L1"/>
    <mergeCell ref="M1:N1"/>
    <mergeCell ref="O1:T1"/>
    <mergeCell ref="U1:V1"/>
  </mergeCells>
  <pageMargins left="0.7" right="0.7" top="0.75" bottom="0.75" header="0.3" footer="0.3"/>
  <pageSetup orientation="portrait" r:id="rId1"/>
  <legacy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B0753-AA9C-4046-AC24-10DAF79B8503}">
  <dimension ref="A1:AB100"/>
  <sheetViews>
    <sheetView topLeftCell="L1" zoomScale="97" workbookViewId="0">
      <selection activeCell="V4" sqref="V4"/>
    </sheetView>
  </sheetViews>
  <sheetFormatPr defaultColWidth="12.44140625" defaultRowHeight="15.6"/>
  <cols>
    <col min="1" max="16384" width="12.44140625" style="126"/>
  </cols>
  <sheetData>
    <row r="1" spans="1:28" s="4" customFormat="1" ht="15.75" customHeight="1" thickBot="1">
      <c r="A1" s="16"/>
      <c r="B1" s="2"/>
      <c r="C1" s="1"/>
      <c r="D1" s="1"/>
      <c r="E1" s="29"/>
      <c r="F1" s="30"/>
      <c r="G1" s="3" t="s">
        <v>180</v>
      </c>
      <c r="H1" s="3"/>
      <c r="I1" s="338" t="s">
        <v>49</v>
      </c>
      <c r="J1" s="339"/>
      <c r="K1" s="339"/>
      <c r="L1" s="339"/>
      <c r="M1" s="340">
        <f>SUM(I2:N2)</f>
        <v>1745</v>
      </c>
      <c r="N1" s="340"/>
      <c r="O1" s="344" t="s">
        <v>50</v>
      </c>
      <c r="P1" s="344"/>
      <c r="Q1" s="344"/>
      <c r="R1" s="344"/>
      <c r="S1" s="344"/>
      <c r="T1" s="344"/>
      <c r="U1" s="342">
        <f>SUM(O2:V2)</f>
        <v>-380.79000000000008</v>
      </c>
      <c r="V1" s="343"/>
      <c r="W1" s="1"/>
      <c r="X1" s="1"/>
      <c r="Y1" s="1"/>
      <c r="Z1" s="1"/>
    </row>
    <row r="2" spans="1:28" s="4" customFormat="1" ht="12.6" thickBot="1">
      <c r="A2" s="1"/>
      <c r="B2" s="2"/>
      <c r="C2" s="1"/>
      <c r="D2" s="1" t="s">
        <v>51</v>
      </c>
      <c r="E2" s="5">
        <f>SUM(E4:E1173)</f>
        <v>1853.5800000000002</v>
      </c>
      <c r="F2" s="5">
        <f>SUM(F4:F1173)</f>
        <v>489.37</v>
      </c>
      <c r="G2" s="6">
        <f>G4+E2-F2</f>
        <v>17422.709999999995</v>
      </c>
      <c r="H2" s="81"/>
      <c r="I2" s="7">
        <f t="shared" ref="I2:T2" si="0">SUM(I4:I1173)</f>
        <v>1531</v>
      </c>
      <c r="J2" s="8">
        <f t="shared" si="0"/>
        <v>0</v>
      </c>
      <c r="K2" s="8">
        <f t="shared" si="0"/>
        <v>0</v>
      </c>
      <c r="L2" s="7">
        <f t="shared" si="0"/>
        <v>50</v>
      </c>
      <c r="M2" s="7">
        <f t="shared" si="0"/>
        <v>0</v>
      </c>
      <c r="N2" s="7">
        <f t="shared" si="0"/>
        <v>164</v>
      </c>
      <c r="O2" s="9">
        <f t="shared" si="0"/>
        <v>0</v>
      </c>
      <c r="P2" s="9">
        <f t="shared" si="0"/>
        <v>35.51</v>
      </c>
      <c r="Q2" s="9">
        <f t="shared" si="0"/>
        <v>-342.31000000000006</v>
      </c>
      <c r="R2" s="9">
        <f t="shared" si="0"/>
        <v>0</v>
      </c>
      <c r="S2" s="9">
        <f t="shared" si="0"/>
        <v>-23.990000000000002</v>
      </c>
      <c r="T2" s="9">
        <f t="shared" si="0"/>
        <v>-50</v>
      </c>
      <c r="U2" s="9">
        <f t="shared" ref="U2:V2" si="1">SUM(U4:U1006)</f>
        <v>0</v>
      </c>
      <c r="V2" s="9">
        <f t="shared" si="1"/>
        <v>0</v>
      </c>
      <c r="W2" s="1"/>
      <c r="X2" s="1"/>
      <c r="Y2" s="1"/>
      <c r="Z2" s="1"/>
    </row>
    <row r="3" spans="1:28"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167" t="s">
        <v>198</v>
      </c>
      <c r="W3" s="35" t="s">
        <v>198</v>
      </c>
      <c r="X3" s="14"/>
      <c r="Y3" s="14"/>
      <c r="Z3" s="14"/>
      <c r="AA3" s="14"/>
      <c r="AB3" s="14"/>
    </row>
    <row r="4" spans="1:28" ht="24.6" thickBot="1">
      <c r="A4" s="138"/>
      <c r="B4" s="139">
        <v>44835</v>
      </c>
      <c r="C4" s="146" t="s">
        <v>384</v>
      </c>
      <c r="D4" s="138"/>
      <c r="E4" s="145"/>
      <c r="F4" s="144"/>
      <c r="G4" s="143">
        <f>Sept!G2</f>
        <v>16058.499999999995</v>
      </c>
      <c r="H4" s="155"/>
      <c r="I4" s="127">
        <f>IF(Table312[[#This Row],[CODE]]=1, Table312[ [#This Row],[Account Deposit Amount] ]-Table312[ [#This Row],[Account Withdrawl Amount] ], )</f>
        <v>0</v>
      </c>
      <c r="J4" s="142">
        <f>IF(Table312[[#This Row],[CODE]]=2, Table312[ [#This Row],[Account Deposit Amount] ]-Table312[ [#This Row],[Account Withdrawl Amount] ], )</f>
        <v>0</v>
      </c>
      <c r="K4" s="142">
        <f>IF(Table312[[#This Row],[CODE]]=3, Table312[ [#This Row],[Account Deposit Amount] ]-Table312[ [#This Row],[Account Withdrawl Amount] ], )</f>
        <v>0</v>
      </c>
      <c r="L4" s="141">
        <f>IF(Table312[[#This Row],[CODE]]=4, Table312[ [#This Row],[Account Deposit Amount] ]-Table312[ [#This Row],[Account Withdrawl Amount] ], )</f>
        <v>0</v>
      </c>
      <c r="M4" s="141">
        <f>IF(Table312[[#This Row],[CODE]]=5, Table312[ [#This Row],[Account Deposit Amount] ]-Table312[ [#This Row],[Account Withdrawl Amount] ], )</f>
        <v>0</v>
      </c>
      <c r="N4" s="141">
        <f>IF(Table312[[#This Row],[CODE]]=6, Table312[ [#This Row],[Account Deposit Amount] ]-Table312[ [#This Row],[Account Withdrawl Amount] ], )</f>
        <v>0</v>
      </c>
      <c r="O4" s="141">
        <f>IF(Table312[[#This Row],[CODE]]=11, Table312[ [#This Row],[Account Deposit Amount] ]-Table312[ [#This Row],[Account Withdrawl Amount] ], )</f>
        <v>0</v>
      </c>
      <c r="P4" s="141">
        <f>IF(Table312[[#This Row],[CODE]]=12, Table312[ [#This Row],[Account Deposit Amount] ]-Table312[ [#This Row],[Account Withdrawl Amount] ], )</f>
        <v>0</v>
      </c>
      <c r="Q4" s="141">
        <f>IF(Table312[[#This Row],[CODE]]=13, Table312[ [#This Row],[Account Deposit Amount] ]-Table312[ [#This Row],[Account Withdrawl Amount] ], )</f>
        <v>0</v>
      </c>
      <c r="R4" s="141">
        <f>IF(Table312[[#This Row],[CODE]]=14, Table312[ [#This Row],[Account Deposit Amount] ]-Table312[ [#This Row],[Account Withdrawl Amount] ], )</f>
        <v>0</v>
      </c>
      <c r="S4" s="141">
        <f>IF(Table312[[#This Row],[CODE]]=15, Table312[ [#This Row],[Account Deposit Amount] ]-Table312[ [#This Row],[Account Withdrawl Amount] ], )</f>
        <v>0</v>
      </c>
      <c r="T4" s="141">
        <f>IF(Table312[[#This Row],[CODE]]=16, Table312[ [#This Row],[Account Deposit Amount] ]-Table312[ [#This Row],[Account Withdrawl Amount] ], )</f>
        <v>0</v>
      </c>
      <c r="U4" s="141">
        <f>IF(Table312[[#This Row],[CODE]]=17, Table312[ [#This Row],[Account Deposit Amount] ]-Table312[ [#This Row],[Account Withdrawl Amount] ], )</f>
        <v>0</v>
      </c>
      <c r="V4" s="168">
        <f>IF(Table312[[#This Row],[CODE]]=18, Table312[ [#This Row],[Account Deposit Amount] ]-Table312[ [#This Row],[Account Withdrawl Amount] ], )</f>
        <v>0</v>
      </c>
    </row>
    <row r="5" spans="1:28" ht="24.6" thickBot="1">
      <c r="A5" s="140" t="s">
        <v>241</v>
      </c>
      <c r="B5" s="139">
        <v>45200</v>
      </c>
      <c r="C5" s="138" t="s">
        <v>296</v>
      </c>
      <c r="D5" s="138" t="s">
        <v>385</v>
      </c>
      <c r="E5" s="136"/>
      <c r="F5" s="136">
        <v>7.98</v>
      </c>
      <c r="G5" s="134">
        <f t="shared" ref="G5:G36" si="2">G4+E5-F5</f>
        <v>16050.519999999995</v>
      </c>
      <c r="H5" s="138">
        <v>13</v>
      </c>
      <c r="I5" s="127">
        <f>IF(Table312[[#This Row],[CODE]]=1, Table312[ [#This Row],[Account Deposit Amount] ]-Table312[ [#This Row],[Account Withdrawl Amount] ], )</f>
        <v>0</v>
      </c>
      <c r="J5" s="137">
        <f>IF(Table312[[#This Row],[CODE]]=2, Table312[ [#This Row],[Account Deposit Amount] ]-Table312[ [#This Row],[Account Withdrawl Amount] ], )</f>
        <v>0</v>
      </c>
      <c r="K5" s="137">
        <f>IF(Table312[[#This Row],[CODE]]=3, Table312[ [#This Row],[Account Deposit Amount] ]-Table312[ [#This Row],[Account Withdrawl Amount] ], )</f>
        <v>0</v>
      </c>
      <c r="L5" s="136">
        <f>IF(Table312[[#This Row],[CODE]]=4, Table312[ [#This Row],[Account Deposit Amount] ]-Table312[ [#This Row],[Account Withdrawl Amount] ], )</f>
        <v>0</v>
      </c>
      <c r="M5" s="136">
        <f>IF(Table312[[#This Row],[CODE]]=5, Table312[ [#This Row],[Account Deposit Amount] ]-Table312[ [#This Row],[Account Withdrawl Amount] ], )</f>
        <v>0</v>
      </c>
      <c r="N5" s="136">
        <f>IF(Table312[[#This Row],[CODE]]=6, Table312[ [#This Row],[Account Deposit Amount] ]-Table312[ [#This Row],[Account Withdrawl Amount] ], )</f>
        <v>0</v>
      </c>
      <c r="O5" s="136">
        <f>IF(Table312[[#This Row],[CODE]]=11, Table312[ [#This Row],[Account Deposit Amount] ]-Table312[ [#This Row],[Account Withdrawl Amount] ], )</f>
        <v>0</v>
      </c>
      <c r="P5" s="136">
        <f>IF(Table312[[#This Row],[CODE]]=12, Table312[ [#This Row],[Account Deposit Amount] ]-Table312[ [#This Row],[Account Withdrawl Amount] ], )</f>
        <v>0</v>
      </c>
      <c r="Q5" s="136">
        <f>IF(Table312[[#This Row],[CODE]]=13, Table312[ [#This Row],[Account Deposit Amount] ]-Table312[ [#This Row],[Account Withdrawl Amount] ], )</f>
        <v>-7.98</v>
      </c>
      <c r="R5" s="136">
        <f>IF(Table312[[#This Row],[CODE]]=14, Table312[ [#This Row],[Account Deposit Amount] ]-Table312[ [#This Row],[Account Withdrawl Amount] ], )</f>
        <v>0</v>
      </c>
      <c r="S5" s="136">
        <f>IF(Table312[[#This Row],[CODE]]=15, Table312[ [#This Row],[Account Deposit Amount] ]-Table312[ [#This Row],[Account Withdrawl Amount] ], )</f>
        <v>0</v>
      </c>
      <c r="T5" s="136">
        <f>IF(Table312[[#This Row],[CODE]]=16, Table312[ [#This Row],[Account Deposit Amount] ]-Table312[ [#This Row],[Account Withdrawl Amount] ], )</f>
        <v>0</v>
      </c>
      <c r="U5" s="135">
        <f>IF(Table312[[#This Row],[CODE]]=17, Table312[ [#This Row],[Account Deposit Amount] ]-Table312[ [#This Row],[Account Withdrawl Amount] ], )</f>
        <v>0</v>
      </c>
      <c r="V5" s="169">
        <f>IF(Table312[[#This Row],[CODE]]=18, Table312[ [#This Row],[Account Deposit Amount] ]-Table312[ [#This Row],[Account Withdrawl Amount] ], )</f>
        <v>0</v>
      </c>
    </row>
    <row r="6" spans="1:28" ht="25.2" thickBot="1">
      <c r="A6" s="130" t="s">
        <v>241</v>
      </c>
      <c r="B6" s="133">
        <v>45202</v>
      </c>
      <c r="C6" s="130" t="s">
        <v>201</v>
      </c>
      <c r="D6" s="132" t="s">
        <v>386</v>
      </c>
      <c r="E6" s="128"/>
      <c r="F6" s="128">
        <v>25</v>
      </c>
      <c r="G6" s="134">
        <f t="shared" si="2"/>
        <v>16025.519999999995</v>
      </c>
      <c r="H6" s="130">
        <v>11</v>
      </c>
      <c r="I6" s="127">
        <f>IF(Table312[[#This Row],[CODE]]=1, Table312[ [#This Row],[Account Deposit Amount] ]-Table312[ [#This Row],[Account Withdrawl Amount] ], )</f>
        <v>0</v>
      </c>
      <c r="J6" s="129">
        <f>IF(Table312[[#This Row],[CODE]]=2, Table312[ [#This Row],[Account Deposit Amount] ]-Table312[ [#This Row],[Account Withdrawl Amount] ], )</f>
        <v>0</v>
      </c>
      <c r="K6" s="129">
        <f>IF(Table312[[#This Row],[CODE]]=3, Table312[ [#This Row],[Account Deposit Amount] ]-Table312[ [#This Row],[Account Withdrawl Amount] ], )</f>
        <v>0</v>
      </c>
      <c r="L6" s="128">
        <f>IF(Table312[[#This Row],[CODE]]=4, Table312[ [#This Row],[Account Deposit Amount] ]-Table312[ [#This Row],[Account Withdrawl Amount] ], )</f>
        <v>0</v>
      </c>
      <c r="M6" s="128">
        <f>IF(Table312[[#This Row],[CODE]]=5, Table312[ [#This Row],[Account Deposit Amount] ]-Table312[ [#This Row],[Account Withdrawl Amount] ], )</f>
        <v>0</v>
      </c>
      <c r="N6" s="128">
        <f>IF(Table312[[#This Row],[CODE]]=6, Table312[ [#This Row],[Account Deposit Amount] ]-Table312[ [#This Row],[Account Withdrawl Amount] ], )</f>
        <v>0</v>
      </c>
      <c r="O6" s="128">
        <f>IF(Table312[[#This Row],[CODE]]=11, Table312[ [#This Row],[Account Deposit Amount] ]-Table312[ [#This Row],[Account Withdrawl Amount] ], )</f>
        <v>-25</v>
      </c>
      <c r="P6" s="128">
        <f>IF(Table312[[#This Row],[CODE]]=12, Table312[ [#This Row],[Account Deposit Amount] ]-Table312[ [#This Row],[Account Withdrawl Amount] ], )</f>
        <v>0</v>
      </c>
      <c r="Q6" s="128">
        <f>IF(Table312[[#This Row],[CODE]]=13, Table312[ [#This Row],[Account Deposit Amount] ]-Table312[ [#This Row],[Account Withdrawl Amount] ], )</f>
        <v>0</v>
      </c>
      <c r="R6" s="128">
        <f>IF(Table312[[#This Row],[CODE]]=14, Table312[ [#This Row],[Account Deposit Amount] ]-Table312[ [#This Row],[Account Withdrawl Amount] ], )</f>
        <v>0</v>
      </c>
      <c r="S6" s="128">
        <f>IF(Table312[[#This Row],[CODE]]=15, Table312[ [#This Row],[Account Deposit Amount] ]-Table312[ [#This Row],[Account Withdrawl Amount] ], )</f>
        <v>0</v>
      </c>
      <c r="T6" s="128">
        <f>IF(Table312[[#This Row],[CODE]]=16, Table312[ [#This Row],[Account Deposit Amount] ]-Table312[ [#This Row],[Account Withdrawl Amount] ], )</f>
        <v>0</v>
      </c>
      <c r="U6" s="127">
        <f>IF(Table312[[#This Row],[CODE]]=17, Table312[ [#This Row],[Account Deposit Amount] ]-Table312[ [#This Row],[Account Withdrawl Amount] ], )</f>
        <v>0</v>
      </c>
      <c r="V6" s="166">
        <f>IF(Table312[[#This Row],[CODE]]=18, Table312[ [#This Row],[Account Deposit Amount] ]-Table312[ [#This Row],[Account Withdrawl Amount] ], )</f>
        <v>0</v>
      </c>
    </row>
    <row r="7" spans="1:28" ht="25.2" thickBot="1">
      <c r="A7" s="130" t="s">
        <v>241</v>
      </c>
      <c r="B7" s="133">
        <v>45202</v>
      </c>
      <c r="C7" s="130" t="s">
        <v>201</v>
      </c>
      <c r="D7" s="132" t="s">
        <v>386</v>
      </c>
      <c r="E7" s="128"/>
      <c r="F7" s="128">
        <v>15</v>
      </c>
      <c r="G7" s="134">
        <f t="shared" si="2"/>
        <v>16010.519999999995</v>
      </c>
      <c r="H7" s="130">
        <v>11</v>
      </c>
      <c r="I7" s="127">
        <f>IF(Table312[[#This Row],[CODE]]=1, Table312[ [#This Row],[Account Deposit Amount] ]-Table312[ [#This Row],[Account Withdrawl Amount] ], )</f>
        <v>0</v>
      </c>
      <c r="J7" s="129">
        <f>IF(Table312[[#This Row],[CODE]]=2, Table312[ [#This Row],[Account Deposit Amount] ]-Table312[ [#This Row],[Account Withdrawl Amount] ], )</f>
        <v>0</v>
      </c>
      <c r="K7" s="129">
        <f>IF(Table312[[#This Row],[CODE]]=3, Table312[ [#This Row],[Account Deposit Amount] ]-Table312[ [#This Row],[Account Withdrawl Amount] ], )</f>
        <v>0</v>
      </c>
      <c r="L7" s="128">
        <f>IF(Table312[[#This Row],[CODE]]=4, Table312[ [#This Row],[Account Deposit Amount] ]-Table312[ [#This Row],[Account Withdrawl Amount] ], )</f>
        <v>0</v>
      </c>
      <c r="M7" s="128">
        <f>IF(Table312[[#This Row],[CODE]]=5, Table312[ [#This Row],[Account Deposit Amount] ]-Table312[ [#This Row],[Account Withdrawl Amount] ], )</f>
        <v>0</v>
      </c>
      <c r="N7" s="128">
        <f>IF(Table312[[#This Row],[CODE]]=6, Table312[ [#This Row],[Account Deposit Amount] ]-Table312[ [#This Row],[Account Withdrawl Amount] ], )</f>
        <v>0</v>
      </c>
      <c r="O7" s="128">
        <f>IF(Table312[[#This Row],[CODE]]=11, Table312[ [#This Row],[Account Deposit Amount] ]-Table312[ [#This Row],[Account Withdrawl Amount] ], )</f>
        <v>-15</v>
      </c>
      <c r="P7" s="128">
        <f>IF(Table312[[#This Row],[CODE]]=12, Table312[ [#This Row],[Account Deposit Amount] ]-Table312[ [#This Row],[Account Withdrawl Amount] ], )</f>
        <v>0</v>
      </c>
      <c r="Q7" s="128">
        <f>IF(Table312[[#This Row],[CODE]]=13, Table312[ [#This Row],[Account Deposit Amount] ]-Table312[ [#This Row],[Account Withdrawl Amount] ], )</f>
        <v>0</v>
      </c>
      <c r="R7" s="128">
        <f>IF(Table312[[#This Row],[CODE]]=14, Table312[ [#This Row],[Account Deposit Amount] ]-Table312[ [#This Row],[Account Withdrawl Amount] ], )</f>
        <v>0</v>
      </c>
      <c r="S7" s="128">
        <f>IF(Table312[[#This Row],[CODE]]=15, Table312[ [#This Row],[Account Deposit Amount] ]-Table312[ [#This Row],[Account Withdrawl Amount] ], )</f>
        <v>0</v>
      </c>
      <c r="T7" s="128">
        <f>IF(Table312[[#This Row],[CODE]]=16, Table312[ [#This Row],[Account Deposit Amount] ]-Table312[ [#This Row],[Account Withdrawl Amount] ], )</f>
        <v>0</v>
      </c>
      <c r="U7" s="127">
        <f>IF(Table312[[#This Row],[CODE]]=17, Table312[ [#This Row],[Account Deposit Amount] ]-Table312[ [#This Row],[Account Withdrawl Amount] ], )</f>
        <v>0</v>
      </c>
      <c r="V7" s="166">
        <f>IF(Table312[[#This Row],[CODE]]=18, Table312[ [#This Row],[Account Deposit Amount] ]-Table312[ [#This Row],[Account Withdrawl Amount] ], )</f>
        <v>0</v>
      </c>
    </row>
    <row r="8" spans="1:28" ht="16.2" thickBot="1">
      <c r="A8" s="130" t="s">
        <v>238</v>
      </c>
      <c r="B8" s="133">
        <v>45202</v>
      </c>
      <c r="C8" s="130" t="s">
        <v>387</v>
      </c>
      <c r="D8" s="132" t="s">
        <v>388</v>
      </c>
      <c r="E8" s="128">
        <v>35.51</v>
      </c>
      <c r="F8" s="128"/>
      <c r="G8" s="134">
        <f t="shared" si="2"/>
        <v>16046.029999999995</v>
      </c>
      <c r="H8" s="130">
        <v>12</v>
      </c>
      <c r="I8" s="127">
        <f>IF(Table312[[#This Row],[CODE]]=1, Table312[ [#This Row],[Account Deposit Amount] ]-Table312[ [#This Row],[Account Withdrawl Amount] ], )</f>
        <v>0</v>
      </c>
      <c r="J8" s="129">
        <f>IF(Table312[[#This Row],[CODE]]=2, Table312[ [#This Row],[Account Deposit Amount] ]-Table312[ [#This Row],[Account Withdrawl Amount] ], )</f>
        <v>0</v>
      </c>
      <c r="K8" s="129">
        <f>IF(Table312[[#This Row],[CODE]]=3, Table312[ [#This Row],[Account Deposit Amount] ]-Table312[ [#This Row],[Account Withdrawl Amount] ], )</f>
        <v>0</v>
      </c>
      <c r="L8" s="128">
        <f>IF(Table312[[#This Row],[CODE]]=4, Table312[ [#This Row],[Account Deposit Amount] ]-Table312[ [#This Row],[Account Withdrawl Amount] ], )</f>
        <v>0</v>
      </c>
      <c r="M8" s="128">
        <f>IF(Table312[[#This Row],[CODE]]=5, Table312[ [#This Row],[Account Deposit Amount] ]-Table312[ [#This Row],[Account Withdrawl Amount] ], )</f>
        <v>0</v>
      </c>
      <c r="N8" s="128">
        <f>IF(Table312[[#This Row],[CODE]]=6, Table312[ [#This Row],[Account Deposit Amount] ]-Table312[ [#This Row],[Account Withdrawl Amount] ], )</f>
        <v>0</v>
      </c>
      <c r="O8" s="128">
        <f>IF(Table312[[#This Row],[CODE]]=11, Table312[ [#This Row],[Account Deposit Amount] ]-Table312[ [#This Row],[Account Withdrawl Amount] ], )</f>
        <v>0</v>
      </c>
      <c r="P8" s="128">
        <f>IF(Table312[[#This Row],[CODE]]=12, Table312[ [#This Row],[Account Deposit Amount] ]-Table312[ [#This Row],[Account Withdrawl Amount] ], )</f>
        <v>35.51</v>
      </c>
      <c r="Q8" s="128">
        <f>IF(Table312[[#This Row],[CODE]]=13, Table312[ [#This Row],[Account Deposit Amount] ]-Table312[ [#This Row],[Account Withdrawl Amount] ], )</f>
        <v>0</v>
      </c>
      <c r="R8" s="128">
        <f>IF(Table312[[#This Row],[CODE]]=14, Table312[ [#This Row],[Account Deposit Amount] ]-Table312[ [#This Row],[Account Withdrawl Amount] ], )</f>
        <v>0</v>
      </c>
      <c r="S8" s="128">
        <f>IF(Table312[[#This Row],[CODE]]=15, Table312[ [#This Row],[Account Deposit Amount] ]-Table312[ [#This Row],[Account Withdrawl Amount] ], )</f>
        <v>0</v>
      </c>
      <c r="T8" s="128">
        <f>IF(Table312[[#This Row],[CODE]]=16, Table312[ [#This Row],[Account Deposit Amount] ]-Table312[ [#This Row],[Account Withdrawl Amount] ], )</f>
        <v>0</v>
      </c>
      <c r="U8" s="127">
        <f>IF(Table312[[#This Row],[CODE]]=17, Table312[ [#This Row],[Account Deposit Amount] ]-Table312[ [#This Row],[Account Withdrawl Amount] ], )</f>
        <v>0</v>
      </c>
      <c r="V8" s="166">
        <f>IF(Table312[[#This Row],[CODE]]=18, Table312[ [#This Row],[Account Deposit Amount] ]-Table312[ [#This Row],[Account Withdrawl Amount] ], )</f>
        <v>0</v>
      </c>
    </row>
    <row r="9" spans="1:28" ht="25.2" thickBot="1">
      <c r="A9" s="130" t="s">
        <v>238</v>
      </c>
      <c r="B9" s="133">
        <v>45202</v>
      </c>
      <c r="C9" s="130" t="s">
        <v>389</v>
      </c>
      <c r="D9" s="132" t="s">
        <v>390</v>
      </c>
      <c r="E9" s="128">
        <v>3.18</v>
      </c>
      <c r="F9" s="128"/>
      <c r="G9" s="134">
        <f t="shared" si="2"/>
        <v>16049.209999999995</v>
      </c>
      <c r="H9" s="156">
        <v>15</v>
      </c>
      <c r="I9" s="127">
        <f>IF(Table312[[#This Row],[CODE]]=1, Table312[ [#This Row],[Account Deposit Amount] ]-Table312[ [#This Row],[Account Withdrawl Amount] ], )</f>
        <v>0</v>
      </c>
      <c r="J9" s="129">
        <f>IF(Table312[[#This Row],[CODE]]=2, Table312[ [#This Row],[Account Deposit Amount] ]-Table312[ [#This Row],[Account Withdrawl Amount] ], )</f>
        <v>0</v>
      </c>
      <c r="K9" s="129">
        <f>IF(Table312[[#This Row],[CODE]]=3, Table312[ [#This Row],[Account Deposit Amount] ]-Table312[ [#This Row],[Account Withdrawl Amount] ], )</f>
        <v>0</v>
      </c>
      <c r="L9" s="128">
        <f>IF(Table312[[#This Row],[CODE]]=4, Table312[ [#This Row],[Account Deposit Amount] ]-Table312[ [#This Row],[Account Withdrawl Amount] ], )</f>
        <v>0</v>
      </c>
      <c r="M9" s="128">
        <f>IF(Table312[[#This Row],[CODE]]=5, Table312[ [#This Row],[Account Deposit Amount] ]-Table312[ [#This Row],[Account Withdrawl Amount] ], )</f>
        <v>0</v>
      </c>
      <c r="N9" s="128">
        <f>IF(Table312[[#This Row],[CODE]]=6, Table312[ [#This Row],[Account Deposit Amount] ]-Table312[ [#This Row],[Account Withdrawl Amount] ], )</f>
        <v>0</v>
      </c>
      <c r="O9" s="128">
        <f>IF(Table312[[#This Row],[CODE]]=11, Table312[ [#This Row],[Account Deposit Amount] ]-Table312[ [#This Row],[Account Withdrawl Amount] ], )</f>
        <v>0</v>
      </c>
      <c r="P9" s="128">
        <f>IF(Table312[[#This Row],[CODE]]=12, Table312[ [#This Row],[Account Deposit Amount] ]-Table312[ [#This Row],[Account Withdrawl Amount] ], )</f>
        <v>0</v>
      </c>
      <c r="Q9" s="128">
        <f>IF(Table312[[#This Row],[CODE]]=13, Table312[ [#This Row],[Account Deposit Amount] ]-Table312[ [#This Row],[Account Withdrawl Amount] ], )</f>
        <v>0</v>
      </c>
      <c r="R9" s="128">
        <f>IF(Table312[[#This Row],[CODE]]=14, Table312[ [#This Row],[Account Deposit Amount] ]-Table312[ [#This Row],[Account Withdrawl Amount] ], )</f>
        <v>0</v>
      </c>
      <c r="S9" s="128">
        <f>IF(Table312[[#This Row],[CODE]]=15, Table312[ [#This Row],[Account Deposit Amount] ]-Table312[ [#This Row],[Account Withdrawl Amount] ], )</f>
        <v>3.18</v>
      </c>
      <c r="T9" s="128">
        <f>IF(Table312[[#This Row],[CODE]]=16, Table312[ [#This Row],[Account Deposit Amount] ]-Table312[ [#This Row],[Account Withdrawl Amount] ], )</f>
        <v>0</v>
      </c>
      <c r="U9" s="127">
        <f>IF(Table312[[#This Row],[CODE]]=17, Table312[ [#This Row],[Account Deposit Amount] ]-Table312[ [#This Row],[Account Withdrawl Amount] ], )</f>
        <v>0</v>
      </c>
      <c r="V9" s="166">
        <f>IF(Table312[[#This Row],[CODE]]=18, Table312[ [#This Row],[Account Deposit Amount] ]-Table312[ [#This Row],[Account Withdrawl Amount] ], )</f>
        <v>0</v>
      </c>
    </row>
    <row r="10" spans="1:28" ht="16.2" thickBot="1">
      <c r="A10" s="130" t="s">
        <v>238</v>
      </c>
      <c r="B10" s="133">
        <v>45202</v>
      </c>
      <c r="C10" s="130" t="s">
        <v>391</v>
      </c>
      <c r="D10" s="132" t="s">
        <v>392</v>
      </c>
      <c r="E10" s="128">
        <v>40</v>
      </c>
      <c r="F10" s="128"/>
      <c r="G10" s="134">
        <f t="shared" si="2"/>
        <v>16089.209999999995</v>
      </c>
      <c r="H10" s="130">
        <v>11</v>
      </c>
      <c r="I10" s="127">
        <f>IF(Table312[[#This Row],[CODE]]=1, Table312[ [#This Row],[Account Deposit Amount] ]-Table312[ [#This Row],[Account Withdrawl Amount] ], )</f>
        <v>0</v>
      </c>
      <c r="J10" s="129">
        <f>IF(Table312[[#This Row],[CODE]]=2, Table312[ [#This Row],[Account Deposit Amount] ]-Table312[ [#This Row],[Account Withdrawl Amount] ], )</f>
        <v>0</v>
      </c>
      <c r="K10" s="129">
        <f>IF(Table312[[#This Row],[CODE]]=3, Table312[ [#This Row],[Account Deposit Amount] ]-Table312[ [#This Row],[Account Withdrawl Amount] ], )</f>
        <v>0</v>
      </c>
      <c r="L10" s="128">
        <f>IF(Table312[[#This Row],[CODE]]=4, Table312[ [#This Row],[Account Deposit Amount] ]-Table312[ [#This Row],[Account Withdrawl Amount] ], )</f>
        <v>0</v>
      </c>
      <c r="M10" s="128">
        <f>IF(Table312[[#This Row],[CODE]]=5, Table312[ [#This Row],[Account Deposit Amount] ]-Table312[ [#This Row],[Account Withdrawl Amount] ], )</f>
        <v>0</v>
      </c>
      <c r="N10" s="128">
        <f>IF(Table312[[#This Row],[CODE]]=6, Table312[ [#This Row],[Account Deposit Amount] ]-Table312[ [#This Row],[Account Withdrawl Amount] ], )</f>
        <v>0</v>
      </c>
      <c r="O10" s="128">
        <f>IF(Table312[[#This Row],[CODE]]=11, Table312[ [#This Row],[Account Deposit Amount] ]-Table312[ [#This Row],[Account Withdrawl Amount] ], )</f>
        <v>40</v>
      </c>
      <c r="P10" s="128">
        <f>IF(Table312[[#This Row],[CODE]]=12, Table312[ [#This Row],[Account Deposit Amount] ]-Table312[ [#This Row],[Account Withdrawl Amount] ], )</f>
        <v>0</v>
      </c>
      <c r="Q10" s="128">
        <f>IF(Table312[[#This Row],[CODE]]=13, Table312[ [#This Row],[Account Deposit Amount] ]-Table312[ [#This Row],[Account Withdrawl Amount] ], )</f>
        <v>0</v>
      </c>
      <c r="R10" s="128">
        <f>IF(Table312[[#This Row],[CODE]]=14, Table312[ [#This Row],[Account Deposit Amount] ]-Table312[ [#This Row],[Account Withdrawl Amount] ], )</f>
        <v>0</v>
      </c>
      <c r="S10" s="128">
        <f>IF(Table312[[#This Row],[CODE]]=15, Table312[ [#This Row],[Account Deposit Amount] ]-Table312[ [#This Row],[Account Withdrawl Amount] ], )</f>
        <v>0</v>
      </c>
      <c r="T10" s="128">
        <f>IF(Table312[[#This Row],[CODE]]=16, Table312[ [#This Row],[Account Deposit Amount] ]-Table312[ [#This Row],[Account Withdrawl Amount] ], )</f>
        <v>0</v>
      </c>
      <c r="U10" s="127">
        <f>IF(Table312[[#This Row],[CODE]]=17, Table312[ [#This Row],[Account Deposit Amount] ]-Table312[ [#This Row],[Account Withdrawl Amount] ], )</f>
        <v>0</v>
      </c>
      <c r="V10" s="166">
        <f>IF(Table312[[#This Row],[CODE]]=18, Table312[ [#This Row],[Account Deposit Amount] ]-Table312[ [#This Row],[Account Withdrawl Amount] ], )</f>
        <v>0</v>
      </c>
    </row>
    <row r="11" spans="1:28" ht="16.2" thickBot="1">
      <c r="A11" s="130" t="s">
        <v>241</v>
      </c>
      <c r="B11" s="133">
        <v>45204</v>
      </c>
      <c r="C11" s="130" t="s">
        <v>342</v>
      </c>
      <c r="D11" s="132" t="s">
        <v>343</v>
      </c>
      <c r="E11" s="128"/>
      <c r="F11" s="128">
        <v>28.59</v>
      </c>
      <c r="G11" s="134">
        <f t="shared" si="2"/>
        <v>16060.619999999995</v>
      </c>
      <c r="H11" s="130">
        <v>13</v>
      </c>
      <c r="I11" s="127">
        <f>IF(Table312[[#This Row],[CODE]]=1, Table312[ [#This Row],[Account Deposit Amount] ]-Table312[ [#This Row],[Account Withdrawl Amount] ], )</f>
        <v>0</v>
      </c>
      <c r="J11" s="129">
        <f>IF(Table312[[#This Row],[CODE]]=2, Table312[ [#This Row],[Account Deposit Amount] ]-Table312[ [#This Row],[Account Withdrawl Amount] ], )</f>
        <v>0</v>
      </c>
      <c r="K11" s="129">
        <f>IF(Table312[[#This Row],[CODE]]=3, Table312[ [#This Row],[Account Deposit Amount] ]-Table312[ [#This Row],[Account Withdrawl Amount] ], )</f>
        <v>0</v>
      </c>
      <c r="L11" s="128">
        <f>IF(Table312[[#This Row],[CODE]]=4, Table312[ [#This Row],[Account Deposit Amount] ]-Table312[ [#This Row],[Account Withdrawl Amount] ], )</f>
        <v>0</v>
      </c>
      <c r="M11" s="128">
        <f>IF(Table312[[#This Row],[CODE]]=5, Table312[ [#This Row],[Account Deposit Amount] ]-Table312[ [#This Row],[Account Withdrawl Amount] ], )</f>
        <v>0</v>
      </c>
      <c r="N11" s="128">
        <f>IF(Table312[[#This Row],[CODE]]=6, Table312[ [#This Row],[Account Deposit Amount] ]-Table312[ [#This Row],[Account Withdrawl Amount] ], )</f>
        <v>0</v>
      </c>
      <c r="O11" s="128">
        <f>IF(Table312[[#This Row],[CODE]]=11, Table312[ [#This Row],[Account Deposit Amount] ]-Table312[ [#This Row],[Account Withdrawl Amount] ], )</f>
        <v>0</v>
      </c>
      <c r="P11" s="128">
        <f>IF(Table312[[#This Row],[CODE]]=12, Table312[ [#This Row],[Account Deposit Amount] ]-Table312[ [#This Row],[Account Withdrawl Amount] ], )</f>
        <v>0</v>
      </c>
      <c r="Q11" s="128">
        <f>IF(Table312[[#This Row],[CODE]]=13, Table312[ [#This Row],[Account Deposit Amount] ]-Table312[ [#This Row],[Account Withdrawl Amount] ], )</f>
        <v>-28.59</v>
      </c>
      <c r="R11" s="128">
        <f>IF(Table312[[#This Row],[CODE]]=14, Table312[ [#This Row],[Account Deposit Amount] ]-Table312[ [#This Row],[Account Withdrawl Amount] ], )</f>
        <v>0</v>
      </c>
      <c r="S11" s="128">
        <f>IF(Table312[[#This Row],[CODE]]=15, Table312[ [#This Row],[Account Deposit Amount] ]-Table312[ [#This Row],[Account Withdrawl Amount] ], )</f>
        <v>0</v>
      </c>
      <c r="T11" s="128">
        <f>IF(Table312[[#This Row],[CODE]]=16, Table312[ [#This Row],[Account Deposit Amount] ]-Table312[ [#This Row],[Account Withdrawl Amount] ], )</f>
        <v>0</v>
      </c>
      <c r="U11" s="127">
        <f>IF(Table312[[#This Row],[CODE]]=17, Table312[ [#This Row],[Account Deposit Amount] ]-Table312[ [#This Row],[Account Withdrawl Amount] ], )</f>
        <v>0</v>
      </c>
      <c r="V11" s="166">
        <f>IF(Table312[[#This Row],[CODE]]=18, Table312[ [#This Row],[Account Deposit Amount] ]-Table312[ [#This Row],[Account Withdrawl Amount] ], )</f>
        <v>0</v>
      </c>
    </row>
    <row r="12" spans="1:28" ht="16.2" thickBot="1">
      <c r="A12" s="130" t="s">
        <v>238</v>
      </c>
      <c r="B12" s="133">
        <v>45206</v>
      </c>
      <c r="C12" s="130" t="s">
        <v>393</v>
      </c>
      <c r="D12" s="132" t="s">
        <v>394</v>
      </c>
      <c r="E12" s="128">
        <v>40</v>
      </c>
      <c r="F12" s="128"/>
      <c r="G12" s="134">
        <f t="shared" si="2"/>
        <v>16100.619999999995</v>
      </c>
      <c r="H12" s="130">
        <v>6</v>
      </c>
      <c r="I12" s="127">
        <f>IF(Table312[[#This Row],[CODE]]=1, Table312[ [#This Row],[Account Deposit Amount] ]-Table312[ [#This Row],[Account Withdrawl Amount] ], )</f>
        <v>0</v>
      </c>
      <c r="J12" s="129">
        <f>IF(Table312[[#This Row],[CODE]]=2, Table312[ [#This Row],[Account Deposit Amount] ]-Table312[ [#This Row],[Account Withdrawl Amount] ], )</f>
        <v>0</v>
      </c>
      <c r="K12" s="129">
        <f>IF(Table312[[#This Row],[CODE]]=3, Table312[ [#This Row],[Account Deposit Amount] ]-Table312[ [#This Row],[Account Withdrawl Amount] ], )</f>
        <v>0</v>
      </c>
      <c r="L12" s="128">
        <f>IF(Table312[[#This Row],[CODE]]=4, Table312[ [#This Row],[Account Deposit Amount] ]-Table312[ [#This Row],[Account Withdrawl Amount] ], )</f>
        <v>0</v>
      </c>
      <c r="M12" s="128">
        <f>IF(Table312[[#This Row],[CODE]]=5, Table312[ [#This Row],[Account Deposit Amount] ]-Table312[ [#This Row],[Account Withdrawl Amount] ], )</f>
        <v>0</v>
      </c>
      <c r="N12" s="128">
        <f>IF(Table312[[#This Row],[CODE]]=6, Table312[ [#This Row],[Account Deposit Amount] ]-Table312[ [#This Row],[Account Withdrawl Amount] ], )</f>
        <v>40</v>
      </c>
      <c r="O12" s="128">
        <f>IF(Table312[[#This Row],[CODE]]=11, Table312[ [#This Row],[Account Deposit Amount] ]-Table312[ [#This Row],[Account Withdrawl Amount] ], )</f>
        <v>0</v>
      </c>
      <c r="P12" s="128">
        <f>IF(Table312[[#This Row],[CODE]]=12, Table312[ [#This Row],[Account Deposit Amount] ]-Table312[ [#This Row],[Account Withdrawl Amount] ], )</f>
        <v>0</v>
      </c>
      <c r="Q12" s="128">
        <f>IF(Table312[[#This Row],[CODE]]=13, Table312[ [#This Row],[Account Deposit Amount] ]-Table312[ [#This Row],[Account Withdrawl Amount] ], )</f>
        <v>0</v>
      </c>
      <c r="R12" s="128">
        <f>IF(Table312[[#This Row],[CODE]]=14, Table312[ [#This Row],[Account Deposit Amount] ]-Table312[ [#This Row],[Account Withdrawl Amount] ], )</f>
        <v>0</v>
      </c>
      <c r="S12" s="128">
        <f>IF(Table312[[#This Row],[CODE]]=15, Table312[ [#This Row],[Account Deposit Amount] ]-Table312[ [#This Row],[Account Withdrawl Amount] ], )</f>
        <v>0</v>
      </c>
      <c r="T12" s="128">
        <f>IF(Table312[[#This Row],[CODE]]=16, Table312[ [#This Row],[Account Deposit Amount] ]-Table312[ [#This Row],[Account Withdrawl Amount] ], )</f>
        <v>0</v>
      </c>
      <c r="U12" s="127">
        <f>IF(Table312[[#This Row],[CODE]]=17, Table312[ [#This Row],[Account Deposit Amount] ]-Table312[ [#This Row],[Account Withdrawl Amount] ], )</f>
        <v>0</v>
      </c>
      <c r="V12" s="166">
        <f>IF(Table312[[#This Row],[CODE]]=18, Table312[ [#This Row],[Account Deposit Amount] ]-Table312[ [#This Row],[Account Withdrawl Amount] ], )</f>
        <v>0</v>
      </c>
    </row>
    <row r="13" spans="1:28" ht="16.2" thickBot="1">
      <c r="A13" s="130" t="s">
        <v>395</v>
      </c>
      <c r="B13" s="133">
        <v>45206</v>
      </c>
      <c r="C13" s="130" t="s">
        <v>396</v>
      </c>
      <c r="D13" s="132" t="s">
        <v>397</v>
      </c>
      <c r="E13" s="128"/>
      <c r="F13" s="128">
        <v>23</v>
      </c>
      <c r="G13" s="134">
        <f t="shared" si="2"/>
        <v>16077.619999999995</v>
      </c>
      <c r="H13" s="130">
        <v>13</v>
      </c>
      <c r="I13" s="127">
        <f>IF(Table312[[#This Row],[CODE]]=1, Table312[ [#This Row],[Account Deposit Amount] ]-Table312[ [#This Row],[Account Withdrawl Amount] ], )</f>
        <v>0</v>
      </c>
      <c r="J13" s="129">
        <f>IF(Table312[[#This Row],[CODE]]=2, Table312[ [#This Row],[Account Deposit Amount] ]-Table312[ [#This Row],[Account Withdrawl Amount] ], )</f>
        <v>0</v>
      </c>
      <c r="K13" s="129">
        <f>IF(Table312[[#This Row],[CODE]]=3, Table312[ [#This Row],[Account Deposit Amount] ]-Table312[ [#This Row],[Account Withdrawl Amount] ], )</f>
        <v>0</v>
      </c>
      <c r="L13" s="128">
        <f>IF(Table312[[#This Row],[CODE]]=4, Table312[ [#This Row],[Account Deposit Amount] ]-Table312[ [#This Row],[Account Withdrawl Amount] ], )</f>
        <v>0</v>
      </c>
      <c r="M13" s="128">
        <f>IF(Table312[[#This Row],[CODE]]=5, Table312[ [#This Row],[Account Deposit Amount] ]-Table312[ [#This Row],[Account Withdrawl Amount] ], )</f>
        <v>0</v>
      </c>
      <c r="N13" s="128">
        <f>IF(Table312[[#This Row],[CODE]]=6, Table312[ [#This Row],[Account Deposit Amount] ]-Table312[ [#This Row],[Account Withdrawl Amount] ], )</f>
        <v>0</v>
      </c>
      <c r="O13" s="128">
        <f>IF(Table312[[#This Row],[CODE]]=11, Table312[ [#This Row],[Account Deposit Amount] ]-Table312[ [#This Row],[Account Withdrawl Amount] ], )</f>
        <v>0</v>
      </c>
      <c r="P13" s="128">
        <f>IF(Table312[[#This Row],[CODE]]=12, Table312[ [#This Row],[Account Deposit Amount] ]-Table312[ [#This Row],[Account Withdrawl Amount] ], )</f>
        <v>0</v>
      </c>
      <c r="Q13" s="128">
        <f>IF(Table312[[#This Row],[CODE]]=13, Table312[ [#This Row],[Account Deposit Amount] ]-Table312[ [#This Row],[Account Withdrawl Amount] ], )</f>
        <v>-23</v>
      </c>
      <c r="R13" s="128">
        <f>IF(Table312[[#This Row],[CODE]]=14, Table312[ [#This Row],[Account Deposit Amount] ]-Table312[ [#This Row],[Account Withdrawl Amount] ], )</f>
        <v>0</v>
      </c>
      <c r="S13" s="128">
        <f>IF(Table312[[#This Row],[CODE]]=15, Table312[ [#This Row],[Account Deposit Amount] ]-Table312[ [#This Row],[Account Withdrawl Amount] ], )</f>
        <v>0</v>
      </c>
      <c r="T13" s="128">
        <f>IF(Table312[[#This Row],[CODE]]=16, Table312[ [#This Row],[Account Deposit Amount] ]-Table312[ [#This Row],[Account Withdrawl Amount] ], )</f>
        <v>0</v>
      </c>
      <c r="U13" s="127">
        <f>IF(Table312[[#This Row],[CODE]]=17, Table312[ [#This Row],[Account Deposit Amount] ]-Table312[ [#This Row],[Account Withdrawl Amount] ], )</f>
        <v>0</v>
      </c>
      <c r="V13" s="166">
        <f>IF(Table312[[#This Row],[CODE]]=18, Table312[ [#This Row],[Account Deposit Amount] ]-Table312[ [#This Row],[Account Withdrawl Amount] ], )</f>
        <v>0</v>
      </c>
    </row>
    <row r="14" spans="1:28" ht="16.2" thickBot="1">
      <c r="A14" s="130" t="s">
        <v>238</v>
      </c>
      <c r="B14" s="133">
        <v>45209</v>
      </c>
      <c r="C14" s="130" t="s">
        <v>393</v>
      </c>
      <c r="D14" s="132" t="s">
        <v>398</v>
      </c>
      <c r="E14" s="128">
        <v>15</v>
      </c>
      <c r="F14" s="128"/>
      <c r="G14" s="134">
        <f t="shared" si="2"/>
        <v>16092.619999999995</v>
      </c>
      <c r="H14" s="130">
        <v>6</v>
      </c>
      <c r="I14" s="127">
        <f>IF(Table312[[#This Row],[CODE]]=1, Table312[ [#This Row],[Account Deposit Amount] ]-Table312[ [#This Row],[Account Withdrawl Amount] ], )</f>
        <v>0</v>
      </c>
      <c r="J14" s="129">
        <f>IF(Table312[[#This Row],[CODE]]=2, Table312[ [#This Row],[Account Deposit Amount] ]-Table312[ [#This Row],[Account Withdrawl Amount] ], )</f>
        <v>0</v>
      </c>
      <c r="K14" s="129">
        <f>IF(Table312[[#This Row],[CODE]]=3, Table312[ [#This Row],[Account Deposit Amount] ]-Table312[ [#This Row],[Account Withdrawl Amount] ], )</f>
        <v>0</v>
      </c>
      <c r="L14" s="128">
        <f>IF(Table312[[#This Row],[CODE]]=4, Table312[ [#This Row],[Account Deposit Amount] ]-Table312[ [#This Row],[Account Withdrawl Amount] ], )</f>
        <v>0</v>
      </c>
      <c r="M14" s="128">
        <f>IF(Table312[[#This Row],[CODE]]=5, Table312[ [#This Row],[Account Deposit Amount] ]-Table312[ [#This Row],[Account Withdrawl Amount] ], )</f>
        <v>0</v>
      </c>
      <c r="N14" s="128">
        <f>IF(Table312[[#This Row],[CODE]]=6, Table312[ [#This Row],[Account Deposit Amount] ]-Table312[ [#This Row],[Account Withdrawl Amount] ], )</f>
        <v>15</v>
      </c>
      <c r="O14" s="128">
        <f>IF(Table312[[#This Row],[CODE]]=11, Table312[ [#This Row],[Account Deposit Amount] ]-Table312[ [#This Row],[Account Withdrawl Amount] ], )</f>
        <v>0</v>
      </c>
      <c r="P14" s="128">
        <f>IF(Table312[[#This Row],[CODE]]=12, Table312[ [#This Row],[Account Deposit Amount] ]-Table312[ [#This Row],[Account Withdrawl Amount] ], )</f>
        <v>0</v>
      </c>
      <c r="Q14" s="128">
        <f>IF(Table312[[#This Row],[CODE]]=13, Table312[ [#This Row],[Account Deposit Amount] ]-Table312[ [#This Row],[Account Withdrawl Amount] ], )</f>
        <v>0</v>
      </c>
      <c r="R14" s="128">
        <f>IF(Table312[[#This Row],[CODE]]=14, Table312[ [#This Row],[Account Deposit Amount] ]-Table312[ [#This Row],[Account Withdrawl Amount] ], )</f>
        <v>0</v>
      </c>
      <c r="S14" s="128">
        <f>IF(Table312[[#This Row],[CODE]]=15, Table312[ [#This Row],[Account Deposit Amount] ]-Table312[ [#This Row],[Account Withdrawl Amount] ], )</f>
        <v>0</v>
      </c>
      <c r="T14" s="128">
        <f>IF(Table312[[#This Row],[CODE]]=16, Table312[ [#This Row],[Account Deposit Amount] ]-Table312[ [#This Row],[Account Withdrawl Amount] ], )</f>
        <v>0</v>
      </c>
      <c r="U14" s="127">
        <f>IF(Table312[[#This Row],[CODE]]=17, Table312[ [#This Row],[Account Deposit Amount] ]-Table312[ [#This Row],[Account Withdrawl Amount] ], )</f>
        <v>0</v>
      </c>
      <c r="V14" s="166">
        <f>IF(Table312[[#This Row],[CODE]]=18, Table312[ [#This Row],[Account Deposit Amount] ]-Table312[ [#This Row],[Account Withdrawl Amount] ], )</f>
        <v>0</v>
      </c>
    </row>
    <row r="15" spans="1:28" ht="16.2" thickBot="1">
      <c r="A15" s="130" t="s">
        <v>238</v>
      </c>
      <c r="B15" s="133">
        <v>45210</v>
      </c>
      <c r="C15" s="130" t="s">
        <v>399</v>
      </c>
      <c r="D15" s="132" t="s">
        <v>276</v>
      </c>
      <c r="E15" s="128">
        <v>114</v>
      </c>
      <c r="F15" s="128"/>
      <c r="G15" s="134">
        <f t="shared" si="2"/>
        <v>16206.619999999995</v>
      </c>
      <c r="H15" s="130">
        <v>6</v>
      </c>
      <c r="I15" s="127">
        <f>IF(Table312[[#This Row],[CODE]]=1, Table312[ [#This Row],[Account Deposit Amount] ]-Table312[ [#This Row],[Account Withdrawl Amount] ], )</f>
        <v>0</v>
      </c>
      <c r="J15" s="129">
        <f>IF(Table312[[#This Row],[CODE]]=2, Table312[ [#This Row],[Account Deposit Amount] ]-Table312[ [#This Row],[Account Withdrawl Amount] ], )</f>
        <v>0</v>
      </c>
      <c r="K15" s="129">
        <f>IF(Table312[[#This Row],[CODE]]=3, Table312[ [#This Row],[Account Deposit Amount] ]-Table312[ [#This Row],[Account Withdrawl Amount] ], )</f>
        <v>0</v>
      </c>
      <c r="L15" s="128">
        <f>IF(Table312[[#This Row],[CODE]]=4, Table312[ [#This Row],[Account Deposit Amount] ]-Table312[ [#This Row],[Account Withdrawl Amount] ], )</f>
        <v>0</v>
      </c>
      <c r="M15" s="128">
        <f>IF(Table312[[#This Row],[CODE]]=5, Table312[ [#This Row],[Account Deposit Amount] ]-Table312[ [#This Row],[Account Withdrawl Amount] ], )</f>
        <v>0</v>
      </c>
      <c r="N15" s="128">
        <f>IF(Table312[[#This Row],[CODE]]=6, Table312[ [#This Row],[Account Deposit Amount] ]-Table312[ [#This Row],[Account Withdrawl Amount] ], )</f>
        <v>114</v>
      </c>
      <c r="O15" s="128">
        <f>IF(Table312[[#This Row],[CODE]]=11, Table312[ [#This Row],[Account Deposit Amount] ]-Table312[ [#This Row],[Account Withdrawl Amount] ], )</f>
        <v>0</v>
      </c>
      <c r="P15" s="128">
        <f>IF(Table312[[#This Row],[CODE]]=12, Table312[ [#This Row],[Account Deposit Amount] ]-Table312[ [#This Row],[Account Withdrawl Amount] ], )</f>
        <v>0</v>
      </c>
      <c r="Q15" s="128">
        <f>IF(Table312[[#This Row],[CODE]]=13, Table312[ [#This Row],[Account Deposit Amount] ]-Table312[ [#This Row],[Account Withdrawl Amount] ], )</f>
        <v>0</v>
      </c>
      <c r="R15" s="128">
        <f>IF(Table312[[#This Row],[CODE]]=14, Table312[ [#This Row],[Account Deposit Amount] ]-Table312[ [#This Row],[Account Withdrawl Amount] ], )</f>
        <v>0</v>
      </c>
      <c r="S15" s="128">
        <f>IF(Table312[[#This Row],[CODE]]=15, Table312[ [#This Row],[Account Deposit Amount] ]-Table312[ [#This Row],[Account Withdrawl Amount] ], )</f>
        <v>0</v>
      </c>
      <c r="T15" s="128">
        <f>IF(Table312[[#This Row],[CODE]]=16, Table312[ [#This Row],[Account Deposit Amount] ]-Table312[ [#This Row],[Account Withdrawl Amount] ], )</f>
        <v>0</v>
      </c>
      <c r="U15" s="127">
        <f>IF(Table312[[#This Row],[CODE]]=17, Table312[ [#This Row],[Account Deposit Amount] ]-Table312[ [#This Row],[Account Withdrawl Amount] ], )</f>
        <v>0</v>
      </c>
      <c r="V15" s="166">
        <f>IF(Table312[[#This Row],[CODE]]=18, Table312[ [#This Row],[Account Deposit Amount] ]-Table312[ [#This Row],[Account Withdrawl Amount] ], )</f>
        <v>0</v>
      </c>
    </row>
    <row r="16" spans="1:28" ht="25.2" thickBot="1">
      <c r="A16" s="130" t="s">
        <v>400</v>
      </c>
      <c r="B16" s="133">
        <v>45213</v>
      </c>
      <c r="C16" s="130" t="s">
        <v>401</v>
      </c>
      <c r="D16" s="132" t="s">
        <v>402</v>
      </c>
      <c r="E16" s="128"/>
      <c r="F16" s="128">
        <v>5</v>
      </c>
      <c r="G16" s="134">
        <f t="shared" si="2"/>
        <v>16201.619999999995</v>
      </c>
      <c r="H16" s="130">
        <v>6</v>
      </c>
      <c r="I16" s="127">
        <f>IF(Table312[[#This Row],[CODE]]=1, Table312[ [#This Row],[Account Deposit Amount] ]-Table312[ [#This Row],[Account Withdrawl Amount] ], )</f>
        <v>0</v>
      </c>
      <c r="J16" s="129">
        <f>IF(Table312[[#This Row],[CODE]]=2, Table312[ [#This Row],[Account Deposit Amount] ]-Table312[ [#This Row],[Account Withdrawl Amount] ], )</f>
        <v>0</v>
      </c>
      <c r="K16" s="129">
        <f>IF(Table312[[#This Row],[CODE]]=3, Table312[ [#This Row],[Account Deposit Amount] ]-Table312[ [#This Row],[Account Withdrawl Amount] ], )</f>
        <v>0</v>
      </c>
      <c r="L16" s="128">
        <f>IF(Table312[[#This Row],[CODE]]=4, Table312[ [#This Row],[Account Deposit Amount] ]-Table312[ [#This Row],[Account Withdrawl Amount] ], )</f>
        <v>0</v>
      </c>
      <c r="M16" s="128">
        <f>IF(Table312[[#This Row],[CODE]]=5, Table312[ [#This Row],[Account Deposit Amount] ]-Table312[ [#This Row],[Account Withdrawl Amount] ], )</f>
        <v>0</v>
      </c>
      <c r="N16" s="128">
        <f>IF(Table312[[#This Row],[CODE]]=6, Table312[ [#This Row],[Account Deposit Amount] ]-Table312[ [#This Row],[Account Withdrawl Amount] ], )</f>
        <v>-5</v>
      </c>
      <c r="O16" s="128">
        <f>IF(Table312[[#This Row],[CODE]]=11, Table312[ [#This Row],[Account Deposit Amount] ]-Table312[ [#This Row],[Account Withdrawl Amount] ], )</f>
        <v>0</v>
      </c>
      <c r="P16" s="128">
        <f>IF(Table312[[#This Row],[CODE]]=12, Table312[ [#This Row],[Account Deposit Amount] ]-Table312[ [#This Row],[Account Withdrawl Amount] ], )</f>
        <v>0</v>
      </c>
      <c r="Q16" s="128">
        <f>IF(Table312[[#This Row],[CODE]]=13, Table312[ [#This Row],[Account Deposit Amount] ]-Table312[ [#This Row],[Account Withdrawl Amount] ], )</f>
        <v>0</v>
      </c>
      <c r="R16" s="128">
        <f>IF(Table312[[#This Row],[CODE]]=14, Table312[ [#This Row],[Account Deposit Amount] ]-Table312[ [#This Row],[Account Withdrawl Amount] ], )</f>
        <v>0</v>
      </c>
      <c r="S16" s="128">
        <f>IF(Table312[[#This Row],[CODE]]=15, Table312[ [#This Row],[Account Deposit Amount] ]-Table312[ [#This Row],[Account Withdrawl Amount] ], )</f>
        <v>0</v>
      </c>
      <c r="T16" s="128">
        <f>IF(Table312[[#This Row],[CODE]]=16, Table312[ [#This Row],[Account Deposit Amount] ]-Table312[ [#This Row],[Account Withdrawl Amount] ], )</f>
        <v>0</v>
      </c>
      <c r="U16" s="127">
        <f>IF(Table312[[#This Row],[CODE]]=17, Table312[ [#This Row],[Account Deposit Amount] ]-Table312[ [#This Row],[Account Withdrawl Amount] ], )</f>
        <v>0</v>
      </c>
      <c r="V16" s="166">
        <f>IF(Table312[[#This Row],[CODE]]=18, Table312[ [#This Row],[Account Deposit Amount] ]-Table312[ [#This Row],[Account Withdrawl Amount] ], )</f>
        <v>0</v>
      </c>
    </row>
    <row r="17" spans="1:22" ht="25.2" thickBot="1">
      <c r="A17" s="130" t="s">
        <v>403</v>
      </c>
      <c r="B17" s="133">
        <v>45213</v>
      </c>
      <c r="C17" s="130" t="s">
        <v>401</v>
      </c>
      <c r="D17" s="132" t="s">
        <v>404</v>
      </c>
      <c r="E17" s="128"/>
      <c r="F17" s="128">
        <v>50</v>
      </c>
      <c r="G17" s="134">
        <f t="shared" si="2"/>
        <v>16151.619999999995</v>
      </c>
      <c r="H17" s="130">
        <v>16</v>
      </c>
      <c r="I17" s="127">
        <f>IF(Table312[[#This Row],[CODE]]=1, Table312[ [#This Row],[Account Deposit Amount] ]-Table312[ [#This Row],[Account Withdrawl Amount] ], )</f>
        <v>0</v>
      </c>
      <c r="J17" s="129">
        <f>IF(Table312[[#This Row],[CODE]]=2, Table312[ [#This Row],[Account Deposit Amount] ]-Table312[ [#This Row],[Account Withdrawl Amount] ], )</f>
        <v>0</v>
      </c>
      <c r="K17" s="129">
        <f>IF(Table312[[#This Row],[CODE]]=3, Table312[ [#This Row],[Account Deposit Amount] ]-Table312[ [#This Row],[Account Withdrawl Amount] ], )</f>
        <v>0</v>
      </c>
      <c r="L17" s="128">
        <f>IF(Table312[[#This Row],[CODE]]=4, Table312[ [#This Row],[Account Deposit Amount] ]-Table312[ [#This Row],[Account Withdrawl Amount] ], )</f>
        <v>0</v>
      </c>
      <c r="M17" s="128">
        <f>IF(Table312[[#This Row],[CODE]]=5, Table312[ [#This Row],[Account Deposit Amount] ]-Table312[ [#This Row],[Account Withdrawl Amount] ], )</f>
        <v>0</v>
      </c>
      <c r="N17" s="128">
        <f>IF(Table312[[#This Row],[CODE]]=6, Table312[ [#This Row],[Account Deposit Amount] ]-Table312[ [#This Row],[Account Withdrawl Amount] ], )</f>
        <v>0</v>
      </c>
      <c r="O17" s="128">
        <f>IF(Table312[[#This Row],[CODE]]=11, Table312[ [#This Row],[Account Deposit Amount] ]-Table312[ [#This Row],[Account Withdrawl Amount] ], )</f>
        <v>0</v>
      </c>
      <c r="P17" s="128">
        <f>IF(Table312[[#This Row],[CODE]]=12, Table312[ [#This Row],[Account Deposit Amount] ]-Table312[ [#This Row],[Account Withdrawl Amount] ], )</f>
        <v>0</v>
      </c>
      <c r="Q17" s="128">
        <f>IF(Table312[[#This Row],[CODE]]=13, Table312[ [#This Row],[Account Deposit Amount] ]-Table312[ [#This Row],[Account Withdrawl Amount] ], )</f>
        <v>0</v>
      </c>
      <c r="R17" s="128">
        <f>IF(Table312[[#This Row],[CODE]]=14, Table312[ [#This Row],[Account Deposit Amount] ]-Table312[ [#This Row],[Account Withdrawl Amount] ], )</f>
        <v>0</v>
      </c>
      <c r="S17" s="128">
        <f>IF(Table312[[#This Row],[CODE]]=15, Table312[ [#This Row],[Account Deposit Amount] ]-Table312[ [#This Row],[Account Withdrawl Amount] ], )</f>
        <v>0</v>
      </c>
      <c r="T17" s="128">
        <f>IF(Table312[[#This Row],[CODE]]=16, Table312[ [#This Row],[Account Deposit Amount] ]-Table312[ [#This Row],[Account Withdrawl Amount] ], )</f>
        <v>-50</v>
      </c>
      <c r="U17" s="127">
        <f>IF(Table312[[#This Row],[CODE]]=17, Table312[ [#This Row],[Account Deposit Amount] ]-Table312[ [#This Row],[Account Withdrawl Amount] ], )</f>
        <v>0</v>
      </c>
      <c r="V17" s="166">
        <f>IF(Table312[[#This Row],[CODE]]=18, Table312[ [#This Row],[Account Deposit Amount] ]-Table312[ [#This Row],[Account Withdrawl Amount] ], )</f>
        <v>0</v>
      </c>
    </row>
    <row r="18" spans="1:22" ht="16.2" thickBot="1">
      <c r="A18" s="130" t="s">
        <v>238</v>
      </c>
      <c r="B18" s="133">
        <v>45218</v>
      </c>
      <c r="C18" s="130" t="s">
        <v>405</v>
      </c>
      <c r="D18" s="132" t="s">
        <v>276</v>
      </c>
      <c r="E18" s="128">
        <v>50</v>
      </c>
      <c r="F18" s="128"/>
      <c r="G18" s="134">
        <f t="shared" si="2"/>
        <v>16201.619999999995</v>
      </c>
      <c r="H18" s="130">
        <v>4</v>
      </c>
      <c r="I18" s="127">
        <f>IF(Table312[[#This Row],[CODE]]=1, Table312[ [#This Row],[Account Deposit Amount] ]-Table312[ [#This Row],[Account Withdrawl Amount] ], )</f>
        <v>0</v>
      </c>
      <c r="J18" s="129">
        <f>IF(Table312[[#This Row],[CODE]]=2, Table312[ [#This Row],[Account Deposit Amount] ]-Table312[ [#This Row],[Account Withdrawl Amount] ], )</f>
        <v>0</v>
      </c>
      <c r="K18" s="129">
        <f>IF(Table312[[#This Row],[CODE]]=3, Table312[ [#This Row],[Account Deposit Amount] ]-Table312[ [#This Row],[Account Withdrawl Amount] ], )</f>
        <v>0</v>
      </c>
      <c r="L18" s="128">
        <f>IF(Table312[[#This Row],[CODE]]=4, Table312[ [#This Row],[Account Deposit Amount] ]-Table312[ [#This Row],[Account Withdrawl Amount] ], )</f>
        <v>50</v>
      </c>
      <c r="M18" s="128">
        <f>IF(Table312[[#This Row],[CODE]]=5, Table312[ [#This Row],[Account Deposit Amount] ]-Table312[ [#This Row],[Account Withdrawl Amount] ], )</f>
        <v>0</v>
      </c>
      <c r="N18" s="128">
        <f>IF(Table312[[#This Row],[CODE]]=6, Table312[ [#This Row],[Account Deposit Amount] ]-Table312[ [#This Row],[Account Withdrawl Amount] ], )</f>
        <v>0</v>
      </c>
      <c r="O18" s="128">
        <f>IF(Table312[[#This Row],[CODE]]=11, Table312[ [#This Row],[Account Deposit Amount] ]-Table312[ [#This Row],[Account Withdrawl Amount] ], )</f>
        <v>0</v>
      </c>
      <c r="P18" s="128">
        <f>IF(Table312[[#This Row],[CODE]]=12, Table312[ [#This Row],[Account Deposit Amount] ]-Table312[ [#This Row],[Account Withdrawl Amount] ], )</f>
        <v>0</v>
      </c>
      <c r="Q18" s="128">
        <f>IF(Table312[[#This Row],[CODE]]=13, Table312[ [#This Row],[Account Deposit Amount] ]-Table312[ [#This Row],[Account Withdrawl Amount] ], )</f>
        <v>0</v>
      </c>
      <c r="R18" s="128">
        <f>IF(Table312[[#This Row],[CODE]]=14, Table312[ [#This Row],[Account Deposit Amount] ]-Table312[ [#This Row],[Account Withdrawl Amount] ], )</f>
        <v>0</v>
      </c>
      <c r="S18" s="128">
        <f>IF(Table312[[#This Row],[CODE]]=15, Table312[ [#This Row],[Account Deposit Amount] ]-Table312[ [#This Row],[Account Withdrawl Amount] ], )</f>
        <v>0</v>
      </c>
      <c r="T18" s="128">
        <f>IF(Table312[[#This Row],[CODE]]=16, Table312[ [#This Row],[Account Deposit Amount] ]-Table312[ [#This Row],[Account Withdrawl Amount] ], )</f>
        <v>0</v>
      </c>
      <c r="U18" s="127">
        <f>IF(Table312[[#This Row],[CODE]]=17, Table312[ [#This Row],[Account Deposit Amount] ]-Table312[ [#This Row],[Account Withdrawl Amount] ], )</f>
        <v>0</v>
      </c>
      <c r="V18" s="166">
        <f>IF(Table312[[#This Row],[CODE]]=18, Table312[ [#This Row],[Account Deposit Amount] ]-Table312[ [#This Row],[Account Withdrawl Amount] ], )</f>
        <v>0</v>
      </c>
    </row>
    <row r="19" spans="1:22" ht="16.2" thickBot="1">
      <c r="A19" s="130" t="s">
        <v>238</v>
      </c>
      <c r="B19" s="133">
        <v>45218</v>
      </c>
      <c r="C19" s="130" t="s">
        <v>78</v>
      </c>
      <c r="D19" s="132" t="s">
        <v>276</v>
      </c>
      <c r="E19" s="128">
        <v>1531</v>
      </c>
      <c r="F19" s="128"/>
      <c r="G19" s="134">
        <f t="shared" si="2"/>
        <v>17732.619999999995</v>
      </c>
      <c r="H19" s="130">
        <v>1</v>
      </c>
      <c r="I19" s="127">
        <f>IF(Table312[[#This Row],[CODE]]=1, Table312[ [#This Row],[Account Deposit Amount] ]-Table312[ [#This Row],[Account Withdrawl Amount] ], )</f>
        <v>1531</v>
      </c>
      <c r="J19" s="129">
        <f>IF(Table312[[#This Row],[CODE]]=2, Table312[ [#This Row],[Account Deposit Amount] ]-Table312[ [#This Row],[Account Withdrawl Amount] ], )</f>
        <v>0</v>
      </c>
      <c r="K19" s="129">
        <f>IF(Table312[[#This Row],[CODE]]=3, Table312[ [#This Row],[Account Deposit Amount] ]-Table312[ [#This Row],[Account Withdrawl Amount] ], )</f>
        <v>0</v>
      </c>
      <c r="L19" s="128">
        <f>IF(Table312[[#This Row],[CODE]]=4, Table312[ [#This Row],[Account Deposit Amount] ]-Table312[ [#This Row],[Account Withdrawl Amount] ], )</f>
        <v>0</v>
      </c>
      <c r="M19" s="128">
        <f>IF(Table312[[#This Row],[CODE]]=5, Table312[ [#This Row],[Account Deposit Amount] ]-Table312[ [#This Row],[Account Withdrawl Amount] ], )</f>
        <v>0</v>
      </c>
      <c r="N19" s="128">
        <f>IF(Table312[[#This Row],[CODE]]=6, Table312[ [#This Row],[Account Deposit Amount] ]-Table312[ [#This Row],[Account Withdrawl Amount] ], )</f>
        <v>0</v>
      </c>
      <c r="O19" s="128">
        <f>IF(Table312[[#This Row],[CODE]]=11, Table312[ [#This Row],[Account Deposit Amount] ]-Table312[ [#This Row],[Account Withdrawl Amount] ], )</f>
        <v>0</v>
      </c>
      <c r="P19" s="128">
        <f>IF(Table312[[#This Row],[CODE]]=12, Table312[ [#This Row],[Account Deposit Amount] ]-Table312[ [#This Row],[Account Withdrawl Amount] ], )</f>
        <v>0</v>
      </c>
      <c r="Q19" s="128">
        <f>IF(Table312[[#This Row],[CODE]]=13, Table312[ [#This Row],[Account Deposit Amount] ]-Table312[ [#This Row],[Account Withdrawl Amount] ], )</f>
        <v>0</v>
      </c>
      <c r="R19" s="128">
        <f>IF(Table312[[#This Row],[CODE]]=14, Table312[ [#This Row],[Account Deposit Amount] ]-Table312[ [#This Row],[Account Withdrawl Amount] ], )</f>
        <v>0</v>
      </c>
      <c r="S19" s="128">
        <f>IF(Table312[[#This Row],[CODE]]=15, Table312[ [#This Row],[Account Deposit Amount] ]-Table312[ [#This Row],[Account Withdrawl Amount] ], )</f>
        <v>0</v>
      </c>
      <c r="T19" s="128">
        <f>IF(Table312[[#This Row],[CODE]]=16, Table312[ [#This Row],[Account Deposit Amount] ]-Table312[ [#This Row],[Account Withdrawl Amount] ], )</f>
        <v>0</v>
      </c>
      <c r="U19" s="127">
        <f>IF(Table312[[#This Row],[CODE]]=17, Table312[ [#This Row],[Account Deposit Amount] ]-Table312[ [#This Row],[Account Withdrawl Amount] ], )</f>
        <v>0</v>
      </c>
      <c r="V19" s="166">
        <f>IF(Table312[[#This Row],[CODE]]=18, Table312[ [#This Row],[Account Deposit Amount] ]-Table312[ [#This Row],[Account Withdrawl Amount] ], )</f>
        <v>0</v>
      </c>
    </row>
    <row r="20" spans="1:22" ht="16.2" thickBot="1">
      <c r="A20" s="130" t="s">
        <v>241</v>
      </c>
      <c r="B20" s="133">
        <v>45219</v>
      </c>
      <c r="C20" s="130" t="s">
        <v>362</v>
      </c>
      <c r="D20" s="132"/>
      <c r="E20" s="128"/>
      <c r="F20" s="128">
        <v>13.59</v>
      </c>
      <c r="G20" s="134">
        <f t="shared" si="2"/>
        <v>17719.029999999995</v>
      </c>
      <c r="H20" s="130">
        <v>13</v>
      </c>
      <c r="I20" s="127">
        <f>IF(Table312[[#This Row],[CODE]]=1, Table312[ [#This Row],[Account Deposit Amount] ]-Table312[ [#This Row],[Account Withdrawl Amount] ], )</f>
        <v>0</v>
      </c>
      <c r="J20" s="129">
        <f>IF(Table312[[#This Row],[CODE]]=2, Table312[ [#This Row],[Account Deposit Amount] ]-Table312[ [#This Row],[Account Withdrawl Amount] ], )</f>
        <v>0</v>
      </c>
      <c r="K20" s="129">
        <f>IF(Table312[[#This Row],[CODE]]=3, Table312[ [#This Row],[Account Deposit Amount] ]-Table312[ [#This Row],[Account Withdrawl Amount] ], )</f>
        <v>0</v>
      </c>
      <c r="L20" s="128">
        <f>IF(Table312[[#This Row],[CODE]]=4, Table312[ [#This Row],[Account Deposit Amount] ]-Table312[ [#This Row],[Account Withdrawl Amount] ], )</f>
        <v>0</v>
      </c>
      <c r="M20" s="128">
        <f>IF(Table312[[#This Row],[CODE]]=5, Table312[ [#This Row],[Account Deposit Amount] ]-Table312[ [#This Row],[Account Withdrawl Amount] ], )</f>
        <v>0</v>
      </c>
      <c r="N20" s="128">
        <f>IF(Table312[[#This Row],[CODE]]=6, Table312[ [#This Row],[Account Deposit Amount] ]-Table312[ [#This Row],[Account Withdrawl Amount] ], )</f>
        <v>0</v>
      </c>
      <c r="O20" s="128">
        <f>IF(Table312[[#This Row],[CODE]]=11, Table312[ [#This Row],[Account Deposit Amount] ]-Table312[ [#This Row],[Account Withdrawl Amount] ], )</f>
        <v>0</v>
      </c>
      <c r="P20" s="128">
        <f>IF(Table312[[#This Row],[CODE]]=12, Table312[ [#This Row],[Account Deposit Amount] ]-Table312[ [#This Row],[Account Withdrawl Amount] ], )</f>
        <v>0</v>
      </c>
      <c r="Q20" s="128">
        <f>IF(Table312[[#This Row],[CODE]]=13, Table312[ [#This Row],[Account Deposit Amount] ]-Table312[ [#This Row],[Account Withdrawl Amount] ], )</f>
        <v>-13.59</v>
      </c>
      <c r="R20" s="128">
        <f>IF(Table312[[#This Row],[CODE]]=14, Table312[ [#This Row],[Account Deposit Amount] ]-Table312[ [#This Row],[Account Withdrawl Amount] ], )</f>
        <v>0</v>
      </c>
      <c r="S20" s="128">
        <f>IF(Table312[[#This Row],[CODE]]=15, Table312[ [#This Row],[Account Deposit Amount] ]-Table312[ [#This Row],[Account Withdrawl Amount] ], )</f>
        <v>0</v>
      </c>
      <c r="T20" s="128">
        <f>IF(Table312[[#This Row],[CODE]]=16, Table312[ [#This Row],[Account Deposit Amount] ]-Table312[ [#This Row],[Account Withdrawl Amount] ], )</f>
        <v>0</v>
      </c>
      <c r="U20" s="127">
        <f>IF(Table312[[#This Row],[CODE]]=17, Table312[ [#This Row],[Account Deposit Amount] ]-Table312[ [#This Row],[Account Withdrawl Amount] ], )</f>
        <v>0</v>
      </c>
      <c r="V20" s="166">
        <f>IF(Table312[[#This Row],[CODE]]=18, Table312[ [#This Row],[Account Deposit Amount] ]-Table312[ [#This Row],[Account Withdrawl Amount] ], )</f>
        <v>0</v>
      </c>
    </row>
    <row r="21" spans="1:22" ht="16.2" thickBot="1">
      <c r="A21" s="130" t="s">
        <v>241</v>
      </c>
      <c r="B21" s="133">
        <v>45219</v>
      </c>
      <c r="C21" s="130" t="s">
        <v>406</v>
      </c>
      <c r="D21" s="132" t="s">
        <v>407</v>
      </c>
      <c r="E21" s="128"/>
      <c r="F21" s="128">
        <v>10.76</v>
      </c>
      <c r="G21" s="134">
        <f t="shared" si="2"/>
        <v>17708.269999999997</v>
      </c>
      <c r="H21" s="130">
        <v>15</v>
      </c>
      <c r="I21" s="127">
        <f>IF(Table312[[#This Row],[CODE]]=1, Table312[ [#This Row],[Account Deposit Amount] ]-Table312[ [#This Row],[Account Withdrawl Amount] ], )</f>
        <v>0</v>
      </c>
      <c r="J21" s="129">
        <f>IF(Table312[[#This Row],[CODE]]=2, Table312[ [#This Row],[Account Deposit Amount] ]-Table312[ [#This Row],[Account Withdrawl Amount] ], )</f>
        <v>0</v>
      </c>
      <c r="K21" s="129">
        <f>IF(Table312[[#This Row],[CODE]]=3, Table312[ [#This Row],[Account Deposit Amount] ]-Table312[ [#This Row],[Account Withdrawl Amount] ], )</f>
        <v>0</v>
      </c>
      <c r="L21" s="128">
        <f>IF(Table312[[#This Row],[CODE]]=4, Table312[ [#This Row],[Account Deposit Amount] ]-Table312[ [#This Row],[Account Withdrawl Amount] ], )</f>
        <v>0</v>
      </c>
      <c r="M21" s="128">
        <f>IF(Table312[[#This Row],[CODE]]=5, Table312[ [#This Row],[Account Deposit Amount] ]-Table312[ [#This Row],[Account Withdrawl Amount] ], )</f>
        <v>0</v>
      </c>
      <c r="N21" s="128">
        <f>IF(Table312[[#This Row],[CODE]]=6, Table312[ [#This Row],[Account Deposit Amount] ]-Table312[ [#This Row],[Account Withdrawl Amount] ], )</f>
        <v>0</v>
      </c>
      <c r="O21" s="128">
        <f>IF(Table312[[#This Row],[CODE]]=11, Table312[ [#This Row],[Account Deposit Amount] ]-Table312[ [#This Row],[Account Withdrawl Amount] ], )</f>
        <v>0</v>
      </c>
      <c r="P21" s="128">
        <f>IF(Table312[[#This Row],[CODE]]=12, Table312[ [#This Row],[Account Deposit Amount] ]-Table312[ [#This Row],[Account Withdrawl Amount] ], )</f>
        <v>0</v>
      </c>
      <c r="Q21" s="128">
        <f>IF(Table312[[#This Row],[CODE]]=13, Table312[ [#This Row],[Account Deposit Amount] ]-Table312[ [#This Row],[Account Withdrawl Amount] ], )</f>
        <v>0</v>
      </c>
      <c r="R21" s="128">
        <f>IF(Table312[[#This Row],[CODE]]=14, Table312[ [#This Row],[Account Deposit Amount] ]-Table312[ [#This Row],[Account Withdrawl Amount] ], )</f>
        <v>0</v>
      </c>
      <c r="S21" s="128">
        <f>IF(Table312[[#This Row],[CODE]]=15, Table312[ [#This Row],[Account Deposit Amount] ]-Table312[ [#This Row],[Account Withdrawl Amount] ], )</f>
        <v>-10.76</v>
      </c>
      <c r="T21" s="128">
        <f>IF(Table312[[#This Row],[CODE]]=16, Table312[ [#This Row],[Account Deposit Amount] ]-Table312[ [#This Row],[Account Withdrawl Amount] ], )</f>
        <v>0</v>
      </c>
      <c r="U21" s="127">
        <f>IF(Table312[[#This Row],[CODE]]=17, Table312[ [#This Row],[Account Deposit Amount] ]-Table312[ [#This Row],[Account Withdrawl Amount] ], )</f>
        <v>0</v>
      </c>
      <c r="V21" s="166">
        <f>IF(Table312[[#This Row],[CODE]]=18, Table312[ [#This Row],[Account Deposit Amount] ]-Table312[ [#This Row],[Account Withdrawl Amount] ], )</f>
        <v>0</v>
      </c>
    </row>
    <row r="22" spans="1:22" ht="16.2" thickBot="1">
      <c r="A22" s="130" t="s">
        <v>241</v>
      </c>
      <c r="B22" s="133">
        <v>45221</v>
      </c>
      <c r="C22" s="130" t="s">
        <v>408</v>
      </c>
      <c r="D22" s="132"/>
      <c r="E22" s="128"/>
      <c r="F22" s="128">
        <v>16.41</v>
      </c>
      <c r="G22" s="134">
        <f t="shared" si="2"/>
        <v>17691.859999999997</v>
      </c>
      <c r="H22" s="130">
        <v>15</v>
      </c>
      <c r="I22" s="127">
        <f>IF(Table312[[#This Row],[CODE]]=1, Table312[ [#This Row],[Account Deposit Amount] ]-Table312[ [#This Row],[Account Withdrawl Amount] ], )</f>
        <v>0</v>
      </c>
      <c r="J22" s="129">
        <f>IF(Table312[[#This Row],[CODE]]=2, Table312[ [#This Row],[Account Deposit Amount] ]-Table312[ [#This Row],[Account Withdrawl Amount] ], )</f>
        <v>0</v>
      </c>
      <c r="K22" s="129">
        <f>IF(Table312[[#This Row],[CODE]]=3, Table312[ [#This Row],[Account Deposit Amount] ]-Table312[ [#This Row],[Account Withdrawl Amount] ], )</f>
        <v>0</v>
      </c>
      <c r="L22" s="128">
        <f>IF(Table312[[#This Row],[CODE]]=4, Table312[ [#This Row],[Account Deposit Amount] ]-Table312[ [#This Row],[Account Withdrawl Amount] ], )</f>
        <v>0</v>
      </c>
      <c r="M22" s="128">
        <f>IF(Table312[[#This Row],[CODE]]=5, Table312[ [#This Row],[Account Deposit Amount] ]-Table312[ [#This Row],[Account Withdrawl Amount] ], )</f>
        <v>0</v>
      </c>
      <c r="N22" s="128">
        <f>IF(Table312[[#This Row],[CODE]]=6, Table312[ [#This Row],[Account Deposit Amount] ]-Table312[ [#This Row],[Account Withdrawl Amount] ], )</f>
        <v>0</v>
      </c>
      <c r="O22" s="128">
        <f>IF(Table312[[#This Row],[CODE]]=11, Table312[ [#This Row],[Account Deposit Amount] ]-Table312[ [#This Row],[Account Withdrawl Amount] ], )</f>
        <v>0</v>
      </c>
      <c r="P22" s="128">
        <f>IF(Table312[[#This Row],[CODE]]=12, Table312[ [#This Row],[Account Deposit Amount] ]-Table312[ [#This Row],[Account Withdrawl Amount] ], )</f>
        <v>0</v>
      </c>
      <c r="Q22" s="128">
        <f>IF(Table312[[#This Row],[CODE]]=13, Table312[ [#This Row],[Account Deposit Amount] ]-Table312[ [#This Row],[Account Withdrawl Amount] ], )</f>
        <v>0</v>
      </c>
      <c r="R22" s="128">
        <f>IF(Table312[[#This Row],[CODE]]=14, Table312[ [#This Row],[Account Deposit Amount] ]-Table312[ [#This Row],[Account Withdrawl Amount] ], )</f>
        <v>0</v>
      </c>
      <c r="S22" s="128">
        <f>IF(Table312[[#This Row],[CODE]]=15, Table312[ [#This Row],[Account Deposit Amount] ]-Table312[ [#This Row],[Account Withdrawl Amount] ], )</f>
        <v>-16.41</v>
      </c>
      <c r="T22" s="128">
        <f>IF(Table312[[#This Row],[CODE]]=16, Table312[ [#This Row],[Account Deposit Amount] ]-Table312[ [#This Row],[Account Withdrawl Amount] ], )</f>
        <v>0</v>
      </c>
      <c r="U22" s="127">
        <f>IF(Table312[[#This Row],[CODE]]=17, Table312[ [#This Row],[Account Deposit Amount] ]-Table312[ [#This Row],[Account Withdrawl Amount] ], )</f>
        <v>0</v>
      </c>
      <c r="V22" s="166">
        <f>IF(Table312[[#This Row],[CODE]]=18, Table312[ [#This Row],[Account Deposit Amount] ]-Table312[ [#This Row],[Account Withdrawl Amount] ], )</f>
        <v>0</v>
      </c>
    </row>
    <row r="23" spans="1:22" ht="16.2" thickBot="1">
      <c r="A23" s="130" t="s">
        <v>409</v>
      </c>
      <c r="B23" s="133">
        <v>45224</v>
      </c>
      <c r="C23" s="130" t="s">
        <v>410</v>
      </c>
      <c r="D23" s="132" t="s">
        <v>411</v>
      </c>
      <c r="E23" s="128"/>
      <c r="F23" s="128">
        <v>169</v>
      </c>
      <c r="G23" s="134">
        <f t="shared" si="2"/>
        <v>17522.859999999997</v>
      </c>
      <c r="H23" s="130">
        <v>13</v>
      </c>
      <c r="I23" s="127">
        <f>IF(Table312[[#This Row],[CODE]]=1, Table312[ [#This Row],[Account Deposit Amount] ]-Table312[ [#This Row],[Account Withdrawl Amount] ], )</f>
        <v>0</v>
      </c>
      <c r="J23" s="129">
        <f>IF(Table312[[#This Row],[CODE]]=2, Table312[ [#This Row],[Account Deposit Amount] ]-Table312[ [#This Row],[Account Withdrawl Amount] ], )</f>
        <v>0</v>
      </c>
      <c r="K23" s="129">
        <f>IF(Table312[[#This Row],[CODE]]=3, Table312[ [#This Row],[Account Deposit Amount] ]-Table312[ [#This Row],[Account Withdrawl Amount] ], )</f>
        <v>0</v>
      </c>
      <c r="L23" s="128">
        <f>IF(Table312[[#This Row],[CODE]]=4, Table312[ [#This Row],[Account Deposit Amount] ]-Table312[ [#This Row],[Account Withdrawl Amount] ], )</f>
        <v>0</v>
      </c>
      <c r="M23" s="128">
        <f>IF(Table312[[#This Row],[CODE]]=5, Table312[ [#This Row],[Account Deposit Amount] ]-Table312[ [#This Row],[Account Withdrawl Amount] ], )</f>
        <v>0</v>
      </c>
      <c r="N23" s="128">
        <f>IF(Table312[[#This Row],[CODE]]=6, Table312[ [#This Row],[Account Deposit Amount] ]-Table312[ [#This Row],[Account Withdrawl Amount] ], )</f>
        <v>0</v>
      </c>
      <c r="O23" s="128">
        <f>IF(Table312[[#This Row],[CODE]]=11, Table312[ [#This Row],[Account Deposit Amount] ]-Table312[ [#This Row],[Account Withdrawl Amount] ], )</f>
        <v>0</v>
      </c>
      <c r="P23" s="128">
        <f>IF(Table312[[#This Row],[CODE]]=12, Table312[ [#This Row],[Account Deposit Amount] ]-Table312[ [#This Row],[Account Withdrawl Amount] ], )</f>
        <v>0</v>
      </c>
      <c r="Q23" s="128">
        <f>IF(Table312[[#This Row],[CODE]]=13, Table312[ [#This Row],[Account Deposit Amount] ]-Table312[ [#This Row],[Account Withdrawl Amount] ], )</f>
        <v>-169</v>
      </c>
      <c r="R23" s="128">
        <f>IF(Table312[[#This Row],[CODE]]=14, Table312[ [#This Row],[Account Deposit Amount] ]-Table312[ [#This Row],[Account Withdrawl Amount] ], )</f>
        <v>0</v>
      </c>
      <c r="S23" s="128">
        <f>IF(Table312[[#This Row],[CODE]]=15, Table312[ [#This Row],[Account Deposit Amount] ]-Table312[ [#This Row],[Account Withdrawl Amount] ], )</f>
        <v>0</v>
      </c>
      <c r="T23" s="128">
        <f>IF(Table312[[#This Row],[CODE]]=16, Table312[ [#This Row],[Account Deposit Amount] ]-Table312[ [#This Row],[Account Withdrawl Amount] ], )</f>
        <v>0</v>
      </c>
      <c r="U23" s="127">
        <f>IF(Table312[[#This Row],[CODE]]=17, Table312[ [#This Row],[Account Deposit Amount] ]-Table312[ [#This Row],[Account Withdrawl Amount] ], )</f>
        <v>0</v>
      </c>
      <c r="V23" s="166">
        <f>IF(Table312[[#This Row],[CODE]]=18, Table312[ [#This Row],[Account Deposit Amount] ]-Table312[ [#This Row],[Account Withdrawl Amount] ], )</f>
        <v>0</v>
      </c>
    </row>
    <row r="24" spans="1:22" ht="16.2" thickBot="1">
      <c r="A24" s="130" t="s">
        <v>241</v>
      </c>
      <c r="B24" s="133">
        <v>45224</v>
      </c>
      <c r="C24" s="130" t="s">
        <v>342</v>
      </c>
      <c r="D24" s="132"/>
      <c r="E24" s="128"/>
      <c r="F24" s="128">
        <v>35.700000000000003</v>
      </c>
      <c r="G24" s="134">
        <f t="shared" si="2"/>
        <v>17487.159999999996</v>
      </c>
      <c r="H24" s="130">
        <v>13</v>
      </c>
      <c r="I24" s="127">
        <f>IF(Table312[[#This Row],[CODE]]=1, Table312[ [#This Row],[Account Deposit Amount] ]-Table312[ [#This Row],[Account Withdrawl Amount] ], )</f>
        <v>0</v>
      </c>
      <c r="J24" s="129">
        <f>IF(Table312[[#This Row],[CODE]]=2, Table312[ [#This Row],[Account Deposit Amount] ]-Table312[ [#This Row],[Account Withdrawl Amount] ], )</f>
        <v>0</v>
      </c>
      <c r="K24" s="129">
        <f>IF(Table312[[#This Row],[CODE]]=3, Table312[ [#This Row],[Account Deposit Amount] ]-Table312[ [#This Row],[Account Withdrawl Amount] ], )</f>
        <v>0</v>
      </c>
      <c r="L24" s="128">
        <f>IF(Table312[[#This Row],[CODE]]=4, Table312[ [#This Row],[Account Deposit Amount] ]-Table312[ [#This Row],[Account Withdrawl Amount] ], )</f>
        <v>0</v>
      </c>
      <c r="M24" s="128">
        <f>IF(Table312[[#This Row],[CODE]]=5, Table312[ [#This Row],[Account Deposit Amount] ]-Table312[ [#This Row],[Account Withdrawl Amount] ], )</f>
        <v>0</v>
      </c>
      <c r="N24" s="128">
        <f>IF(Table312[[#This Row],[CODE]]=6, Table312[ [#This Row],[Account Deposit Amount] ]-Table312[ [#This Row],[Account Withdrawl Amount] ], )</f>
        <v>0</v>
      </c>
      <c r="O24" s="128">
        <f>IF(Table312[[#This Row],[CODE]]=11, Table312[ [#This Row],[Account Deposit Amount] ]-Table312[ [#This Row],[Account Withdrawl Amount] ], )</f>
        <v>0</v>
      </c>
      <c r="P24" s="128">
        <f>IF(Table312[[#This Row],[CODE]]=12, Table312[ [#This Row],[Account Deposit Amount] ]-Table312[ [#This Row],[Account Withdrawl Amount] ], )</f>
        <v>0</v>
      </c>
      <c r="Q24" s="128">
        <f>IF(Table312[[#This Row],[CODE]]=13, Table312[ [#This Row],[Account Deposit Amount] ]-Table312[ [#This Row],[Account Withdrawl Amount] ], )</f>
        <v>-35.700000000000003</v>
      </c>
      <c r="R24" s="128">
        <f>IF(Table312[[#This Row],[CODE]]=14, Table312[ [#This Row],[Account Deposit Amount] ]-Table312[ [#This Row],[Account Withdrawl Amount] ], )</f>
        <v>0</v>
      </c>
      <c r="S24" s="128">
        <f>IF(Table312[[#This Row],[CODE]]=15, Table312[ [#This Row],[Account Deposit Amount] ]-Table312[ [#This Row],[Account Withdrawl Amount] ], )</f>
        <v>0</v>
      </c>
      <c r="T24" s="128">
        <f>IF(Table312[[#This Row],[CODE]]=16, Table312[ [#This Row],[Account Deposit Amount] ]-Table312[ [#This Row],[Account Withdrawl Amount] ], )</f>
        <v>0</v>
      </c>
      <c r="U24" s="127">
        <f>IF(Table312[[#This Row],[CODE]]=17, Table312[ [#This Row],[Account Deposit Amount] ]-Table312[ [#This Row],[Account Withdrawl Amount] ], )</f>
        <v>0</v>
      </c>
      <c r="V24" s="166">
        <f>IF(Table312[[#This Row],[CODE]]=18, Table312[ [#This Row],[Account Deposit Amount] ]-Table312[ [#This Row],[Account Withdrawl Amount] ], )</f>
        <v>0</v>
      </c>
    </row>
    <row r="25" spans="1:22" ht="16.2" thickBot="1">
      <c r="A25" s="130" t="s">
        <v>241</v>
      </c>
      <c r="B25" s="133">
        <v>45226</v>
      </c>
      <c r="C25" s="130" t="s">
        <v>244</v>
      </c>
      <c r="D25" s="132" t="s">
        <v>412</v>
      </c>
      <c r="E25" s="128"/>
      <c r="F25" s="128">
        <v>10.6</v>
      </c>
      <c r="G25" s="134">
        <f t="shared" si="2"/>
        <v>17476.559999999998</v>
      </c>
      <c r="H25" s="130">
        <v>13</v>
      </c>
      <c r="I25" s="127">
        <f>IF(Table312[[#This Row],[CODE]]=1, Table312[ [#This Row],[Account Deposit Amount] ]-Table312[ [#This Row],[Account Withdrawl Amount] ], )</f>
        <v>0</v>
      </c>
      <c r="J25" s="129">
        <f>IF(Table312[[#This Row],[CODE]]=2, Table312[ [#This Row],[Account Deposit Amount] ]-Table312[ [#This Row],[Account Withdrawl Amount] ], )</f>
        <v>0</v>
      </c>
      <c r="K25" s="129">
        <f>IF(Table312[[#This Row],[CODE]]=3, Table312[ [#This Row],[Account Deposit Amount] ]-Table312[ [#This Row],[Account Withdrawl Amount] ], )</f>
        <v>0</v>
      </c>
      <c r="L25" s="128">
        <f>IF(Table312[[#This Row],[CODE]]=4, Table312[ [#This Row],[Account Deposit Amount] ]-Table312[ [#This Row],[Account Withdrawl Amount] ], )</f>
        <v>0</v>
      </c>
      <c r="M25" s="128">
        <f>IF(Table312[[#This Row],[CODE]]=5, Table312[ [#This Row],[Account Deposit Amount] ]-Table312[ [#This Row],[Account Withdrawl Amount] ], )</f>
        <v>0</v>
      </c>
      <c r="N25" s="128">
        <f>IF(Table312[[#This Row],[CODE]]=6, Table312[ [#This Row],[Account Deposit Amount] ]-Table312[ [#This Row],[Account Withdrawl Amount] ], )</f>
        <v>0</v>
      </c>
      <c r="O25" s="128">
        <f>IF(Table312[[#This Row],[CODE]]=11, Table312[ [#This Row],[Account Deposit Amount] ]-Table312[ [#This Row],[Account Withdrawl Amount] ], )</f>
        <v>0</v>
      </c>
      <c r="P25" s="128">
        <f>IF(Table312[[#This Row],[CODE]]=12, Table312[ [#This Row],[Account Deposit Amount] ]-Table312[ [#This Row],[Account Withdrawl Amount] ], )</f>
        <v>0</v>
      </c>
      <c r="Q25" s="128">
        <f>IF(Table312[[#This Row],[CODE]]=13, Table312[ [#This Row],[Account Deposit Amount] ]-Table312[ [#This Row],[Account Withdrawl Amount] ], )</f>
        <v>-10.6</v>
      </c>
      <c r="R25" s="128">
        <f>IF(Table312[[#This Row],[CODE]]=14, Table312[ [#This Row],[Account Deposit Amount] ]-Table312[ [#This Row],[Account Withdrawl Amount] ], )</f>
        <v>0</v>
      </c>
      <c r="S25" s="128">
        <f>IF(Table312[[#This Row],[CODE]]=15, Table312[ [#This Row],[Account Deposit Amount] ]-Table312[ [#This Row],[Account Withdrawl Amount] ], )</f>
        <v>0</v>
      </c>
      <c r="T25" s="128">
        <f>IF(Table312[[#This Row],[CODE]]=16, Table312[ [#This Row],[Account Deposit Amount] ]-Table312[ [#This Row],[Account Withdrawl Amount] ], )</f>
        <v>0</v>
      </c>
      <c r="U25" s="127">
        <f>IF(Table312[[#This Row],[CODE]]=17, Table312[ [#This Row],[Account Deposit Amount] ]-Table312[ [#This Row],[Account Withdrawl Amount] ], )</f>
        <v>0</v>
      </c>
      <c r="V25" s="166">
        <f>IF(Table312[[#This Row],[CODE]]=18, Table312[ [#This Row],[Account Deposit Amount] ]-Table312[ [#This Row],[Account Withdrawl Amount] ], )</f>
        <v>0</v>
      </c>
    </row>
    <row r="26" spans="1:22" ht="16.2" thickBot="1">
      <c r="A26" s="130" t="s">
        <v>241</v>
      </c>
      <c r="B26" s="133">
        <v>45226</v>
      </c>
      <c r="C26" s="130" t="s">
        <v>362</v>
      </c>
      <c r="D26" s="132" t="s">
        <v>413</v>
      </c>
      <c r="E26" s="128"/>
      <c r="F26" s="128">
        <v>78.739999999999995</v>
      </c>
      <c r="G26" s="134">
        <f t="shared" si="2"/>
        <v>17397.819999999996</v>
      </c>
      <c r="H26" s="130">
        <v>13</v>
      </c>
      <c r="I26" s="127">
        <f>IF(Table312[[#This Row],[CODE]]=1, Table312[ [#This Row],[Account Deposit Amount] ]-Table312[ [#This Row],[Account Withdrawl Amount] ], )</f>
        <v>0</v>
      </c>
      <c r="J26" s="129">
        <f>IF(Table312[[#This Row],[CODE]]=2, Table312[ [#This Row],[Account Deposit Amount] ]-Table312[ [#This Row],[Account Withdrawl Amount] ], )</f>
        <v>0</v>
      </c>
      <c r="K26" s="129">
        <f>IF(Table312[[#This Row],[CODE]]=3, Table312[ [#This Row],[Account Deposit Amount] ]-Table312[ [#This Row],[Account Withdrawl Amount] ], )</f>
        <v>0</v>
      </c>
      <c r="L26" s="128">
        <f>IF(Table312[[#This Row],[CODE]]=4, Table312[ [#This Row],[Account Deposit Amount] ]-Table312[ [#This Row],[Account Withdrawl Amount] ], )</f>
        <v>0</v>
      </c>
      <c r="M26" s="128">
        <f>IF(Table312[[#This Row],[CODE]]=5, Table312[ [#This Row],[Account Deposit Amount] ]-Table312[ [#This Row],[Account Withdrawl Amount] ], )</f>
        <v>0</v>
      </c>
      <c r="N26" s="128">
        <f>IF(Table312[[#This Row],[CODE]]=6, Table312[ [#This Row],[Account Deposit Amount] ]-Table312[ [#This Row],[Account Withdrawl Amount] ], )</f>
        <v>0</v>
      </c>
      <c r="O26" s="128">
        <f>IF(Table312[[#This Row],[CODE]]=11, Table312[ [#This Row],[Account Deposit Amount] ]-Table312[ [#This Row],[Account Withdrawl Amount] ], )</f>
        <v>0</v>
      </c>
      <c r="P26" s="128">
        <f>IF(Table312[[#This Row],[CODE]]=12, Table312[ [#This Row],[Account Deposit Amount] ]-Table312[ [#This Row],[Account Withdrawl Amount] ], )</f>
        <v>0</v>
      </c>
      <c r="Q26" s="128">
        <f>IF(Table312[[#This Row],[CODE]]=13, Table312[ [#This Row],[Account Deposit Amount] ]-Table312[ [#This Row],[Account Withdrawl Amount] ], )</f>
        <v>-78.739999999999995</v>
      </c>
      <c r="R26" s="128">
        <f>IF(Table312[[#This Row],[CODE]]=14, Table312[ [#This Row],[Account Deposit Amount] ]-Table312[ [#This Row],[Account Withdrawl Amount] ], )</f>
        <v>0</v>
      </c>
      <c r="S26" s="128">
        <f>IF(Table312[[#This Row],[CODE]]=15, Table312[ [#This Row],[Account Deposit Amount] ]-Table312[ [#This Row],[Account Withdrawl Amount] ], )</f>
        <v>0</v>
      </c>
      <c r="T26" s="128">
        <f>IF(Table312[[#This Row],[CODE]]=16, Table312[ [#This Row],[Account Deposit Amount] ]-Table312[ [#This Row],[Account Withdrawl Amount] ], )</f>
        <v>0</v>
      </c>
      <c r="U26" s="127">
        <f>IF(Table312[[#This Row],[CODE]]=17, Table312[ [#This Row],[Account Deposit Amount] ]-Table312[ [#This Row],[Account Withdrawl Amount] ], )</f>
        <v>0</v>
      </c>
      <c r="V26" s="166">
        <f>IF(Table312[[#This Row],[CODE]]=18, Table312[ [#This Row],[Account Deposit Amount] ]-Table312[ [#This Row],[Account Withdrawl Amount] ], )</f>
        <v>0</v>
      </c>
    </row>
    <row r="27" spans="1:22" ht="25.2" thickBot="1">
      <c r="A27" s="130" t="s">
        <v>238</v>
      </c>
      <c r="B27" s="133">
        <v>45230</v>
      </c>
      <c r="C27" s="130" t="s">
        <v>362</v>
      </c>
      <c r="D27" s="132" t="s">
        <v>414</v>
      </c>
      <c r="E27" s="128">
        <v>24.89</v>
      </c>
      <c r="F27" s="128"/>
      <c r="G27" s="134">
        <f t="shared" si="2"/>
        <v>17422.709999999995</v>
      </c>
      <c r="H27" s="130">
        <v>13</v>
      </c>
      <c r="I27" s="127">
        <f>IF(Table312[[#This Row],[CODE]]=1, Table312[ [#This Row],[Account Deposit Amount] ]-Table312[ [#This Row],[Account Withdrawl Amount] ], )</f>
        <v>0</v>
      </c>
      <c r="J27" s="129">
        <f>IF(Table312[[#This Row],[CODE]]=2, Table312[ [#This Row],[Account Deposit Amount] ]-Table312[ [#This Row],[Account Withdrawl Amount] ], )</f>
        <v>0</v>
      </c>
      <c r="K27" s="129">
        <f>IF(Table312[[#This Row],[CODE]]=3, Table312[ [#This Row],[Account Deposit Amount] ]-Table312[ [#This Row],[Account Withdrawl Amount] ], )</f>
        <v>0</v>
      </c>
      <c r="L27" s="128">
        <f>IF(Table312[[#This Row],[CODE]]=4, Table312[ [#This Row],[Account Deposit Amount] ]-Table312[ [#This Row],[Account Withdrawl Amount] ], )</f>
        <v>0</v>
      </c>
      <c r="M27" s="128">
        <f>IF(Table312[[#This Row],[CODE]]=5, Table312[ [#This Row],[Account Deposit Amount] ]-Table312[ [#This Row],[Account Withdrawl Amount] ], )</f>
        <v>0</v>
      </c>
      <c r="N27" s="128">
        <f>IF(Table312[[#This Row],[CODE]]=6, Table312[ [#This Row],[Account Deposit Amount] ]-Table312[ [#This Row],[Account Withdrawl Amount] ], )</f>
        <v>0</v>
      </c>
      <c r="O27" s="128">
        <f>IF(Table312[[#This Row],[CODE]]=11, Table312[ [#This Row],[Account Deposit Amount] ]-Table312[ [#This Row],[Account Withdrawl Amount] ], )</f>
        <v>0</v>
      </c>
      <c r="P27" s="128">
        <f>IF(Table312[[#This Row],[CODE]]=12, Table312[ [#This Row],[Account Deposit Amount] ]-Table312[ [#This Row],[Account Withdrawl Amount] ], )</f>
        <v>0</v>
      </c>
      <c r="Q27" s="128">
        <f>IF(Table312[[#This Row],[CODE]]=13, Table312[ [#This Row],[Account Deposit Amount] ]-Table312[ [#This Row],[Account Withdrawl Amount] ], )</f>
        <v>24.89</v>
      </c>
      <c r="R27" s="128">
        <f>IF(Table312[[#This Row],[CODE]]=14, Table312[ [#This Row],[Account Deposit Amount] ]-Table312[ [#This Row],[Account Withdrawl Amount] ], )</f>
        <v>0</v>
      </c>
      <c r="S27" s="128">
        <f>IF(Table312[[#This Row],[CODE]]=15, Table312[ [#This Row],[Account Deposit Amount] ]-Table312[ [#This Row],[Account Withdrawl Amount] ], )</f>
        <v>0</v>
      </c>
      <c r="T27" s="128">
        <f>IF(Table312[[#This Row],[CODE]]=16, Table312[ [#This Row],[Account Deposit Amount] ]-Table312[ [#This Row],[Account Withdrawl Amount] ], )</f>
        <v>0</v>
      </c>
      <c r="U27" s="127">
        <f>IF(Table312[[#This Row],[CODE]]=17, Table312[ [#This Row],[Account Deposit Amount] ]-Table312[ [#This Row],[Account Withdrawl Amount] ], )</f>
        <v>0</v>
      </c>
      <c r="V27" s="166">
        <f>IF(Table312[[#This Row],[CODE]]=18, Table312[ [#This Row],[Account Deposit Amount] ]-Table312[ [#This Row],[Account Withdrawl Amount] ], )</f>
        <v>0</v>
      </c>
    </row>
    <row r="28" spans="1:22" ht="16.2" thickBot="1">
      <c r="A28" s="130"/>
      <c r="B28" s="133"/>
      <c r="C28" s="130"/>
      <c r="D28" s="132"/>
      <c r="E28" s="128"/>
      <c r="F28" s="128"/>
      <c r="G28" s="134">
        <f t="shared" si="2"/>
        <v>17422.709999999995</v>
      </c>
      <c r="H28" s="130"/>
      <c r="I28" s="127">
        <f>IF(Table312[[#This Row],[CODE]]=1, Table312[ [#This Row],[Account Deposit Amount] ]-Table312[ [#This Row],[Account Withdrawl Amount] ], )</f>
        <v>0</v>
      </c>
      <c r="J28" s="129">
        <f>IF(Table312[[#This Row],[CODE]]=2, Table312[ [#This Row],[Account Deposit Amount] ]-Table312[ [#This Row],[Account Withdrawl Amount] ], )</f>
        <v>0</v>
      </c>
      <c r="K28" s="129">
        <f>IF(Table312[[#This Row],[CODE]]=3, Table312[ [#This Row],[Account Deposit Amount] ]-Table312[ [#This Row],[Account Withdrawl Amount] ], )</f>
        <v>0</v>
      </c>
      <c r="L28" s="128">
        <f>IF(Table312[[#This Row],[CODE]]=4, Table312[ [#This Row],[Account Deposit Amount] ]-Table312[ [#This Row],[Account Withdrawl Amount] ], )</f>
        <v>0</v>
      </c>
      <c r="M28" s="128">
        <f>IF(Table312[[#This Row],[CODE]]=5, Table312[ [#This Row],[Account Deposit Amount] ]-Table312[ [#This Row],[Account Withdrawl Amount] ], )</f>
        <v>0</v>
      </c>
      <c r="N28" s="128">
        <f>IF(Table312[[#This Row],[CODE]]=6, Table312[ [#This Row],[Account Deposit Amount] ]-Table312[ [#This Row],[Account Withdrawl Amount] ], )</f>
        <v>0</v>
      </c>
      <c r="O28" s="128">
        <f>IF(Table312[[#This Row],[CODE]]=11, Table312[ [#This Row],[Account Deposit Amount] ]-Table312[ [#This Row],[Account Withdrawl Amount] ], )</f>
        <v>0</v>
      </c>
      <c r="P28" s="128">
        <f>IF(Table312[[#This Row],[CODE]]=12, Table312[ [#This Row],[Account Deposit Amount] ]-Table312[ [#This Row],[Account Withdrawl Amount] ], )</f>
        <v>0</v>
      </c>
      <c r="Q28" s="128">
        <f>IF(Table312[[#This Row],[CODE]]=13, Table312[ [#This Row],[Account Deposit Amount] ]-Table312[ [#This Row],[Account Withdrawl Amount] ], )</f>
        <v>0</v>
      </c>
      <c r="R28" s="128">
        <f>IF(Table312[[#This Row],[CODE]]=14, Table312[ [#This Row],[Account Deposit Amount] ]-Table312[ [#This Row],[Account Withdrawl Amount] ], )</f>
        <v>0</v>
      </c>
      <c r="S28" s="128">
        <f>IF(Table312[[#This Row],[CODE]]=15, Table312[ [#This Row],[Account Deposit Amount] ]-Table312[ [#This Row],[Account Withdrawl Amount] ], )</f>
        <v>0</v>
      </c>
      <c r="T28" s="128">
        <f>IF(Table312[[#This Row],[CODE]]=16, Table312[ [#This Row],[Account Deposit Amount] ]-Table312[ [#This Row],[Account Withdrawl Amount] ], )</f>
        <v>0</v>
      </c>
      <c r="U28" s="127">
        <f>IF(Table312[[#This Row],[CODE]]=17, Table312[ [#This Row],[Account Deposit Amount] ]-Table312[ [#This Row],[Account Withdrawl Amount] ], )</f>
        <v>0</v>
      </c>
      <c r="V28" s="166">
        <f>IF(Table312[[#This Row],[CODE]]=18, Table312[ [#This Row],[Account Deposit Amount] ]-Table312[ [#This Row],[Account Withdrawl Amount] ], )</f>
        <v>0</v>
      </c>
    </row>
    <row r="29" spans="1:22" ht="16.2" thickBot="1">
      <c r="A29" s="130"/>
      <c r="B29" s="133"/>
      <c r="C29" s="130"/>
      <c r="D29" s="132"/>
      <c r="E29" s="128"/>
      <c r="F29" s="128"/>
      <c r="G29" s="134">
        <f t="shared" si="2"/>
        <v>17422.709999999995</v>
      </c>
      <c r="H29" s="130"/>
      <c r="I29" s="127">
        <f>IF(Table312[[#This Row],[CODE]]=1, Table312[ [#This Row],[Account Deposit Amount] ]-Table312[ [#This Row],[Account Withdrawl Amount] ], )</f>
        <v>0</v>
      </c>
      <c r="J29" s="129">
        <f>IF(Table312[[#This Row],[CODE]]=2, Table312[ [#This Row],[Account Deposit Amount] ]-Table312[ [#This Row],[Account Withdrawl Amount] ], )</f>
        <v>0</v>
      </c>
      <c r="K29" s="129">
        <f>IF(Table312[[#This Row],[CODE]]=3, Table312[ [#This Row],[Account Deposit Amount] ]-Table312[ [#This Row],[Account Withdrawl Amount] ], )</f>
        <v>0</v>
      </c>
      <c r="L29" s="128">
        <f>IF(Table312[[#This Row],[CODE]]=4, Table312[ [#This Row],[Account Deposit Amount] ]-Table312[ [#This Row],[Account Withdrawl Amount] ], )</f>
        <v>0</v>
      </c>
      <c r="M29" s="128">
        <f>IF(Table312[[#This Row],[CODE]]=5, Table312[ [#This Row],[Account Deposit Amount] ]-Table312[ [#This Row],[Account Withdrawl Amount] ], )</f>
        <v>0</v>
      </c>
      <c r="N29" s="128">
        <f>IF(Table312[[#This Row],[CODE]]=6, Table312[ [#This Row],[Account Deposit Amount] ]-Table312[ [#This Row],[Account Withdrawl Amount] ], )</f>
        <v>0</v>
      </c>
      <c r="O29" s="128">
        <f>IF(Table312[[#This Row],[CODE]]=11, Table312[ [#This Row],[Account Deposit Amount] ]-Table312[ [#This Row],[Account Withdrawl Amount] ], )</f>
        <v>0</v>
      </c>
      <c r="P29" s="128">
        <f>IF(Table312[[#This Row],[CODE]]=12, Table312[ [#This Row],[Account Deposit Amount] ]-Table312[ [#This Row],[Account Withdrawl Amount] ], )</f>
        <v>0</v>
      </c>
      <c r="Q29" s="128">
        <f>IF(Table312[[#This Row],[CODE]]=13, Table312[ [#This Row],[Account Deposit Amount] ]-Table312[ [#This Row],[Account Withdrawl Amount] ], )</f>
        <v>0</v>
      </c>
      <c r="R29" s="128">
        <f>IF(Table312[[#This Row],[CODE]]=14, Table312[ [#This Row],[Account Deposit Amount] ]-Table312[ [#This Row],[Account Withdrawl Amount] ], )</f>
        <v>0</v>
      </c>
      <c r="S29" s="128">
        <f>IF(Table312[[#This Row],[CODE]]=15, Table312[ [#This Row],[Account Deposit Amount] ]-Table312[ [#This Row],[Account Withdrawl Amount] ], )</f>
        <v>0</v>
      </c>
      <c r="T29" s="128">
        <f>IF(Table312[[#This Row],[CODE]]=16, Table312[ [#This Row],[Account Deposit Amount] ]-Table312[ [#This Row],[Account Withdrawl Amount] ], )</f>
        <v>0</v>
      </c>
      <c r="U29" s="127">
        <f>IF(Table312[[#This Row],[CODE]]=17, Table312[ [#This Row],[Account Deposit Amount] ]-Table312[ [#This Row],[Account Withdrawl Amount] ], )</f>
        <v>0</v>
      </c>
      <c r="V29" s="166">
        <f>IF(Table312[[#This Row],[CODE]]=18, Table312[ [#This Row],[Account Deposit Amount] ]-Table312[ [#This Row],[Account Withdrawl Amount] ], )</f>
        <v>0</v>
      </c>
    </row>
    <row r="30" spans="1:22" ht="16.2" thickBot="1">
      <c r="A30" s="130"/>
      <c r="B30" s="133"/>
      <c r="C30" s="130"/>
      <c r="D30" s="132"/>
      <c r="E30" s="128"/>
      <c r="F30" s="128"/>
      <c r="G30" s="134">
        <f t="shared" si="2"/>
        <v>17422.709999999995</v>
      </c>
      <c r="H30" s="130"/>
      <c r="I30" s="127">
        <f>IF(Table312[[#This Row],[CODE]]=1, Table312[ [#This Row],[Account Deposit Amount] ]-Table312[ [#This Row],[Account Withdrawl Amount] ], )</f>
        <v>0</v>
      </c>
      <c r="J30" s="129">
        <f>IF(Table312[[#This Row],[CODE]]=2, Table312[ [#This Row],[Account Deposit Amount] ]-Table312[ [#This Row],[Account Withdrawl Amount] ], )</f>
        <v>0</v>
      </c>
      <c r="K30" s="129">
        <f>IF(Table312[[#This Row],[CODE]]=3, Table312[ [#This Row],[Account Deposit Amount] ]-Table312[ [#This Row],[Account Withdrawl Amount] ], )</f>
        <v>0</v>
      </c>
      <c r="L30" s="128">
        <f>IF(Table312[[#This Row],[CODE]]=4, Table312[ [#This Row],[Account Deposit Amount] ]-Table312[ [#This Row],[Account Withdrawl Amount] ], )</f>
        <v>0</v>
      </c>
      <c r="M30" s="128">
        <f>IF(Table312[[#This Row],[CODE]]=5, Table312[ [#This Row],[Account Deposit Amount] ]-Table312[ [#This Row],[Account Withdrawl Amount] ], )</f>
        <v>0</v>
      </c>
      <c r="N30" s="128">
        <f>IF(Table312[[#This Row],[CODE]]=6, Table312[ [#This Row],[Account Deposit Amount] ]-Table312[ [#This Row],[Account Withdrawl Amount] ], )</f>
        <v>0</v>
      </c>
      <c r="O30" s="128">
        <f>IF(Table312[[#This Row],[CODE]]=11, Table312[ [#This Row],[Account Deposit Amount] ]-Table312[ [#This Row],[Account Withdrawl Amount] ], )</f>
        <v>0</v>
      </c>
      <c r="P30" s="128">
        <f>IF(Table312[[#This Row],[CODE]]=12, Table312[ [#This Row],[Account Deposit Amount] ]-Table312[ [#This Row],[Account Withdrawl Amount] ], )</f>
        <v>0</v>
      </c>
      <c r="Q30" s="128">
        <f>IF(Table312[[#This Row],[CODE]]=13, Table312[ [#This Row],[Account Deposit Amount] ]-Table312[ [#This Row],[Account Withdrawl Amount] ], )</f>
        <v>0</v>
      </c>
      <c r="R30" s="128">
        <f>IF(Table312[[#This Row],[CODE]]=14, Table312[ [#This Row],[Account Deposit Amount] ]-Table312[ [#This Row],[Account Withdrawl Amount] ], )</f>
        <v>0</v>
      </c>
      <c r="S30" s="128">
        <f>IF(Table312[[#This Row],[CODE]]=15, Table312[ [#This Row],[Account Deposit Amount] ]-Table312[ [#This Row],[Account Withdrawl Amount] ], )</f>
        <v>0</v>
      </c>
      <c r="T30" s="128">
        <f>IF(Table312[[#This Row],[CODE]]=16, Table312[ [#This Row],[Account Deposit Amount] ]-Table312[ [#This Row],[Account Withdrawl Amount] ], )</f>
        <v>0</v>
      </c>
      <c r="U30" s="127">
        <f>IF(Table312[[#This Row],[CODE]]=17, Table312[ [#This Row],[Account Deposit Amount] ]-Table312[ [#This Row],[Account Withdrawl Amount] ], )</f>
        <v>0</v>
      </c>
      <c r="V30" s="166">
        <f>IF(Table312[[#This Row],[CODE]]=18, Table312[ [#This Row],[Account Deposit Amount] ]-Table312[ [#This Row],[Account Withdrawl Amount] ], )</f>
        <v>0</v>
      </c>
    </row>
    <row r="31" spans="1:22" ht="16.2" thickBot="1">
      <c r="A31" s="130"/>
      <c r="B31" s="133"/>
      <c r="C31" s="130"/>
      <c r="D31" s="132"/>
      <c r="E31" s="128"/>
      <c r="F31" s="128"/>
      <c r="G31" s="134">
        <f t="shared" si="2"/>
        <v>17422.709999999995</v>
      </c>
      <c r="H31" s="130"/>
      <c r="I31" s="127">
        <f>IF(Table312[[#This Row],[CODE]]=1, Table312[ [#This Row],[Account Deposit Amount] ]-Table312[ [#This Row],[Account Withdrawl Amount] ], )</f>
        <v>0</v>
      </c>
      <c r="J31" s="129">
        <f>IF(Table312[[#This Row],[CODE]]=2, Table312[ [#This Row],[Account Deposit Amount] ]-Table312[ [#This Row],[Account Withdrawl Amount] ], )</f>
        <v>0</v>
      </c>
      <c r="K31" s="129">
        <f>IF(Table312[[#This Row],[CODE]]=3, Table312[ [#This Row],[Account Deposit Amount] ]-Table312[ [#This Row],[Account Withdrawl Amount] ], )</f>
        <v>0</v>
      </c>
      <c r="L31" s="128">
        <f>IF(Table312[[#This Row],[CODE]]=4, Table312[ [#This Row],[Account Deposit Amount] ]-Table312[ [#This Row],[Account Withdrawl Amount] ], )</f>
        <v>0</v>
      </c>
      <c r="M31" s="128">
        <f>IF(Table312[[#This Row],[CODE]]=5, Table312[ [#This Row],[Account Deposit Amount] ]-Table312[ [#This Row],[Account Withdrawl Amount] ], )</f>
        <v>0</v>
      </c>
      <c r="N31" s="128">
        <f>IF(Table312[[#This Row],[CODE]]=6, Table312[ [#This Row],[Account Deposit Amount] ]-Table312[ [#This Row],[Account Withdrawl Amount] ], )</f>
        <v>0</v>
      </c>
      <c r="O31" s="128">
        <f>IF(Table312[[#This Row],[CODE]]=11, Table312[ [#This Row],[Account Deposit Amount] ]-Table312[ [#This Row],[Account Withdrawl Amount] ], )</f>
        <v>0</v>
      </c>
      <c r="P31" s="128">
        <f>IF(Table312[[#This Row],[CODE]]=12, Table312[ [#This Row],[Account Deposit Amount] ]-Table312[ [#This Row],[Account Withdrawl Amount] ], )</f>
        <v>0</v>
      </c>
      <c r="Q31" s="128">
        <f>IF(Table312[[#This Row],[CODE]]=13, Table312[ [#This Row],[Account Deposit Amount] ]-Table312[ [#This Row],[Account Withdrawl Amount] ], )</f>
        <v>0</v>
      </c>
      <c r="R31" s="128">
        <f>IF(Table312[[#This Row],[CODE]]=14, Table312[ [#This Row],[Account Deposit Amount] ]-Table312[ [#This Row],[Account Withdrawl Amount] ], )</f>
        <v>0</v>
      </c>
      <c r="S31" s="128">
        <f>IF(Table312[[#This Row],[CODE]]=15, Table312[ [#This Row],[Account Deposit Amount] ]-Table312[ [#This Row],[Account Withdrawl Amount] ], )</f>
        <v>0</v>
      </c>
      <c r="T31" s="128">
        <f>IF(Table312[[#This Row],[CODE]]=16, Table312[ [#This Row],[Account Deposit Amount] ]-Table312[ [#This Row],[Account Withdrawl Amount] ], )</f>
        <v>0</v>
      </c>
      <c r="U31" s="127">
        <f>IF(Table312[[#This Row],[CODE]]=17, Table312[ [#This Row],[Account Deposit Amount] ]-Table312[ [#This Row],[Account Withdrawl Amount] ], )</f>
        <v>0</v>
      </c>
      <c r="V31" s="166">
        <f>IF(Table312[[#This Row],[CODE]]=18, Table312[ [#This Row],[Account Deposit Amount] ]-Table312[ [#This Row],[Account Withdrawl Amount] ], )</f>
        <v>0</v>
      </c>
    </row>
    <row r="32" spans="1:22" ht="16.2" thickBot="1">
      <c r="A32" s="130"/>
      <c r="B32" s="133"/>
      <c r="C32" s="130"/>
      <c r="D32" s="132"/>
      <c r="E32" s="128"/>
      <c r="F32" s="128"/>
      <c r="G32" s="134">
        <f t="shared" si="2"/>
        <v>17422.709999999995</v>
      </c>
      <c r="H32" s="130"/>
      <c r="I32" s="127">
        <f>IF(Table312[[#This Row],[CODE]]=1, Table312[ [#This Row],[Account Deposit Amount] ]-Table312[ [#This Row],[Account Withdrawl Amount] ], )</f>
        <v>0</v>
      </c>
      <c r="J32" s="129">
        <f>IF(Table312[[#This Row],[CODE]]=2, Table312[ [#This Row],[Account Deposit Amount] ]-Table312[ [#This Row],[Account Withdrawl Amount] ], )</f>
        <v>0</v>
      </c>
      <c r="K32" s="129">
        <f>IF(Table312[[#This Row],[CODE]]=3, Table312[ [#This Row],[Account Deposit Amount] ]-Table312[ [#This Row],[Account Withdrawl Amount] ], )</f>
        <v>0</v>
      </c>
      <c r="L32" s="128">
        <f>IF(Table312[[#This Row],[CODE]]=4, Table312[ [#This Row],[Account Deposit Amount] ]-Table312[ [#This Row],[Account Withdrawl Amount] ], )</f>
        <v>0</v>
      </c>
      <c r="M32" s="128">
        <f>IF(Table312[[#This Row],[CODE]]=5, Table312[ [#This Row],[Account Deposit Amount] ]-Table312[ [#This Row],[Account Withdrawl Amount] ], )</f>
        <v>0</v>
      </c>
      <c r="N32" s="128">
        <f>IF(Table312[[#This Row],[CODE]]=6, Table312[ [#This Row],[Account Deposit Amount] ]-Table312[ [#This Row],[Account Withdrawl Amount] ], )</f>
        <v>0</v>
      </c>
      <c r="O32" s="128">
        <f>IF(Table312[[#This Row],[CODE]]=11, Table312[ [#This Row],[Account Deposit Amount] ]-Table312[ [#This Row],[Account Withdrawl Amount] ], )</f>
        <v>0</v>
      </c>
      <c r="P32" s="128">
        <f>IF(Table312[[#This Row],[CODE]]=12, Table312[ [#This Row],[Account Deposit Amount] ]-Table312[ [#This Row],[Account Withdrawl Amount] ], )</f>
        <v>0</v>
      </c>
      <c r="Q32" s="128">
        <f>IF(Table312[[#This Row],[CODE]]=13, Table312[ [#This Row],[Account Deposit Amount] ]-Table312[ [#This Row],[Account Withdrawl Amount] ], )</f>
        <v>0</v>
      </c>
      <c r="R32" s="128">
        <f>IF(Table312[[#This Row],[CODE]]=14, Table312[ [#This Row],[Account Deposit Amount] ]-Table312[ [#This Row],[Account Withdrawl Amount] ], )</f>
        <v>0</v>
      </c>
      <c r="S32" s="128">
        <f>IF(Table312[[#This Row],[CODE]]=15, Table312[ [#This Row],[Account Deposit Amount] ]-Table312[ [#This Row],[Account Withdrawl Amount] ], )</f>
        <v>0</v>
      </c>
      <c r="T32" s="128">
        <f>IF(Table312[[#This Row],[CODE]]=16, Table312[ [#This Row],[Account Deposit Amount] ]-Table312[ [#This Row],[Account Withdrawl Amount] ], )</f>
        <v>0</v>
      </c>
      <c r="U32" s="127">
        <f>IF(Table312[[#This Row],[CODE]]=17, Table312[ [#This Row],[Account Deposit Amount] ]-Table312[ [#This Row],[Account Withdrawl Amount] ], )</f>
        <v>0</v>
      </c>
      <c r="V32" s="166">
        <f>IF(Table312[[#This Row],[CODE]]=18, Table312[ [#This Row],[Account Deposit Amount] ]-Table312[ [#This Row],[Account Withdrawl Amount] ], )</f>
        <v>0</v>
      </c>
    </row>
    <row r="33" spans="1:22" ht="16.2" thickBot="1">
      <c r="A33" s="130"/>
      <c r="B33" s="133"/>
      <c r="C33" s="130"/>
      <c r="D33" s="132"/>
      <c r="E33" s="128"/>
      <c r="F33" s="128"/>
      <c r="G33" s="134">
        <f t="shared" si="2"/>
        <v>17422.709999999995</v>
      </c>
      <c r="H33" s="130"/>
      <c r="I33" s="127">
        <f>IF(Table312[[#This Row],[CODE]]=1, Table312[ [#This Row],[Account Deposit Amount] ]-Table312[ [#This Row],[Account Withdrawl Amount] ], )</f>
        <v>0</v>
      </c>
      <c r="J33" s="129">
        <f>IF(Table312[[#This Row],[CODE]]=2, Table312[ [#This Row],[Account Deposit Amount] ]-Table312[ [#This Row],[Account Withdrawl Amount] ], )</f>
        <v>0</v>
      </c>
      <c r="K33" s="129">
        <f>IF(Table312[[#This Row],[CODE]]=3, Table312[ [#This Row],[Account Deposit Amount] ]-Table312[ [#This Row],[Account Withdrawl Amount] ], )</f>
        <v>0</v>
      </c>
      <c r="L33" s="128">
        <f>IF(Table312[[#This Row],[CODE]]=4, Table312[ [#This Row],[Account Deposit Amount] ]-Table312[ [#This Row],[Account Withdrawl Amount] ], )</f>
        <v>0</v>
      </c>
      <c r="M33" s="128">
        <f>IF(Table312[[#This Row],[CODE]]=5, Table312[ [#This Row],[Account Deposit Amount] ]-Table312[ [#This Row],[Account Withdrawl Amount] ], )</f>
        <v>0</v>
      </c>
      <c r="N33" s="128">
        <f>IF(Table312[[#This Row],[CODE]]=6, Table312[ [#This Row],[Account Deposit Amount] ]-Table312[ [#This Row],[Account Withdrawl Amount] ], )</f>
        <v>0</v>
      </c>
      <c r="O33" s="128">
        <f>IF(Table312[[#This Row],[CODE]]=11, Table312[ [#This Row],[Account Deposit Amount] ]-Table312[ [#This Row],[Account Withdrawl Amount] ], )</f>
        <v>0</v>
      </c>
      <c r="P33" s="128">
        <f>IF(Table312[[#This Row],[CODE]]=12, Table312[ [#This Row],[Account Deposit Amount] ]-Table312[ [#This Row],[Account Withdrawl Amount] ], )</f>
        <v>0</v>
      </c>
      <c r="Q33" s="128">
        <f>IF(Table312[[#This Row],[CODE]]=13, Table312[ [#This Row],[Account Deposit Amount] ]-Table312[ [#This Row],[Account Withdrawl Amount] ], )</f>
        <v>0</v>
      </c>
      <c r="R33" s="128">
        <f>IF(Table312[[#This Row],[CODE]]=14, Table312[ [#This Row],[Account Deposit Amount] ]-Table312[ [#This Row],[Account Withdrawl Amount] ], )</f>
        <v>0</v>
      </c>
      <c r="S33" s="128">
        <f>IF(Table312[[#This Row],[CODE]]=15, Table312[ [#This Row],[Account Deposit Amount] ]-Table312[ [#This Row],[Account Withdrawl Amount] ], )</f>
        <v>0</v>
      </c>
      <c r="T33" s="128">
        <f>IF(Table312[[#This Row],[CODE]]=16, Table312[ [#This Row],[Account Deposit Amount] ]-Table312[ [#This Row],[Account Withdrawl Amount] ], )</f>
        <v>0</v>
      </c>
      <c r="U33" s="127">
        <f>IF(Table312[[#This Row],[CODE]]=17, Table312[ [#This Row],[Account Deposit Amount] ]-Table312[ [#This Row],[Account Withdrawl Amount] ], )</f>
        <v>0</v>
      </c>
      <c r="V33" s="166">
        <f>IF(Table312[[#This Row],[CODE]]=18, Table312[ [#This Row],[Account Deposit Amount] ]-Table312[ [#This Row],[Account Withdrawl Amount] ], )</f>
        <v>0</v>
      </c>
    </row>
    <row r="34" spans="1:22" ht="16.2" thickBot="1">
      <c r="A34" s="130"/>
      <c r="B34" s="133"/>
      <c r="C34" s="130"/>
      <c r="D34" s="132"/>
      <c r="E34" s="128"/>
      <c r="F34" s="128"/>
      <c r="G34" s="134">
        <f t="shared" si="2"/>
        <v>17422.709999999995</v>
      </c>
      <c r="H34" s="130"/>
      <c r="I34" s="127">
        <f>IF(Table312[[#This Row],[CODE]]=1, Table312[ [#This Row],[Account Deposit Amount] ]-Table312[ [#This Row],[Account Withdrawl Amount] ], )</f>
        <v>0</v>
      </c>
      <c r="J34" s="129">
        <f>IF(Table312[[#This Row],[CODE]]=2, Table312[ [#This Row],[Account Deposit Amount] ]-Table312[ [#This Row],[Account Withdrawl Amount] ], )</f>
        <v>0</v>
      </c>
      <c r="K34" s="129">
        <f>IF(Table312[[#This Row],[CODE]]=3, Table312[ [#This Row],[Account Deposit Amount] ]-Table312[ [#This Row],[Account Withdrawl Amount] ], )</f>
        <v>0</v>
      </c>
      <c r="L34" s="128">
        <f>IF(Table312[[#This Row],[CODE]]=4, Table312[ [#This Row],[Account Deposit Amount] ]-Table312[ [#This Row],[Account Withdrawl Amount] ], )</f>
        <v>0</v>
      </c>
      <c r="M34" s="128">
        <f>IF(Table312[[#This Row],[CODE]]=5, Table312[ [#This Row],[Account Deposit Amount] ]-Table312[ [#This Row],[Account Withdrawl Amount] ], )</f>
        <v>0</v>
      </c>
      <c r="N34" s="128">
        <f>IF(Table312[[#This Row],[CODE]]=6, Table312[ [#This Row],[Account Deposit Amount] ]-Table312[ [#This Row],[Account Withdrawl Amount] ], )</f>
        <v>0</v>
      </c>
      <c r="O34" s="128">
        <f>IF(Table312[[#This Row],[CODE]]=11, Table312[ [#This Row],[Account Deposit Amount] ]-Table312[ [#This Row],[Account Withdrawl Amount] ], )</f>
        <v>0</v>
      </c>
      <c r="P34" s="128">
        <f>IF(Table312[[#This Row],[CODE]]=12, Table312[ [#This Row],[Account Deposit Amount] ]-Table312[ [#This Row],[Account Withdrawl Amount] ], )</f>
        <v>0</v>
      </c>
      <c r="Q34" s="128">
        <f>IF(Table312[[#This Row],[CODE]]=13, Table312[ [#This Row],[Account Deposit Amount] ]-Table312[ [#This Row],[Account Withdrawl Amount] ], )</f>
        <v>0</v>
      </c>
      <c r="R34" s="128">
        <f>IF(Table312[[#This Row],[CODE]]=14, Table312[ [#This Row],[Account Deposit Amount] ]-Table312[ [#This Row],[Account Withdrawl Amount] ], )</f>
        <v>0</v>
      </c>
      <c r="S34" s="128">
        <f>IF(Table312[[#This Row],[CODE]]=15, Table312[ [#This Row],[Account Deposit Amount] ]-Table312[ [#This Row],[Account Withdrawl Amount] ], )</f>
        <v>0</v>
      </c>
      <c r="T34" s="128">
        <f>IF(Table312[[#This Row],[CODE]]=16, Table312[ [#This Row],[Account Deposit Amount] ]-Table312[ [#This Row],[Account Withdrawl Amount] ], )</f>
        <v>0</v>
      </c>
      <c r="U34" s="127">
        <f>IF(Table312[[#This Row],[CODE]]=17, Table312[ [#This Row],[Account Deposit Amount] ]-Table312[ [#This Row],[Account Withdrawl Amount] ], )</f>
        <v>0</v>
      </c>
      <c r="V34" s="166">
        <f>IF(Table312[[#This Row],[CODE]]=18, Table312[ [#This Row],[Account Deposit Amount] ]-Table312[ [#This Row],[Account Withdrawl Amount] ], )</f>
        <v>0</v>
      </c>
    </row>
    <row r="35" spans="1:22" ht="16.2" thickBot="1">
      <c r="A35" s="130"/>
      <c r="B35" s="133"/>
      <c r="C35" s="130"/>
      <c r="D35" s="132"/>
      <c r="E35" s="128"/>
      <c r="F35" s="128"/>
      <c r="G35" s="134">
        <f t="shared" si="2"/>
        <v>17422.709999999995</v>
      </c>
      <c r="H35" s="130"/>
      <c r="I35" s="127">
        <f>IF(Table312[[#This Row],[CODE]]=1, Table312[ [#This Row],[Account Deposit Amount] ]-Table312[ [#This Row],[Account Withdrawl Amount] ], )</f>
        <v>0</v>
      </c>
      <c r="J35" s="129">
        <f>IF(Table312[[#This Row],[CODE]]=2, Table312[ [#This Row],[Account Deposit Amount] ]-Table312[ [#This Row],[Account Withdrawl Amount] ], )</f>
        <v>0</v>
      </c>
      <c r="K35" s="129">
        <f>IF(Table312[[#This Row],[CODE]]=3, Table312[ [#This Row],[Account Deposit Amount] ]-Table312[ [#This Row],[Account Withdrawl Amount] ], )</f>
        <v>0</v>
      </c>
      <c r="L35" s="128">
        <f>IF(Table312[[#This Row],[CODE]]=4, Table312[ [#This Row],[Account Deposit Amount] ]-Table312[ [#This Row],[Account Withdrawl Amount] ], )</f>
        <v>0</v>
      </c>
      <c r="M35" s="128">
        <f>IF(Table312[[#This Row],[CODE]]=5, Table312[ [#This Row],[Account Deposit Amount] ]-Table312[ [#This Row],[Account Withdrawl Amount] ], )</f>
        <v>0</v>
      </c>
      <c r="N35" s="128">
        <f>IF(Table312[[#This Row],[CODE]]=6, Table312[ [#This Row],[Account Deposit Amount] ]-Table312[ [#This Row],[Account Withdrawl Amount] ], )</f>
        <v>0</v>
      </c>
      <c r="O35" s="128">
        <f>IF(Table312[[#This Row],[CODE]]=11, Table312[ [#This Row],[Account Deposit Amount] ]-Table312[ [#This Row],[Account Withdrawl Amount] ], )</f>
        <v>0</v>
      </c>
      <c r="P35" s="128">
        <f>IF(Table312[[#This Row],[CODE]]=12, Table312[ [#This Row],[Account Deposit Amount] ]-Table312[ [#This Row],[Account Withdrawl Amount] ], )</f>
        <v>0</v>
      </c>
      <c r="Q35" s="128">
        <f>IF(Table312[[#This Row],[CODE]]=13, Table312[ [#This Row],[Account Deposit Amount] ]-Table312[ [#This Row],[Account Withdrawl Amount] ], )</f>
        <v>0</v>
      </c>
      <c r="R35" s="128">
        <f>IF(Table312[[#This Row],[CODE]]=14, Table312[ [#This Row],[Account Deposit Amount] ]-Table312[ [#This Row],[Account Withdrawl Amount] ], )</f>
        <v>0</v>
      </c>
      <c r="S35" s="128">
        <f>IF(Table312[[#This Row],[CODE]]=15, Table312[ [#This Row],[Account Deposit Amount] ]-Table312[ [#This Row],[Account Withdrawl Amount] ], )</f>
        <v>0</v>
      </c>
      <c r="T35" s="128">
        <f>IF(Table312[[#This Row],[CODE]]=16, Table312[ [#This Row],[Account Deposit Amount] ]-Table312[ [#This Row],[Account Withdrawl Amount] ], )</f>
        <v>0</v>
      </c>
      <c r="U35" s="127">
        <f>IF(Table312[[#This Row],[CODE]]=17, Table312[ [#This Row],[Account Deposit Amount] ]-Table312[ [#This Row],[Account Withdrawl Amount] ], )</f>
        <v>0</v>
      </c>
      <c r="V35" s="166">
        <f>IF(Table312[[#This Row],[CODE]]=18, Table312[ [#This Row],[Account Deposit Amount] ]-Table312[ [#This Row],[Account Withdrawl Amount] ], )</f>
        <v>0</v>
      </c>
    </row>
    <row r="36" spans="1:22" ht="16.2" thickBot="1">
      <c r="A36" s="130"/>
      <c r="B36" s="133"/>
      <c r="C36" s="130"/>
      <c r="D36" s="132"/>
      <c r="E36" s="128"/>
      <c r="F36" s="128"/>
      <c r="G36" s="134">
        <f t="shared" si="2"/>
        <v>17422.709999999995</v>
      </c>
      <c r="H36" s="130"/>
      <c r="I36" s="127">
        <f>IF(Table312[[#This Row],[CODE]]=1, Table312[ [#This Row],[Account Deposit Amount] ]-Table312[ [#This Row],[Account Withdrawl Amount] ], )</f>
        <v>0</v>
      </c>
      <c r="J36" s="129">
        <f>IF(Table312[[#This Row],[CODE]]=2, Table312[ [#This Row],[Account Deposit Amount] ]-Table312[ [#This Row],[Account Withdrawl Amount] ], )</f>
        <v>0</v>
      </c>
      <c r="K36" s="129">
        <f>IF(Table312[[#This Row],[CODE]]=3, Table312[ [#This Row],[Account Deposit Amount] ]-Table312[ [#This Row],[Account Withdrawl Amount] ], )</f>
        <v>0</v>
      </c>
      <c r="L36" s="128">
        <f>IF(Table312[[#This Row],[CODE]]=4, Table312[ [#This Row],[Account Deposit Amount] ]-Table312[ [#This Row],[Account Withdrawl Amount] ], )</f>
        <v>0</v>
      </c>
      <c r="M36" s="128">
        <f>IF(Table312[[#This Row],[CODE]]=5, Table312[ [#This Row],[Account Deposit Amount] ]-Table312[ [#This Row],[Account Withdrawl Amount] ], )</f>
        <v>0</v>
      </c>
      <c r="N36" s="128">
        <f>IF(Table312[[#This Row],[CODE]]=6, Table312[ [#This Row],[Account Deposit Amount] ]-Table312[ [#This Row],[Account Withdrawl Amount] ], )</f>
        <v>0</v>
      </c>
      <c r="O36" s="128">
        <f>IF(Table312[[#This Row],[CODE]]=11, Table312[ [#This Row],[Account Deposit Amount] ]-Table312[ [#This Row],[Account Withdrawl Amount] ], )</f>
        <v>0</v>
      </c>
      <c r="P36" s="128">
        <f>IF(Table312[[#This Row],[CODE]]=12, Table312[ [#This Row],[Account Deposit Amount] ]-Table312[ [#This Row],[Account Withdrawl Amount] ], )</f>
        <v>0</v>
      </c>
      <c r="Q36" s="128">
        <f>IF(Table312[[#This Row],[CODE]]=13, Table312[ [#This Row],[Account Deposit Amount] ]-Table312[ [#This Row],[Account Withdrawl Amount] ], )</f>
        <v>0</v>
      </c>
      <c r="R36" s="128">
        <f>IF(Table312[[#This Row],[CODE]]=14, Table312[ [#This Row],[Account Deposit Amount] ]-Table312[ [#This Row],[Account Withdrawl Amount] ], )</f>
        <v>0</v>
      </c>
      <c r="S36" s="128">
        <f>IF(Table312[[#This Row],[CODE]]=15, Table312[ [#This Row],[Account Deposit Amount] ]-Table312[ [#This Row],[Account Withdrawl Amount] ], )</f>
        <v>0</v>
      </c>
      <c r="T36" s="128">
        <f>IF(Table312[[#This Row],[CODE]]=16, Table312[ [#This Row],[Account Deposit Amount] ]-Table312[ [#This Row],[Account Withdrawl Amount] ], )</f>
        <v>0</v>
      </c>
      <c r="U36" s="127">
        <f>IF(Table312[[#This Row],[CODE]]=17, Table312[ [#This Row],[Account Deposit Amount] ]-Table312[ [#This Row],[Account Withdrawl Amount] ], )</f>
        <v>0</v>
      </c>
      <c r="V36" s="166">
        <f>IF(Table312[[#This Row],[CODE]]=18, Table312[ [#This Row],[Account Deposit Amount] ]-Table312[ [#This Row],[Account Withdrawl Amount] ], )</f>
        <v>0</v>
      </c>
    </row>
    <row r="37" spans="1:22" ht="16.2" thickBot="1">
      <c r="A37" s="130"/>
      <c r="B37" s="133"/>
      <c r="C37" s="130"/>
      <c r="D37" s="132"/>
      <c r="E37" s="128"/>
      <c r="F37" s="128"/>
      <c r="G37" s="134">
        <f t="shared" ref="G37:G68" si="3">G36+E37-F37</f>
        <v>17422.709999999995</v>
      </c>
      <c r="H37" s="130"/>
      <c r="I37" s="127">
        <f>IF(Table312[[#This Row],[CODE]]=1, Table312[ [#This Row],[Account Deposit Amount] ]-Table312[ [#This Row],[Account Withdrawl Amount] ], )</f>
        <v>0</v>
      </c>
      <c r="J37" s="129">
        <f>IF(Table312[[#This Row],[CODE]]=2, Table312[ [#This Row],[Account Deposit Amount] ]-Table312[ [#This Row],[Account Withdrawl Amount] ], )</f>
        <v>0</v>
      </c>
      <c r="K37" s="129">
        <f>IF(Table312[[#This Row],[CODE]]=3, Table312[ [#This Row],[Account Deposit Amount] ]-Table312[ [#This Row],[Account Withdrawl Amount] ], )</f>
        <v>0</v>
      </c>
      <c r="L37" s="128">
        <f>IF(Table312[[#This Row],[CODE]]=4, Table312[ [#This Row],[Account Deposit Amount] ]-Table312[ [#This Row],[Account Withdrawl Amount] ], )</f>
        <v>0</v>
      </c>
      <c r="M37" s="128">
        <f>IF(Table312[[#This Row],[CODE]]=5, Table312[ [#This Row],[Account Deposit Amount] ]-Table312[ [#This Row],[Account Withdrawl Amount] ], )</f>
        <v>0</v>
      </c>
      <c r="N37" s="128">
        <f>IF(Table312[[#This Row],[CODE]]=6, Table312[ [#This Row],[Account Deposit Amount] ]-Table312[ [#This Row],[Account Withdrawl Amount] ], )</f>
        <v>0</v>
      </c>
      <c r="O37" s="128">
        <f>IF(Table312[[#This Row],[CODE]]=11, Table312[ [#This Row],[Account Deposit Amount] ]-Table312[ [#This Row],[Account Withdrawl Amount] ], )</f>
        <v>0</v>
      </c>
      <c r="P37" s="128">
        <f>IF(Table312[[#This Row],[CODE]]=12, Table312[ [#This Row],[Account Deposit Amount] ]-Table312[ [#This Row],[Account Withdrawl Amount] ], )</f>
        <v>0</v>
      </c>
      <c r="Q37" s="128">
        <f>IF(Table312[[#This Row],[CODE]]=13, Table312[ [#This Row],[Account Deposit Amount] ]-Table312[ [#This Row],[Account Withdrawl Amount] ], )</f>
        <v>0</v>
      </c>
      <c r="R37" s="128">
        <f>IF(Table312[[#This Row],[CODE]]=14, Table312[ [#This Row],[Account Deposit Amount] ]-Table312[ [#This Row],[Account Withdrawl Amount] ], )</f>
        <v>0</v>
      </c>
      <c r="S37" s="128">
        <f>IF(Table312[[#This Row],[CODE]]=15, Table312[ [#This Row],[Account Deposit Amount] ]-Table312[ [#This Row],[Account Withdrawl Amount] ], )</f>
        <v>0</v>
      </c>
      <c r="T37" s="128">
        <f>IF(Table312[[#This Row],[CODE]]=16, Table312[ [#This Row],[Account Deposit Amount] ]-Table312[ [#This Row],[Account Withdrawl Amount] ], )</f>
        <v>0</v>
      </c>
      <c r="U37" s="127">
        <f>IF(Table312[[#This Row],[CODE]]=17, Table312[ [#This Row],[Account Deposit Amount] ]-Table312[ [#This Row],[Account Withdrawl Amount] ], )</f>
        <v>0</v>
      </c>
      <c r="V37" s="166">
        <f>IF(Table312[[#This Row],[CODE]]=18, Table312[ [#This Row],[Account Deposit Amount] ]-Table312[ [#This Row],[Account Withdrawl Amount] ], )</f>
        <v>0</v>
      </c>
    </row>
    <row r="38" spans="1:22" ht="16.2" thickBot="1">
      <c r="A38" s="130"/>
      <c r="B38" s="133"/>
      <c r="C38" s="130"/>
      <c r="D38" s="132"/>
      <c r="E38" s="128"/>
      <c r="F38" s="128"/>
      <c r="G38" s="134">
        <f t="shared" si="3"/>
        <v>17422.709999999995</v>
      </c>
      <c r="H38" s="130"/>
      <c r="I38" s="127">
        <f>IF(Table312[[#This Row],[CODE]]=1, Table312[ [#This Row],[Account Deposit Amount] ]-Table312[ [#This Row],[Account Withdrawl Amount] ], )</f>
        <v>0</v>
      </c>
      <c r="J38" s="129">
        <f>IF(Table312[[#This Row],[CODE]]=2, Table312[ [#This Row],[Account Deposit Amount] ]-Table312[ [#This Row],[Account Withdrawl Amount] ], )</f>
        <v>0</v>
      </c>
      <c r="K38" s="129">
        <f>IF(Table312[[#This Row],[CODE]]=3, Table312[ [#This Row],[Account Deposit Amount] ]-Table312[ [#This Row],[Account Withdrawl Amount] ], )</f>
        <v>0</v>
      </c>
      <c r="L38" s="128">
        <f>IF(Table312[[#This Row],[CODE]]=4, Table312[ [#This Row],[Account Deposit Amount] ]-Table312[ [#This Row],[Account Withdrawl Amount] ], )</f>
        <v>0</v>
      </c>
      <c r="M38" s="128">
        <f>IF(Table312[[#This Row],[CODE]]=5, Table312[ [#This Row],[Account Deposit Amount] ]-Table312[ [#This Row],[Account Withdrawl Amount] ], )</f>
        <v>0</v>
      </c>
      <c r="N38" s="128">
        <f>IF(Table312[[#This Row],[CODE]]=6, Table312[ [#This Row],[Account Deposit Amount] ]-Table312[ [#This Row],[Account Withdrawl Amount] ], )</f>
        <v>0</v>
      </c>
      <c r="O38" s="128">
        <f>IF(Table312[[#This Row],[CODE]]=11, Table312[ [#This Row],[Account Deposit Amount] ]-Table312[ [#This Row],[Account Withdrawl Amount] ], )</f>
        <v>0</v>
      </c>
      <c r="P38" s="128">
        <f>IF(Table312[[#This Row],[CODE]]=12, Table312[ [#This Row],[Account Deposit Amount] ]-Table312[ [#This Row],[Account Withdrawl Amount] ], )</f>
        <v>0</v>
      </c>
      <c r="Q38" s="128">
        <f>IF(Table312[[#This Row],[CODE]]=13, Table312[ [#This Row],[Account Deposit Amount] ]-Table312[ [#This Row],[Account Withdrawl Amount] ], )</f>
        <v>0</v>
      </c>
      <c r="R38" s="128">
        <f>IF(Table312[[#This Row],[CODE]]=14, Table312[ [#This Row],[Account Deposit Amount] ]-Table312[ [#This Row],[Account Withdrawl Amount] ], )</f>
        <v>0</v>
      </c>
      <c r="S38" s="128">
        <f>IF(Table312[[#This Row],[CODE]]=15, Table312[ [#This Row],[Account Deposit Amount] ]-Table312[ [#This Row],[Account Withdrawl Amount] ], )</f>
        <v>0</v>
      </c>
      <c r="T38" s="128">
        <f>IF(Table312[[#This Row],[CODE]]=16, Table312[ [#This Row],[Account Deposit Amount] ]-Table312[ [#This Row],[Account Withdrawl Amount] ], )</f>
        <v>0</v>
      </c>
      <c r="U38" s="127">
        <f>IF(Table312[[#This Row],[CODE]]=17, Table312[ [#This Row],[Account Deposit Amount] ]-Table312[ [#This Row],[Account Withdrawl Amount] ], )</f>
        <v>0</v>
      </c>
      <c r="V38" s="166">
        <f>IF(Table312[[#This Row],[CODE]]=18, Table312[ [#This Row],[Account Deposit Amount] ]-Table312[ [#This Row],[Account Withdrawl Amount] ], )</f>
        <v>0</v>
      </c>
    </row>
    <row r="39" spans="1:22" ht="16.2" thickBot="1">
      <c r="A39" s="130"/>
      <c r="B39" s="133"/>
      <c r="C39" s="130"/>
      <c r="D39" s="132"/>
      <c r="E39" s="128"/>
      <c r="F39" s="128"/>
      <c r="G39" s="134">
        <f t="shared" si="3"/>
        <v>17422.709999999995</v>
      </c>
      <c r="H39" s="130"/>
      <c r="I39" s="127">
        <f>IF(Table312[[#This Row],[CODE]]=1, Table312[ [#This Row],[Account Deposit Amount] ]-Table312[ [#This Row],[Account Withdrawl Amount] ], )</f>
        <v>0</v>
      </c>
      <c r="J39" s="129">
        <f>IF(Table312[[#This Row],[CODE]]=2, Table312[ [#This Row],[Account Deposit Amount] ]-Table312[ [#This Row],[Account Withdrawl Amount] ], )</f>
        <v>0</v>
      </c>
      <c r="K39" s="129">
        <f>IF(Table312[[#This Row],[CODE]]=3, Table312[ [#This Row],[Account Deposit Amount] ]-Table312[ [#This Row],[Account Withdrawl Amount] ], )</f>
        <v>0</v>
      </c>
      <c r="L39" s="128">
        <f>IF(Table312[[#This Row],[CODE]]=4, Table312[ [#This Row],[Account Deposit Amount] ]-Table312[ [#This Row],[Account Withdrawl Amount] ], )</f>
        <v>0</v>
      </c>
      <c r="M39" s="128">
        <f>IF(Table312[[#This Row],[CODE]]=5, Table312[ [#This Row],[Account Deposit Amount] ]-Table312[ [#This Row],[Account Withdrawl Amount] ], )</f>
        <v>0</v>
      </c>
      <c r="N39" s="128">
        <f>IF(Table312[[#This Row],[CODE]]=6, Table312[ [#This Row],[Account Deposit Amount] ]-Table312[ [#This Row],[Account Withdrawl Amount] ], )</f>
        <v>0</v>
      </c>
      <c r="O39" s="128">
        <f>IF(Table312[[#This Row],[CODE]]=11, Table312[ [#This Row],[Account Deposit Amount] ]-Table312[ [#This Row],[Account Withdrawl Amount] ], )</f>
        <v>0</v>
      </c>
      <c r="P39" s="128">
        <f>IF(Table312[[#This Row],[CODE]]=12, Table312[ [#This Row],[Account Deposit Amount] ]-Table312[ [#This Row],[Account Withdrawl Amount] ], )</f>
        <v>0</v>
      </c>
      <c r="Q39" s="128">
        <f>IF(Table312[[#This Row],[CODE]]=13, Table312[ [#This Row],[Account Deposit Amount] ]-Table312[ [#This Row],[Account Withdrawl Amount] ], )</f>
        <v>0</v>
      </c>
      <c r="R39" s="128">
        <f>IF(Table312[[#This Row],[CODE]]=14, Table312[ [#This Row],[Account Deposit Amount] ]-Table312[ [#This Row],[Account Withdrawl Amount] ], )</f>
        <v>0</v>
      </c>
      <c r="S39" s="128">
        <f>IF(Table312[[#This Row],[CODE]]=15, Table312[ [#This Row],[Account Deposit Amount] ]-Table312[ [#This Row],[Account Withdrawl Amount] ], )</f>
        <v>0</v>
      </c>
      <c r="T39" s="128">
        <f>IF(Table312[[#This Row],[CODE]]=16, Table312[ [#This Row],[Account Deposit Amount] ]-Table312[ [#This Row],[Account Withdrawl Amount] ], )</f>
        <v>0</v>
      </c>
      <c r="U39" s="127">
        <f>IF(Table312[[#This Row],[CODE]]=17, Table312[ [#This Row],[Account Deposit Amount] ]-Table312[ [#This Row],[Account Withdrawl Amount] ], )</f>
        <v>0</v>
      </c>
      <c r="V39" s="166">
        <f>IF(Table312[[#This Row],[CODE]]=18, Table312[ [#This Row],[Account Deposit Amount] ]-Table312[ [#This Row],[Account Withdrawl Amount] ], )</f>
        <v>0</v>
      </c>
    </row>
    <row r="40" spans="1:22" ht="16.2" thickBot="1">
      <c r="A40" s="130"/>
      <c r="B40" s="133"/>
      <c r="C40" s="130"/>
      <c r="D40" s="132"/>
      <c r="E40" s="128"/>
      <c r="F40" s="128"/>
      <c r="G40" s="134">
        <f t="shared" si="3"/>
        <v>17422.709999999995</v>
      </c>
      <c r="H40" s="130"/>
      <c r="I40" s="127">
        <f>IF(Table312[[#This Row],[CODE]]=1, Table312[ [#This Row],[Account Deposit Amount] ]-Table312[ [#This Row],[Account Withdrawl Amount] ], )</f>
        <v>0</v>
      </c>
      <c r="J40" s="129">
        <f>IF(Table312[[#This Row],[CODE]]=2, Table312[ [#This Row],[Account Deposit Amount] ]-Table312[ [#This Row],[Account Withdrawl Amount] ], )</f>
        <v>0</v>
      </c>
      <c r="K40" s="129">
        <f>IF(Table312[[#This Row],[CODE]]=3, Table312[ [#This Row],[Account Deposit Amount] ]-Table312[ [#This Row],[Account Withdrawl Amount] ], )</f>
        <v>0</v>
      </c>
      <c r="L40" s="128">
        <f>IF(Table312[[#This Row],[CODE]]=4, Table312[ [#This Row],[Account Deposit Amount] ]-Table312[ [#This Row],[Account Withdrawl Amount] ], )</f>
        <v>0</v>
      </c>
      <c r="M40" s="128">
        <f>IF(Table312[[#This Row],[CODE]]=5, Table312[ [#This Row],[Account Deposit Amount] ]-Table312[ [#This Row],[Account Withdrawl Amount] ], )</f>
        <v>0</v>
      </c>
      <c r="N40" s="128">
        <f>IF(Table312[[#This Row],[CODE]]=6, Table312[ [#This Row],[Account Deposit Amount] ]-Table312[ [#This Row],[Account Withdrawl Amount] ], )</f>
        <v>0</v>
      </c>
      <c r="O40" s="128">
        <f>IF(Table312[[#This Row],[CODE]]=11, Table312[ [#This Row],[Account Deposit Amount] ]-Table312[ [#This Row],[Account Withdrawl Amount] ], )</f>
        <v>0</v>
      </c>
      <c r="P40" s="128">
        <f>IF(Table312[[#This Row],[CODE]]=12, Table312[ [#This Row],[Account Deposit Amount] ]-Table312[ [#This Row],[Account Withdrawl Amount] ], )</f>
        <v>0</v>
      </c>
      <c r="Q40" s="128">
        <f>IF(Table312[[#This Row],[CODE]]=13, Table312[ [#This Row],[Account Deposit Amount] ]-Table312[ [#This Row],[Account Withdrawl Amount] ], )</f>
        <v>0</v>
      </c>
      <c r="R40" s="128">
        <f>IF(Table312[[#This Row],[CODE]]=14, Table312[ [#This Row],[Account Deposit Amount] ]-Table312[ [#This Row],[Account Withdrawl Amount] ], )</f>
        <v>0</v>
      </c>
      <c r="S40" s="128">
        <f>IF(Table312[[#This Row],[CODE]]=15, Table312[ [#This Row],[Account Deposit Amount] ]-Table312[ [#This Row],[Account Withdrawl Amount] ], )</f>
        <v>0</v>
      </c>
      <c r="T40" s="128">
        <f>IF(Table312[[#This Row],[CODE]]=16, Table312[ [#This Row],[Account Deposit Amount] ]-Table312[ [#This Row],[Account Withdrawl Amount] ], )</f>
        <v>0</v>
      </c>
      <c r="U40" s="127">
        <f>IF(Table312[[#This Row],[CODE]]=17, Table312[ [#This Row],[Account Deposit Amount] ]-Table312[ [#This Row],[Account Withdrawl Amount] ], )</f>
        <v>0</v>
      </c>
      <c r="V40" s="166">
        <f>IF(Table312[[#This Row],[CODE]]=18, Table312[ [#This Row],[Account Deposit Amount] ]-Table312[ [#This Row],[Account Withdrawl Amount] ], )</f>
        <v>0</v>
      </c>
    </row>
    <row r="41" spans="1:22" ht="16.2" thickBot="1">
      <c r="A41" s="130"/>
      <c r="B41" s="133"/>
      <c r="C41" s="130"/>
      <c r="D41" s="132"/>
      <c r="E41" s="128"/>
      <c r="F41" s="128"/>
      <c r="G41" s="134">
        <f t="shared" si="3"/>
        <v>17422.709999999995</v>
      </c>
      <c r="H41" s="130"/>
      <c r="I41" s="127">
        <f>IF(Table312[[#This Row],[CODE]]=1, Table312[ [#This Row],[Account Deposit Amount] ]-Table312[ [#This Row],[Account Withdrawl Amount] ], )</f>
        <v>0</v>
      </c>
      <c r="J41" s="129">
        <f>IF(Table312[[#This Row],[CODE]]=2, Table312[ [#This Row],[Account Deposit Amount] ]-Table312[ [#This Row],[Account Withdrawl Amount] ], )</f>
        <v>0</v>
      </c>
      <c r="K41" s="129">
        <f>IF(Table312[[#This Row],[CODE]]=3, Table312[ [#This Row],[Account Deposit Amount] ]-Table312[ [#This Row],[Account Withdrawl Amount] ], )</f>
        <v>0</v>
      </c>
      <c r="L41" s="128">
        <f>IF(Table312[[#This Row],[CODE]]=4, Table312[ [#This Row],[Account Deposit Amount] ]-Table312[ [#This Row],[Account Withdrawl Amount] ], )</f>
        <v>0</v>
      </c>
      <c r="M41" s="128">
        <f>IF(Table312[[#This Row],[CODE]]=5, Table312[ [#This Row],[Account Deposit Amount] ]-Table312[ [#This Row],[Account Withdrawl Amount] ], )</f>
        <v>0</v>
      </c>
      <c r="N41" s="128">
        <f>IF(Table312[[#This Row],[CODE]]=6, Table312[ [#This Row],[Account Deposit Amount] ]-Table312[ [#This Row],[Account Withdrawl Amount] ], )</f>
        <v>0</v>
      </c>
      <c r="O41" s="128">
        <f>IF(Table312[[#This Row],[CODE]]=11, Table312[ [#This Row],[Account Deposit Amount] ]-Table312[ [#This Row],[Account Withdrawl Amount] ], )</f>
        <v>0</v>
      </c>
      <c r="P41" s="128">
        <f>IF(Table312[[#This Row],[CODE]]=12, Table312[ [#This Row],[Account Deposit Amount] ]-Table312[ [#This Row],[Account Withdrawl Amount] ], )</f>
        <v>0</v>
      </c>
      <c r="Q41" s="128">
        <f>IF(Table312[[#This Row],[CODE]]=13, Table312[ [#This Row],[Account Deposit Amount] ]-Table312[ [#This Row],[Account Withdrawl Amount] ], )</f>
        <v>0</v>
      </c>
      <c r="R41" s="128">
        <f>IF(Table312[[#This Row],[CODE]]=14, Table312[ [#This Row],[Account Deposit Amount] ]-Table312[ [#This Row],[Account Withdrawl Amount] ], )</f>
        <v>0</v>
      </c>
      <c r="S41" s="128">
        <f>IF(Table312[[#This Row],[CODE]]=15, Table312[ [#This Row],[Account Deposit Amount] ]-Table312[ [#This Row],[Account Withdrawl Amount] ], )</f>
        <v>0</v>
      </c>
      <c r="T41" s="128">
        <f>IF(Table312[[#This Row],[CODE]]=16, Table312[ [#This Row],[Account Deposit Amount] ]-Table312[ [#This Row],[Account Withdrawl Amount] ], )</f>
        <v>0</v>
      </c>
      <c r="U41" s="127">
        <f>IF(Table312[[#This Row],[CODE]]=17, Table312[ [#This Row],[Account Deposit Amount] ]-Table312[ [#This Row],[Account Withdrawl Amount] ], )</f>
        <v>0</v>
      </c>
      <c r="V41" s="166">
        <f>IF(Table312[[#This Row],[CODE]]=18, Table312[ [#This Row],[Account Deposit Amount] ]-Table312[ [#This Row],[Account Withdrawl Amount] ], )</f>
        <v>0</v>
      </c>
    </row>
    <row r="42" spans="1:22" ht="16.2" thickBot="1">
      <c r="A42" s="130"/>
      <c r="B42" s="133"/>
      <c r="C42" s="130"/>
      <c r="D42" s="132"/>
      <c r="E42" s="128"/>
      <c r="F42" s="128"/>
      <c r="G42" s="134">
        <f t="shared" si="3"/>
        <v>17422.709999999995</v>
      </c>
      <c r="H42" s="130"/>
      <c r="I42" s="127">
        <f>IF(Table312[[#This Row],[CODE]]=1, Table312[ [#This Row],[Account Deposit Amount] ]-Table312[ [#This Row],[Account Withdrawl Amount] ], )</f>
        <v>0</v>
      </c>
      <c r="J42" s="129">
        <f>IF(Table312[[#This Row],[CODE]]=2, Table312[ [#This Row],[Account Deposit Amount] ]-Table312[ [#This Row],[Account Withdrawl Amount] ], )</f>
        <v>0</v>
      </c>
      <c r="K42" s="129">
        <f>IF(Table312[[#This Row],[CODE]]=3, Table312[ [#This Row],[Account Deposit Amount] ]-Table312[ [#This Row],[Account Withdrawl Amount] ], )</f>
        <v>0</v>
      </c>
      <c r="L42" s="128">
        <f>IF(Table312[[#This Row],[CODE]]=4, Table312[ [#This Row],[Account Deposit Amount] ]-Table312[ [#This Row],[Account Withdrawl Amount] ], )</f>
        <v>0</v>
      </c>
      <c r="M42" s="128">
        <f>IF(Table312[[#This Row],[CODE]]=5, Table312[ [#This Row],[Account Deposit Amount] ]-Table312[ [#This Row],[Account Withdrawl Amount] ], )</f>
        <v>0</v>
      </c>
      <c r="N42" s="128">
        <f>IF(Table312[[#This Row],[CODE]]=6, Table312[ [#This Row],[Account Deposit Amount] ]-Table312[ [#This Row],[Account Withdrawl Amount] ], )</f>
        <v>0</v>
      </c>
      <c r="O42" s="128">
        <f>IF(Table312[[#This Row],[CODE]]=11, Table312[ [#This Row],[Account Deposit Amount] ]-Table312[ [#This Row],[Account Withdrawl Amount] ], )</f>
        <v>0</v>
      </c>
      <c r="P42" s="128">
        <f>IF(Table312[[#This Row],[CODE]]=12, Table312[ [#This Row],[Account Deposit Amount] ]-Table312[ [#This Row],[Account Withdrawl Amount] ], )</f>
        <v>0</v>
      </c>
      <c r="Q42" s="128">
        <f>IF(Table312[[#This Row],[CODE]]=13, Table312[ [#This Row],[Account Deposit Amount] ]-Table312[ [#This Row],[Account Withdrawl Amount] ], )</f>
        <v>0</v>
      </c>
      <c r="R42" s="128">
        <f>IF(Table312[[#This Row],[CODE]]=14, Table312[ [#This Row],[Account Deposit Amount] ]-Table312[ [#This Row],[Account Withdrawl Amount] ], )</f>
        <v>0</v>
      </c>
      <c r="S42" s="128">
        <f>IF(Table312[[#This Row],[CODE]]=15, Table312[ [#This Row],[Account Deposit Amount] ]-Table312[ [#This Row],[Account Withdrawl Amount] ], )</f>
        <v>0</v>
      </c>
      <c r="T42" s="128">
        <f>IF(Table312[[#This Row],[CODE]]=16, Table312[ [#This Row],[Account Deposit Amount] ]-Table312[ [#This Row],[Account Withdrawl Amount] ], )</f>
        <v>0</v>
      </c>
      <c r="U42" s="127">
        <f>IF(Table312[[#This Row],[CODE]]=17, Table312[ [#This Row],[Account Deposit Amount] ]-Table312[ [#This Row],[Account Withdrawl Amount] ], )</f>
        <v>0</v>
      </c>
      <c r="V42" s="166">
        <f>IF(Table312[[#This Row],[CODE]]=18, Table312[ [#This Row],[Account Deposit Amount] ]-Table312[ [#This Row],[Account Withdrawl Amount] ], )</f>
        <v>0</v>
      </c>
    </row>
    <row r="43" spans="1:22" ht="16.2" thickBot="1">
      <c r="A43" s="130"/>
      <c r="B43" s="133"/>
      <c r="C43" s="130"/>
      <c r="D43" s="132"/>
      <c r="E43" s="128"/>
      <c r="F43" s="128"/>
      <c r="G43" s="134">
        <f t="shared" si="3"/>
        <v>17422.709999999995</v>
      </c>
      <c r="H43" s="130"/>
      <c r="I43" s="127">
        <f>IF(Table312[[#This Row],[CODE]]=1, Table312[ [#This Row],[Account Deposit Amount] ]-Table312[ [#This Row],[Account Withdrawl Amount] ], )</f>
        <v>0</v>
      </c>
      <c r="J43" s="129">
        <f>IF(Table312[[#This Row],[CODE]]=2, Table312[ [#This Row],[Account Deposit Amount] ]-Table312[ [#This Row],[Account Withdrawl Amount] ], )</f>
        <v>0</v>
      </c>
      <c r="K43" s="129">
        <f>IF(Table312[[#This Row],[CODE]]=3, Table312[ [#This Row],[Account Deposit Amount] ]-Table312[ [#This Row],[Account Withdrawl Amount] ], )</f>
        <v>0</v>
      </c>
      <c r="L43" s="128">
        <f>IF(Table312[[#This Row],[CODE]]=4, Table312[ [#This Row],[Account Deposit Amount] ]-Table312[ [#This Row],[Account Withdrawl Amount] ], )</f>
        <v>0</v>
      </c>
      <c r="M43" s="128">
        <f>IF(Table312[[#This Row],[CODE]]=5, Table312[ [#This Row],[Account Deposit Amount] ]-Table312[ [#This Row],[Account Withdrawl Amount] ], )</f>
        <v>0</v>
      </c>
      <c r="N43" s="128">
        <f>IF(Table312[[#This Row],[CODE]]=6, Table312[ [#This Row],[Account Deposit Amount] ]-Table312[ [#This Row],[Account Withdrawl Amount] ], )</f>
        <v>0</v>
      </c>
      <c r="O43" s="128">
        <f>IF(Table312[[#This Row],[CODE]]=11, Table312[ [#This Row],[Account Deposit Amount] ]-Table312[ [#This Row],[Account Withdrawl Amount] ], )</f>
        <v>0</v>
      </c>
      <c r="P43" s="128">
        <f>IF(Table312[[#This Row],[CODE]]=12, Table312[ [#This Row],[Account Deposit Amount] ]-Table312[ [#This Row],[Account Withdrawl Amount] ], )</f>
        <v>0</v>
      </c>
      <c r="Q43" s="128">
        <f>IF(Table312[[#This Row],[CODE]]=13, Table312[ [#This Row],[Account Deposit Amount] ]-Table312[ [#This Row],[Account Withdrawl Amount] ], )</f>
        <v>0</v>
      </c>
      <c r="R43" s="128">
        <f>IF(Table312[[#This Row],[CODE]]=14, Table312[ [#This Row],[Account Deposit Amount] ]-Table312[ [#This Row],[Account Withdrawl Amount] ], )</f>
        <v>0</v>
      </c>
      <c r="S43" s="128">
        <f>IF(Table312[[#This Row],[CODE]]=15, Table312[ [#This Row],[Account Deposit Amount] ]-Table312[ [#This Row],[Account Withdrawl Amount] ], )</f>
        <v>0</v>
      </c>
      <c r="T43" s="128">
        <f>IF(Table312[[#This Row],[CODE]]=16, Table312[ [#This Row],[Account Deposit Amount] ]-Table312[ [#This Row],[Account Withdrawl Amount] ], )</f>
        <v>0</v>
      </c>
      <c r="U43" s="127">
        <f>IF(Table312[[#This Row],[CODE]]=17, Table312[ [#This Row],[Account Deposit Amount] ]-Table312[ [#This Row],[Account Withdrawl Amount] ], )</f>
        <v>0</v>
      </c>
      <c r="V43" s="166">
        <f>IF(Table312[[#This Row],[CODE]]=18, Table312[ [#This Row],[Account Deposit Amount] ]-Table312[ [#This Row],[Account Withdrawl Amount] ], )</f>
        <v>0</v>
      </c>
    </row>
    <row r="44" spans="1:22" ht="16.2" thickBot="1">
      <c r="A44" s="130"/>
      <c r="B44" s="133"/>
      <c r="C44" s="130"/>
      <c r="D44" s="132"/>
      <c r="E44" s="128"/>
      <c r="F44" s="128"/>
      <c r="G44" s="134">
        <f t="shared" si="3"/>
        <v>17422.709999999995</v>
      </c>
      <c r="H44" s="130"/>
      <c r="I44" s="127">
        <f>IF(Table312[[#This Row],[CODE]]=1, Table312[ [#This Row],[Account Deposit Amount] ]-Table312[ [#This Row],[Account Withdrawl Amount] ], )</f>
        <v>0</v>
      </c>
      <c r="J44" s="129">
        <f>IF(Table312[[#This Row],[CODE]]=2, Table312[ [#This Row],[Account Deposit Amount] ]-Table312[ [#This Row],[Account Withdrawl Amount] ], )</f>
        <v>0</v>
      </c>
      <c r="K44" s="129">
        <f>IF(Table312[[#This Row],[CODE]]=3, Table312[ [#This Row],[Account Deposit Amount] ]-Table312[ [#This Row],[Account Withdrawl Amount] ], )</f>
        <v>0</v>
      </c>
      <c r="L44" s="128">
        <f>IF(Table312[[#This Row],[CODE]]=4, Table312[ [#This Row],[Account Deposit Amount] ]-Table312[ [#This Row],[Account Withdrawl Amount] ], )</f>
        <v>0</v>
      </c>
      <c r="M44" s="128">
        <f>IF(Table312[[#This Row],[CODE]]=5, Table312[ [#This Row],[Account Deposit Amount] ]-Table312[ [#This Row],[Account Withdrawl Amount] ], )</f>
        <v>0</v>
      </c>
      <c r="N44" s="128">
        <f>IF(Table312[[#This Row],[CODE]]=6, Table312[ [#This Row],[Account Deposit Amount] ]-Table312[ [#This Row],[Account Withdrawl Amount] ], )</f>
        <v>0</v>
      </c>
      <c r="O44" s="128">
        <f>IF(Table312[[#This Row],[CODE]]=11, Table312[ [#This Row],[Account Deposit Amount] ]-Table312[ [#This Row],[Account Withdrawl Amount] ], )</f>
        <v>0</v>
      </c>
      <c r="P44" s="128">
        <f>IF(Table312[[#This Row],[CODE]]=12, Table312[ [#This Row],[Account Deposit Amount] ]-Table312[ [#This Row],[Account Withdrawl Amount] ], )</f>
        <v>0</v>
      </c>
      <c r="Q44" s="128">
        <f>IF(Table312[[#This Row],[CODE]]=13, Table312[ [#This Row],[Account Deposit Amount] ]-Table312[ [#This Row],[Account Withdrawl Amount] ], )</f>
        <v>0</v>
      </c>
      <c r="R44" s="128">
        <f>IF(Table312[[#This Row],[CODE]]=14, Table312[ [#This Row],[Account Deposit Amount] ]-Table312[ [#This Row],[Account Withdrawl Amount] ], )</f>
        <v>0</v>
      </c>
      <c r="S44" s="128">
        <f>IF(Table312[[#This Row],[CODE]]=15, Table312[ [#This Row],[Account Deposit Amount] ]-Table312[ [#This Row],[Account Withdrawl Amount] ], )</f>
        <v>0</v>
      </c>
      <c r="T44" s="128">
        <f>IF(Table312[[#This Row],[CODE]]=16, Table312[ [#This Row],[Account Deposit Amount] ]-Table312[ [#This Row],[Account Withdrawl Amount] ], )</f>
        <v>0</v>
      </c>
      <c r="U44" s="127">
        <f>IF(Table312[[#This Row],[CODE]]=17, Table312[ [#This Row],[Account Deposit Amount] ]-Table312[ [#This Row],[Account Withdrawl Amount] ], )</f>
        <v>0</v>
      </c>
      <c r="V44" s="166">
        <f>IF(Table312[[#This Row],[CODE]]=18, Table312[ [#This Row],[Account Deposit Amount] ]-Table312[ [#This Row],[Account Withdrawl Amount] ], )</f>
        <v>0</v>
      </c>
    </row>
    <row r="45" spans="1:22" ht="16.2" thickBot="1">
      <c r="A45" s="130"/>
      <c r="B45" s="133"/>
      <c r="C45" s="130"/>
      <c r="D45" s="132"/>
      <c r="E45" s="128"/>
      <c r="F45" s="128"/>
      <c r="G45" s="134">
        <f t="shared" si="3"/>
        <v>17422.709999999995</v>
      </c>
      <c r="H45" s="130"/>
      <c r="I45" s="127">
        <f>IF(Table312[[#This Row],[CODE]]=1, Table312[ [#This Row],[Account Deposit Amount] ]-Table312[ [#This Row],[Account Withdrawl Amount] ], )</f>
        <v>0</v>
      </c>
      <c r="J45" s="129">
        <f>IF(Table312[[#This Row],[CODE]]=2, Table312[ [#This Row],[Account Deposit Amount] ]-Table312[ [#This Row],[Account Withdrawl Amount] ], )</f>
        <v>0</v>
      </c>
      <c r="K45" s="129">
        <f>IF(Table312[[#This Row],[CODE]]=3, Table312[ [#This Row],[Account Deposit Amount] ]-Table312[ [#This Row],[Account Withdrawl Amount] ], )</f>
        <v>0</v>
      </c>
      <c r="L45" s="128">
        <f>IF(Table312[[#This Row],[CODE]]=4, Table312[ [#This Row],[Account Deposit Amount] ]-Table312[ [#This Row],[Account Withdrawl Amount] ], )</f>
        <v>0</v>
      </c>
      <c r="M45" s="128">
        <f>IF(Table312[[#This Row],[CODE]]=5, Table312[ [#This Row],[Account Deposit Amount] ]-Table312[ [#This Row],[Account Withdrawl Amount] ], )</f>
        <v>0</v>
      </c>
      <c r="N45" s="128">
        <f>IF(Table312[[#This Row],[CODE]]=6, Table312[ [#This Row],[Account Deposit Amount] ]-Table312[ [#This Row],[Account Withdrawl Amount] ], )</f>
        <v>0</v>
      </c>
      <c r="O45" s="128">
        <f>IF(Table312[[#This Row],[CODE]]=11, Table312[ [#This Row],[Account Deposit Amount] ]-Table312[ [#This Row],[Account Withdrawl Amount] ], )</f>
        <v>0</v>
      </c>
      <c r="P45" s="128">
        <f>IF(Table312[[#This Row],[CODE]]=12, Table312[ [#This Row],[Account Deposit Amount] ]-Table312[ [#This Row],[Account Withdrawl Amount] ], )</f>
        <v>0</v>
      </c>
      <c r="Q45" s="128">
        <f>IF(Table312[[#This Row],[CODE]]=13, Table312[ [#This Row],[Account Deposit Amount] ]-Table312[ [#This Row],[Account Withdrawl Amount] ], )</f>
        <v>0</v>
      </c>
      <c r="R45" s="128">
        <f>IF(Table312[[#This Row],[CODE]]=14, Table312[ [#This Row],[Account Deposit Amount] ]-Table312[ [#This Row],[Account Withdrawl Amount] ], )</f>
        <v>0</v>
      </c>
      <c r="S45" s="128">
        <f>IF(Table312[[#This Row],[CODE]]=15, Table312[ [#This Row],[Account Deposit Amount] ]-Table312[ [#This Row],[Account Withdrawl Amount] ], )</f>
        <v>0</v>
      </c>
      <c r="T45" s="128">
        <f>IF(Table312[[#This Row],[CODE]]=16, Table312[ [#This Row],[Account Deposit Amount] ]-Table312[ [#This Row],[Account Withdrawl Amount] ], )</f>
        <v>0</v>
      </c>
      <c r="U45" s="127">
        <f>IF(Table312[[#This Row],[CODE]]=17, Table312[ [#This Row],[Account Deposit Amount] ]-Table312[ [#This Row],[Account Withdrawl Amount] ], )</f>
        <v>0</v>
      </c>
      <c r="V45" s="166">
        <f>IF(Table312[[#This Row],[CODE]]=18, Table312[ [#This Row],[Account Deposit Amount] ]-Table312[ [#This Row],[Account Withdrawl Amount] ], )</f>
        <v>0</v>
      </c>
    </row>
    <row r="46" spans="1:22" ht="16.2" thickBot="1">
      <c r="A46" s="130"/>
      <c r="B46" s="133"/>
      <c r="C46" s="130"/>
      <c r="D46" s="132"/>
      <c r="E46" s="128"/>
      <c r="F46" s="128"/>
      <c r="G46" s="134">
        <f t="shared" si="3"/>
        <v>17422.709999999995</v>
      </c>
      <c r="H46" s="130"/>
      <c r="I46" s="127">
        <f>IF(Table312[[#This Row],[CODE]]=1, Table312[ [#This Row],[Account Deposit Amount] ]-Table312[ [#This Row],[Account Withdrawl Amount] ], )</f>
        <v>0</v>
      </c>
      <c r="J46" s="129">
        <f>IF(Table312[[#This Row],[CODE]]=2, Table312[ [#This Row],[Account Deposit Amount] ]-Table312[ [#This Row],[Account Withdrawl Amount] ], )</f>
        <v>0</v>
      </c>
      <c r="K46" s="129">
        <f>IF(Table312[[#This Row],[CODE]]=3, Table312[ [#This Row],[Account Deposit Amount] ]-Table312[ [#This Row],[Account Withdrawl Amount] ], )</f>
        <v>0</v>
      </c>
      <c r="L46" s="128">
        <f>IF(Table312[[#This Row],[CODE]]=4, Table312[ [#This Row],[Account Deposit Amount] ]-Table312[ [#This Row],[Account Withdrawl Amount] ], )</f>
        <v>0</v>
      </c>
      <c r="M46" s="128">
        <f>IF(Table312[[#This Row],[CODE]]=5, Table312[ [#This Row],[Account Deposit Amount] ]-Table312[ [#This Row],[Account Withdrawl Amount] ], )</f>
        <v>0</v>
      </c>
      <c r="N46" s="128">
        <f>IF(Table312[[#This Row],[CODE]]=6, Table312[ [#This Row],[Account Deposit Amount] ]-Table312[ [#This Row],[Account Withdrawl Amount] ], )</f>
        <v>0</v>
      </c>
      <c r="O46" s="128">
        <f>IF(Table312[[#This Row],[CODE]]=11, Table312[ [#This Row],[Account Deposit Amount] ]-Table312[ [#This Row],[Account Withdrawl Amount] ], )</f>
        <v>0</v>
      </c>
      <c r="P46" s="128">
        <f>IF(Table312[[#This Row],[CODE]]=12, Table312[ [#This Row],[Account Deposit Amount] ]-Table312[ [#This Row],[Account Withdrawl Amount] ], )</f>
        <v>0</v>
      </c>
      <c r="Q46" s="128">
        <f>IF(Table312[[#This Row],[CODE]]=13, Table312[ [#This Row],[Account Deposit Amount] ]-Table312[ [#This Row],[Account Withdrawl Amount] ], )</f>
        <v>0</v>
      </c>
      <c r="R46" s="128">
        <f>IF(Table312[[#This Row],[CODE]]=14, Table312[ [#This Row],[Account Deposit Amount] ]-Table312[ [#This Row],[Account Withdrawl Amount] ], )</f>
        <v>0</v>
      </c>
      <c r="S46" s="128">
        <f>IF(Table312[[#This Row],[CODE]]=15, Table312[ [#This Row],[Account Deposit Amount] ]-Table312[ [#This Row],[Account Withdrawl Amount] ], )</f>
        <v>0</v>
      </c>
      <c r="T46" s="128">
        <f>IF(Table312[[#This Row],[CODE]]=16, Table312[ [#This Row],[Account Deposit Amount] ]-Table312[ [#This Row],[Account Withdrawl Amount] ], )</f>
        <v>0</v>
      </c>
      <c r="U46" s="127">
        <f>IF(Table312[[#This Row],[CODE]]=17, Table312[ [#This Row],[Account Deposit Amount] ]-Table312[ [#This Row],[Account Withdrawl Amount] ], )</f>
        <v>0</v>
      </c>
      <c r="V46" s="166">
        <f>IF(Table312[[#This Row],[CODE]]=18, Table312[ [#This Row],[Account Deposit Amount] ]-Table312[ [#This Row],[Account Withdrawl Amount] ], )</f>
        <v>0</v>
      </c>
    </row>
    <row r="47" spans="1:22" ht="16.2" thickBot="1">
      <c r="A47" s="130"/>
      <c r="B47" s="133"/>
      <c r="C47" s="130"/>
      <c r="D47" s="132"/>
      <c r="E47" s="128"/>
      <c r="F47" s="128"/>
      <c r="G47" s="134">
        <f t="shared" si="3"/>
        <v>17422.709999999995</v>
      </c>
      <c r="H47" s="130"/>
      <c r="I47" s="127">
        <f>IF(Table312[[#This Row],[CODE]]=1, Table312[ [#This Row],[Account Deposit Amount] ]-Table312[ [#This Row],[Account Withdrawl Amount] ], )</f>
        <v>0</v>
      </c>
      <c r="J47" s="129">
        <f>IF(Table312[[#This Row],[CODE]]=2, Table312[ [#This Row],[Account Deposit Amount] ]-Table312[ [#This Row],[Account Withdrawl Amount] ], )</f>
        <v>0</v>
      </c>
      <c r="K47" s="129">
        <f>IF(Table312[[#This Row],[CODE]]=3, Table312[ [#This Row],[Account Deposit Amount] ]-Table312[ [#This Row],[Account Withdrawl Amount] ], )</f>
        <v>0</v>
      </c>
      <c r="L47" s="128">
        <f>IF(Table312[[#This Row],[CODE]]=4, Table312[ [#This Row],[Account Deposit Amount] ]-Table312[ [#This Row],[Account Withdrawl Amount] ], )</f>
        <v>0</v>
      </c>
      <c r="M47" s="128">
        <f>IF(Table312[[#This Row],[CODE]]=5, Table312[ [#This Row],[Account Deposit Amount] ]-Table312[ [#This Row],[Account Withdrawl Amount] ], )</f>
        <v>0</v>
      </c>
      <c r="N47" s="128">
        <f>IF(Table312[[#This Row],[CODE]]=6, Table312[ [#This Row],[Account Deposit Amount] ]-Table312[ [#This Row],[Account Withdrawl Amount] ], )</f>
        <v>0</v>
      </c>
      <c r="O47" s="128">
        <f>IF(Table312[[#This Row],[CODE]]=11, Table312[ [#This Row],[Account Deposit Amount] ]-Table312[ [#This Row],[Account Withdrawl Amount] ], )</f>
        <v>0</v>
      </c>
      <c r="P47" s="128">
        <f>IF(Table312[[#This Row],[CODE]]=12, Table312[ [#This Row],[Account Deposit Amount] ]-Table312[ [#This Row],[Account Withdrawl Amount] ], )</f>
        <v>0</v>
      </c>
      <c r="Q47" s="128">
        <f>IF(Table312[[#This Row],[CODE]]=13, Table312[ [#This Row],[Account Deposit Amount] ]-Table312[ [#This Row],[Account Withdrawl Amount] ], )</f>
        <v>0</v>
      </c>
      <c r="R47" s="128">
        <f>IF(Table312[[#This Row],[CODE]]=14, Table312[ [#This Row],[Account Deposit Amount] ]-Table312[ [#This Row],[Account Withdrawl Amount] ], )</f>
        <v>0</v>
      </c>
      <c r="S47" s="128">
        <f>IF(Table312[[#This Row],[CODE]]=15, Table312[ [#This Row],[Account Deposit Amount] ]-Table312[ [#This Row],[Account Withdrawl Amount] ], )</f>
        <v>0</v>
      </c>
      <c r="T47" s="128">
        <f>IF(Table312[[#This Row],[CODE]]=16, Table312[ [#This Row],[Account Deposit Amount] ]-Table312[ [#This Row],[Account Withdrawl Amount] ], )</f>
        <v>0</v>
      </c>
      <c r="U47" s="127">
        <f>IF(Table312[[#This Row],[CODE]]=17, Table312[ [#This Row],[Account Deposit Amount] ]-Table312[ [#This Row],[Account Withdrawl Amount] ], )</f>
        <v>0</v>
      </c>
      <c r="V47" s="166">
        <f>IF(Table312[[#This Row],[CODE]]=18, Table312[ [#This Row],[Account Deposit Amount] ]-Table312[ [#This Row],[Account Withdrawl Amount] ], )</f>
        <v>0</v>
      </c>
    </row>
    <row r="48" spans="1:22" ht="16.2" thickBot="1">
      <c r="A48" s="130"/>
      <c r="B48" s="133"/>
      <c r="C48" s="130"/>
      <c r="D48" s="132"/>
      <c r="E48" s="128"/>
      <c r="F48" s="128"/>
      <c r="G48" s="134">
        <f t="shared" si="3"/>
        <v>17422.709999999995</v>
      </c>
      <c r="H48" s="130"/>
      <c r="I48" s="127">
        <f>IF(Table312[[#This Row],[CODE]]=1, Table312[ [#This Row],[Account Deposit Amount] ]-Table312[ [#This Row],[Account Withdrawl Amount] ], )</f>
        <v>0</v>
      </c>
      <c r="J48" s="129">
        <f>IF(Table312[[#This Row],[CODE]]=2, Table312[ [#This Row],[Account Deposit Amount] ]-Table312[ [#This Row],[Account Withdrawl Amount] ], )</f>
        <v>0</v>
      </c>
      <c r="K48" s="129">
        <f>IF(Table312[[#This Row],[CODE]]=3, Table312[ [#This Row],[Account Deposit Amount] ]-Table312[ [#This Row],[Account Withdrawl Amount] ], )</f>
        <v>0</v>
      </c>
      <c r="L48" s="128">
        <f>IF(Table312[[#This Row],[CODE]]=4, Table312[ [#This Row],[Account Deposit Amount] ]-Table312[ [#This Row],[Account Withdrawl Amount] ], )</f>
        <v>0</v>
      </c>
      <c r="M48" s="128">
        <f>IF(Table312[[#This Row],[CODE]]=5, Table312[ [#This Row],[Account Deposit Amount] ]-Table312[ [#This Row],[Account Withdrawl Amount] ], )</f>
        <v>0</v>
      </c>
      <c r="N48" s="128">
        <f>IF(Table312[[#This Row],[CODE]]=6, Table312[ [#This Row],[Account Deposit Amount] ]-Table312[ [#This Row],[Account Withdrawl Amount] ], )</f>
        <v>0</v>
      </c>
      <c r="O48" s="128">
        <f>IF(Table312[[#This Row],[CODE]]=11, Table312[ [#This Row],[Account Deposit Amount] ]-Table312[ [#This Row],[Account Withdrawl Amount] ], )</f>
        <v>0</v>
      </c>
      <c r="P48" s="128">
        <f>IF(Table312[[#This Row],[CODE]]=12, Table312[ [#This Row],[Account Deposit Amount] ]-Table312[ [#This Row],[Account Withdrawl Amount] ], )</f>
        <v>0</v>
      </c>
      <c r="Q48" s="128">
        <f>IF(Table312[[#This Row],[CODE]]=13, Table312[ [#This Row],[Account Deposit Amount] ]-Table312[ [#This Row],[Account Withdrawl Amount] ], )</f>
        <v>0</v>
      </c>
      <c r="R48" s="128">
        <f>IF(Table312[[#This Row],[CODE]]=14, Table312[ [#This Row],[Account Deposit Amount] ]-Table312[ [#This Row],[Account Withdrawl Amount] ], )</f>
        <v>0</v>
      </c>
      <c r="S48" s="128">
        <f>IF(Table312[[#This Row],[CODE]]=15, Table312[ [#This Row],[Account Deposit Amount] ]-Table312[ [#This Row],[Account Withdrawl Amount] ], )</f>
        <v>0</v>
      </c>
      <c r="T48" s="128">
        <f>IF(Table312[[#This Row],[CODE]]=16, Table312[ [#This Row],[Account Deposit Amount] ]-Table312[ [#This Row],[Account Withdrawl Amount] ], )</f>
        <v>0</v>
      </c>
      <c r="U48" s="127">
        <f>IF(Table312[[#This Row],[CODE]]=17, Table312[ [#This Row],[Account Deposit Amount] ]-Table312[ [#This Row],[Account Withdrawl Amount] ], )</f>
        <v>0</v>
      </c>
      <c r="V48" s="166">
        <f>IF(Table312[[#This Row],[CODE]]=18, Table312[ [#This Row],[Account Deposit Amount] ]-Table312[ [#This Row],[Account Withdrawl Amount] ], )</f>
        <v>0</v>
      </c>
    </row>
    <row r="49" spans="1:22" ht="16.2" thickBot="1">
      <c r="A49" s="130"/>
      <c r="B49" s="133"/>
      <c r="C49" s="130"/>
      <c r="D49" s="132"/>
      <c r="E49" s="128"/>
      <c r="F49" s="128"/>
      <c r="G49" s="134">
        <f t="shared" si="3"/>
        <v>17422.709999999995</v>
      </c>
      <c r="H49" s="130"/>
      <c r="I49" s="127">
        <f>IF(Table312[[#This Row],[CODE]]=1, Table312[ [#This Row],[Account Deposit Amount] ]-Table312[ [#This Row],[Account Withdrawl Amount] ], )</f>
        <v>0</v>
      </c>
      <c r="J49" s="129">
        <f>IF(Table312[[#This Row],[CODE]]=2, Table312[ [#This Row],[Account Deposit Amount] ]-Table312[ [#This Row],[Account Withdrawl Amount] ], )</f>
        <v>0</v>
      </c>
      <c r="K49" s="129">
        <f>IF(Table312[[#This Row],[CODE]]=3, Table312[ [#This Row],[Account Deposit Amount] ]-Table312[ [#This Row],[Account Withdrawl Amount] ], )</f>
        <v>0</v>
      </c>
      <c r="L49" s="128">
        <f>IF(Table312[[#This Row],[CODE]]=4, Table312[ [#This Row],[Account Deposit Amount] ]-Table312[ [#This Row],[Account Withdrawl Amount] ], )</f>
        <v>0</v>
      </c>
      <c r="M49" s="128">
        <f>IF(Table312[[#This Row],[CODE]]=5, Table312[ [#This Row],[Account Deposit Amount] ]-Table312[ [#This Row],[Account Withdrawl Amount] ], )</f>
        <v>0</v>
      </c>
      <c r="N49" s="128">
        <f>IF(Table312[[#This Row],[CODE]]=6, Table312[ [#This Row],[Account Deposit Amount] ]-Table312[ [#This Row],[Account Withdrawl Amount] ], )</f>
        <v>0</v>
      </c>
      <c r="O49" s="128">
        <f>IF(Table312[[#This Row],[CODE]]=11, Table312[ [#This Row],[Account Deposit Amount] ]-Table312[ [#This Row],[Account Withdrawl Amount] ], )</f>
        <v>0</v>
      </c>
      <c r="P49" s="128">
        <f>IF(Table312[[#This Row],[CODE]]=12, Table312[ [#This Row],[Account Deposit Amount] ]-Table312[ [#This Row],[Account Withdrawl Amount] ], )</f>
        <v>0</v>
      </c>
      <c r="Q49" s="128">
        <f>IF(Table312[[#This Row],[CODE]]=13, Table312[ [#This Row],[Account Deposit Amount] ]-Table312[ [#This Row],[Account Withdrawl Amount] ], )</f>
        <v>0</v>
      </c>
      <c r="R49" s="128">
        <f>IF(Table312[[#This Row],[CODE]]=14, Table312[ [#This Row],[Account Deposit Amount] ]-Table312[ [#This Row],[Account Withdrawl Amount] ], )</f>
        <v>0</v>
      </c>
      <c r="S49" s="128">
        <f>IF(Table312[[#This Row],[CODE]]=15, Table312[ [#This Row],[Account Deposit Amount] ]-Table312[ [#This Row],[Account Withdrawl Amount] ], )</f>
        <v>0</v>
      </c>
      <c r="T49" s="128">
        <f>IF(Table312[[#This Row],[CODE]]=16, Table312[ [#This Row],[Account Deposit Amount] ]-Table312[ [#This Row],[Account Withdrawl Amount] ], )</f>
        <v>0</v>
      </c>
      <c r="U49" s="127">
        <f>IF(Table312[[#This Row],[CODE]]=17, Table312[ [#This Row],[Account Deposit Amount] ]-Table312[ [#This Row],[Account Withdrawl Amount] ], )</f>
        <v>0</v>
      </c>
      <c r="V49" s="166">
        <f>IF(Table312[[#This Row],[CODE]]=18, Table312[ [#This Row],[Account Deposit Amount] ]-Table312[ [#This Row],[Account Withdrawl Amount] ], )</f>
        <v>0</v>
      </c>
    </row>
    <row r="50" spans="1:22" ht="16.2" thickBot="1">
      <c r="A50" s="130"/>
      <c r="B50" s="133"/>
      <c r="C50" s="130"/>
      <c r="D50" s="132"/>
      <c r="E50" s="128"/>
      <c r="F50" s="128"/>
      <c r="G50" s="131">
        <f t="shared" si="3"/>
        <v>17422.709999999995</v>
      </c>
      <c r="H50" s="130"/>
      <c r="I50" s="127">
        <f>IF(Table312[[#This Row],[CODE]]=1, Table312[ [#This Row],[Account Deposit Amount] ]-Table312[ [#This Row],[Account Withdrawl Amount] ], )</f>
        <v>0</v>
      </c>
      <c r="J50" s="129">
        <f>IF(Table312[[#This Row],[CODE]]=2, Table312[ [#This Row],[Account Deposit Amount] ]-Table312[ [#This Row],[Account Withdrawl Amount] ], )</f>
        <v>0</v>
      </c>
      <c r="K50" s="129">
        <f>IF(Table312[[#This Row],[CODE]]=3, Table312[ [#This Row],[Account Deposit Amount] ]-Table312[ [#This Row],[Account Withdrawl Amount] ], )</f>
        <v>0</v>
      </c>
      <c r="L50" s="128">
        <f>IF(Table312[[#This Row],[CODE]]=4, Table312[ [#This Row],[Account Deposit Amount] ]-Table312[ [#This Row],[Account Withdrawl Amount] ], )</f>
        <v>0</v>
      </c>
      <c r="M50" s="128">
        <f>IF(Table312[[#This Row],[CODE]]=5, Table312[ [#This Row],[Account Deposit Amount] ]-Table312[ [#This Row],[Account Withdrawl Amount] ], )</f>
        <v>0</v>
      </c>
      <c r="N50" s="128">
        <f>IF(Table312[[#This Row],[CODE]]=6, Table312[ [#This Row],[Account Deposit Amount] ]-Table312[ [#This Row],[Account Withdrawl Amount] ], )</f>
        <v>0</v>
      </c>
      <c r="O50" s="128">
        <f>IF(Table312[[#This Row],[CODE]]=11, Table312[ [#This Row],[Account Deposit Amount] ]-Table312[ [#This Row],[Account Withdrawl Amount] ], )</f>
        <v>0</v>
      </c>
      <c r="P50" s="128">
        <f>IF(Table312[[#This Row],[CODE]]=12, Table312[ [#This Row],[Account Deposit Amount] ]-Table312[ [#This Row],[Account Withdrawl Amount] ], )</f>
        <v>0</v>
      </c>
      <c r="Q50" s="128">
        <f>IF(Table312[[#This Row],[CODE]]=13, Table312[ [#This Row],[Account Deposit Amount] ]-Table312[ [#This Row],[Account Withdrawl Amount] ], )</f>
        <v>0</v>
      </c>
      <c r="R50" s="128">
        <f>IF(Table312[[#This Row],[CODE]]=14, Table312[ [#This Row],[Account Deposit Amount] ]-Table312[ [#This Row],[Account Withdrawl Amount] ], )</f>
        <v>0</v>
      </c>
      <c r="S50" s="128">
        <f>IF(Table312[[#This Row],[CODE]]=15, Table312[ [#This Row],[Account Deposit Amount] ]-Table312[ [#This Row],[Account Withdrawl Amount] ], )</f>
        <v>0</v>
      </c>
      <c r="T50" s="128">
        <f>IF(Table312[[#This Row],[CODE]]=16, Table312[ [#This Row],[Account Deposit Amount] ]-Table312[ [#This Row],[Account Withdrawl Amount] ], )</f>
        <v>0</v>
      </c>
      <c r="U50" s="127">
        <f>IF(Table312[[#This Row],[CODE]]=17, Table312[ [#This Row],[Account Deposit Amount] ]-Table312[ [#This Row],[Account Withdrawl Amount] ], )</f>
        <v>0</v>
      </c>
      <c r="V50" s="166">
        <f>IF(Table312[[#This Row],[CODE]]=18, Table312[ [#This Row],[Account Deposit Amount] ]-Table312[ [#This Row],[Account Withdrawl Amount] ], )</f>
        <v>0</v>
      </c>
    </row>
    <row r="51" spans="1:22" ht="16.2" thickBot="1">
      <c r="A51" s="130"/>
      <c r="B51" s="133"/>
      <c r="C51" s="130"/>
      <c r="D51" s="132"/>
      <c r="E51" s="128"/>
      <c r="F51" s="128"/>
      <c r="G51" s="131">
        <f t="shared" si="3"/>
        <v>17422.709999999995</v>
      </c>
      <c r="H51" s="130"/>
      <c r="I51" s="127">
        <f>IF(Table312[[#This Row],[CODE]]=1, Table312[ [#This Row],[Account Deposit Amount] ]-Table312[ [#This Row],[Account Withdrawl Amount] ], )</f>
        <v>0</v>
      </c>
      <c r="J51" s="129">
        <f>IF(Table312[[#This Row],[CODE]]=2, Table312[ [#This Row],[Account Deposit Amount] ]-Table312[ [#This Row],[Account Withdrawl Amount] ], )</f>
        <v>0</v>
      </c>
      <c r="K51" s="129">
        <f>IF(Table312[[#This Row],[CODE]]=3, Table312[ [#This Row],[Account Deposit Amount] ]-Table312[ [#This Row],[Account Withdrawl Amount] ], )</f>
        <v>0</v>
      </c>
      <c r="L51" s="128">
        <f>IF(Table312[[#This Row],[CODE]]=4, Table312[ [#This Row],[Account Deposit Amount] ]-Table312[ [#This Row],[Account Withdrawl Amount] ], )</f>
        <v>0</v>
      </c>
      <c r="M51" s="128">
        <f>IF(Table312[[#This Row],[CODE]]=5, Table312[ [#This Row],[Account Deposit Amount] ]-Table312[ [#This Row],[Account Withdrawl Amount] ], )</f>
        <v>0</v>
      </c>
      <c r="N51" s="128">
        <f>IF(Table312[[#This Row],[CODE]]=6, Table312[ [#This Row],[Account Deposit Amount] ]-Table312[ [#This Row],[Account Withdrawl Amount] ], )</f>
        <v>0</v>
      </c>
      <c r="O51" s="128">
        <f>IF(Table312[[#This Row],[CODE]]=11, Table312[ [#This Row],[Account Deposit Amount] ]-Table312[ [#This Row],[Account Withdrawl Amount] ], )</f>
        <v>0</v>
      </c>
      <c r="P51" s="128">
        <f>IF(Table312[[#This Row],[CODE]]=12, Table312[ [#This Row],[Account Deposit Amount] ]-Table312[ [#This Row],[Account Withdrawl Amount] ], )</f>
        <v>0</v>
      </c>
      <c r="Q51" s="128">
        <f>IF(Table312[[#This Row],[CODE]]=13, Table312[ [#This Row],[Account Deposit Amount] ]-Table312[ [#This Row],[Account Withdrawl Amount] ], )</f>
        <v>0</v>
      </c>
      <c r="R51" s="128">
        <f>IF(Table312[[#This Row],[CODE]]=14, Table312[ [#This Row],[Account Deposit Amount] ]-Table312[ [#This Row],[Account Withdrawl Amount] ], )</f>
        <v>0</v>
      </c>
      <c r="S51" s="128">
        <f>IF(Table312[[#This Row],[CODE]]=15, Table312[ [#This Row],[Account Deposit Amount] ]-Table312[ [#This Row],[Account Withdrawl Amount] ], )</f>
        <v>0</v>
      </c>
      <c r="T51" s="128">
        <f>IF(Table312[[#This Row],[CODE]]=16, Table312[ [#This Row],[Account Deposit Amount] ]-Table312[ [#This Row],[Account Withdrawl Amount] ], )</f>
        <v>0</v>
      </c>
      <c r="U51" s="127">
        <f>IF(Table312[[#This Row],[CODE]]=17, Table312[ [#This Row],[Account Deposit Amount] ]-Table312[ [#This Row],[Account Withdrawl Amount] ], )</f>
        <v>0</v>
      </c>
      <c r="V51" s="166">
        <f>IF(Table312[[#This Row],[CODE]]=18, Table312[ [#This Row],[Account Deposit Amount] ]-Table312[ [#This Row],[Account Withdrawl Amount] ], )</f>
        <v>0</v>
      </c>
    </row>
    <row r="52" spans="1:22" ht="16.2" thickBot="1">
      <c r="A52" s="130"/>
      <c r="B52" s="133"/>
      <c r="C52" s="130"/>
      <c r="D52" s="132"/>
      <c r="E52" s="128"/>
      <c r="F52" s="128"/>
      <c r="G52" s="131">
        <f t="shared" si="3"/>
        <v>17422.709999999995</v>
      </c>
      <c r="H52" s="130"/>
      <c r="I52" s="127">
        <f>IF(Table312[[#This Row],[CODE]]=1, Table312[ [#This Row],[Account Deposit Amount] ]-Table312[ [#This Row],[Account Withdrawl Amount] ], )</f>
        <v>0</v>
      </c>
      <c r="J52" s="129">
        <f>IF(Table312[[#This Row],[CODE]]=2, Table312[ [#This Row],[Account Deposit Amount] ]-Table312[ [#This Row],[Account Withdrawl Amount] ], )</f>
        <v>0</v>
      </c>
      <c r="K52" s="129">
        <f>IF(Table312[[#This Row],[CODE]]=3, Table312[ [#This Row],[Account Deposit Amount] ]-Table312[ [#This Row],[Account Withdrawl Amount] ], )</f>
        <v>0</v>
      </c>
      <c r="L52" s="128">
        <f>IF(Table312[[#This Row],[CODE]]=4, Table312[ [#This Row],[Account Deposit Amount] ]-Table312[ [#This Row],[Account Withdrawl Amount] ], )</f>
        <v>0</v>
      </c>
      <c r="M52" s="128">
        <f>IF(Table312[[#This Row],[CODE]]=5, Table312[ [#This Row],[Account Deposit Amount] ]-Table312[ [#This Row],[Account Withdrawl Amount] ], )</f>
        <v>0</v>
      </c>
      <c r="N52" s="128">
        <f>IF(Table312[[#This Row],[CODE]]=6, Table312[ [#This Row],[Account Deposit Amount] ]-Table312[ [#This Row],[Account Withdrawl Amount] ], )</f>
        <v>0</v>
      </c>
      <c r="O52" s="128">
        <f>IF(Table312[[#This Row],[CODE]]=11, Table312[ [#This Row],[Account Deposit Amount] ]-Table312[ [#This Row],[Account Withdrawl Amount] ], )</f>
        <v>0</v>
      </c>
      <c r="P52" s="128">
        <f>IF(Table312[[#This Row],[CODE]]=12, Table312[ [#This Row],[Account Deposit Amount] ]-Table312[ [#This Row],[Account Withdrawl Amount] ], )</f>
        <v>0</v>
      </c>
      <c r="Q52" s="128">
        <f>IF(Table312[[#This Row],[CODE]]=13, Table312[ [#This Row],[Account Deposit Amount] ]-Table312[ [#This Row],[Account Withdrawl Amount] ], )</f>
        <v>0</v>
      </c>
      <c r="R52" s="128">
        <f>IF(Table312[[#This Row],[CODE]]=14, Table312[ [#This Row],[Account Deposit Amount] ]-Table312[ [#This Row],[Account Withdrawl Amount] ], )</f>
        <v>0</v>
      </c>
      <c r="S52" s="128">
        <f>IF(Table312[[#This Row],[CODE]]=15, Table312[ [#This Row],[Account Deposit Amount] ]-Table312[ [#This Row],[Account Withdrawl Amount] ], )</f>
        <v>0</v>
      </c>
      <c r="T52" s="128">
        <f>IF(Table312[[#This Row],[CODE]]=16, Table312[ [#This Row],[Account Deposit Amount] ]-Table312[ [#This Row],[Account Withdrawl Amount] ], )</f>
        <v>0</v>
      </c>
      <c r="U52" s="127">
        <f>IF(Table312[[#This Row],[CODE]]=17, Table312[ [#This Row],[Account Deposit Amount] ]-Table312[ [#This Row],[Account Withdrawl Amount] ], )</f>
        <v>0</v>
      </c>
      <c r="V52" s="166">
        <f>IF(Table312[[#This Row],[CODE]]=18, Table312[ [#This Row],[Account Deposit Amount] ]-Table312[ [#This Row],[Account Withdrawl Amount] ], )</f>
        <v>0</v>
      </c>
    </row>
    <row r="53" spans="1:22" ht="16.2" thickBot="1">
      <c r="A53" s="130"/>
      <c r="B53" s="133"/>
      <c r="C53" s="130"/>
      <c r="D53" s="132"/>
      <c r="E53" s="128"/>
      <c r="F53" s="128"/>
      <c r="G53" s="131">
        <f t="shared" si="3"/>
        <v>17422.709999999995</v>
      </c>
      <c r="H53" s="130"/>
      <c r="I53" s="127">
        <f>IF(Table312[[#This Row],[CODE]]=1, Table312[ [#This Row],[Account Deposit Amount] ]-Table312[ [#This Row],[Account Withdrawl Amount] ], )</f>
        <v>0</v>
      </c>
      <c r="J53" s="129">
        <f>IF(Table312[[#This Row],[CODE]]=2, Table312[ [#This Row],[Account Deposit Amount] ]-Table312[ [#This Row],[Account Withdrawl Amount] ], )</f>
        <v>0</v>
      </c>
      <c r="K53" s="129">
        <f>IF(Table312[[#This Row],[CODE]]=3, Table312[ [#This Row],[Account Deposit Amount] ]-Table312[ [#This Row],[Account Withdrawl Amount] ], )</f>
        <v>0</v>
      </c>
      <c r="L53" s="128">
        <f>IF(Table312[[#This Row],[CODE]]=4, Table312[ [#This Row],[Account Deposit Amount] ]-Table312[ [#This Row],[Account Withdrawl Amount] ], )</f>
        <v>0</v>
      </c>
      <c r="M53" s="128">
        <f>IF(Table312[[#This Row],[CODE]]=5, Table312[ [#This Row],[Account Deposit Amount] ]-Table312[ [#This Row],[Account Withdrawl Amount] ], )</f>
        <v>0</v>
      </c>
      <c r="N53" s="128">
        <f>IF(Table312[[#This Row],[CODE]]=6, Table312[ [#This Row],[Account Deposit Amount] ]-Table312[ [#This Row],[Account Withdrawl Amount] ], )</f>
        <v>0</v>
      </c>
      <c r="O53" s="128">
        <f>IF(Table312[[#This Row],[CODE]]=11, Table312[ [#This Row],[Account Deposit Amount] ]-Table312[ [#This Row],[Account Withdrawl Amount] ], )</f>
        <v>0</v>
      </c>
      <c r="P53" s="128">
        <f>IF(Table312[[#This Row],[CODE]]=12, Table312[ [#This Row],[Account Deposit Amount] ]-Table312[ [#This Row],[Account Withdrawl Amount] ], )</f>
        <v>0</v>
      </c>
      <c r="Q53" s="128">
        <f>IF(Table312[[#This Row],[CODE]]=13, Table312[ [#This Row],[Account Deposit Amount] ]-Table312[ [#This Row],[Account Withdrawl Amount] ], )</f>
        <v>0</v>
      </c>
      <c r="R53" s="128">
        <f>IF(Table312[[#This Row],[CODE]]=14, Table312[ [#This Row],[Account Deposit Amount] ]-Table312[ [#This Row],[Account Withdrawl Amount] ], )</f>
        <v>0</v>
      </c>
      <c r="S53" s="128">
        <f>IF(Table312[[#This Row],[CODE]]=15, Table312[ [#This Row],[Account Deposit Amount] ]-Table312[ [#This Row],[Account Withdrawl Amount] ], )</f>
        <v>0</v>
      </c>
      <c r="T53" s="128">
        <f>IF(Table312[[#This Row],[CODE]]=16, Table312[ [#This Row],[Account Deposit Amount] ]-Table312[ [#This Row],[Account Withdrawl Amount] ], )</f>
        <v>0</v>
      </c>
      <c r="U53" s="127">
        <f>IF(Table312[[#This Row],[CODE]]=17, Table312[ [#This Row],[Account Deposit Amount] ]-Table312[ [#This Row],[Account Withdrawl Amount] ], )</f>
        <v>0</v>
      </c>
      <c r="V53" s="166">
        <f>IF(Table312[[#This Row],[CODE]]=18, Table312[ [#This Row],[Account Deposit Amount] ]-Table312[ [#This Row],[Account Withdrawl Amount] ], )</f>
        <v>0</v>
      </c>
    </row>
    <row r="54" spans="1:22" ht="16.2" thickBot="1">
      <c r="A54" s="130"/>
      <c r="B54" s="133"/>
      <c r="C54" s="130"/>
      <c r="D54" s="132"/>
      <c r="E54" s="128"/>
      <c r="F54" s="128"/>
      <c r="G54" s="131">
        <f t="shared" si="3"/>
        <v>17422.709999999995</v>
      </c>
      <c r="H54" s="130"/>
      <c r="I54" s="127">
        <f>IF(Table312[[#This Row],[CODE]]=1, Table312[ [#This Row],[Account Deposit Amount] ]-Table312[ [#This Row],[Account Withdrawl Amount] ], )</f>
        <v>0</v>
      </c>
      <c r="J54" s="129">
        <f>IF(Table312[[#This Row],[CODE]]=2, Table312[ [#This Row],[Account Deposit Amount] ]-Table312[ [#This Row],[Account Withdrawl Amount] ], )</f>
        <v>0</v>
      </c>
      <c r="K54" s="129">
        <f>IF(Table312[[#This Row],[CODE]]=3, Table312[ [#This Row],[Account Deposit Amount] ]-Table312[ [#This Row],[Account Withdrawl Amount] ], )</f>
        <v>0</v>
      </c>
      <c r="L54" s="128">
        <f>IF(Table312[[#This Row],[CODE]]=4, Table312[ [#This Row],[Account Deposit Amount] ]-Table312[ [#This Row],[Account Withdrawl Amount] ], )</f>
        <v>0</v>
      </c>
      <c r="M54" s="128">
        <f>IF(Table312[[#This Row],[CODE]]=5, Table312[ [#This Row],[Account Deposit Amount] ]-Table312[ [#This Row],[Account Withdrawl Amount] ], )</f>
        <v>0</v>
      </c>
      <c r="N54" s="128">
        <f>IF(Table312[[#This Row],[CODE]]=6, Table312[ [#This Row],[Account Deposit Amount] ]-Table312[ [#This Row],[Account Withdrawl Amount] ], )</f>
        <v>0</v>
      </c>
      <c r="O54" s="128">
        <f>IF(Table312[[#This Row],[CODE]]=11, Table312[ [#This Row],[Account Deposit Amount] ]-Table312[ [#This Row],[Account Withdrawl Amount] ], )</f>
        <v>0</v>
      </c>
      <c r="P54" s="128">
        <f>IF(Table312[[#This Row],[CODE]]=12, Table312[ [#This Row],[Account Deposit Amount] ]-Table312[ [#This Row],[Account Withdrawl Amount] ], )</f>
        <v>0</v>
      </c>
      <c r="Q54" s="128">
        <f>IF(Table312[[#This Row],[CODE]]=13, Table312[ [#This Row],[Account Deposit Amount] ]-Table312[ [#This Row],[Account Withdrawl Amount] ], )</f>
        <v>0</v>
      </c>
      <c r="R54" s="128">
        <f>IF(Table312[[#This Row],[CODE]]=14, Table312[ [#This Row],[Account Deposit Amount] ]-Table312[ [#This Row],[Account Withdrawl Amount] ], )</f>
        <v>0</v>
      </c>
      <c r="S54" s="128">
        <f>IF(Table312[[#This Row],[CODE]]=15, Table312[ [#This Row],[Account Deposit Amount] ]-Table312[ [#This Row],[Account Withdrawl Amount] ], )</f>
        <v>0</v>
      </c>
      <c r="T54" s="128">
        <f>IF(Table312[[#This Row],[CODE]]=16, Table312[ [#This Row],[Account Deposit Amount] ]-Table312[ [#This Row],[Account Withdrawl Amount] ], )</f>
        <v>0</v>
      </c>
      <c r="U54" s="127">
        <f>IF(Table312[[#This Row],[CODE]]=17, Table312[ [#This Row],[Account Deposit Amount] ]-Table312[ [#This Row],[Account Withdrawl Amount] ], )</f>
        <v>0</v>
      </c>
      <c r="V54" s="166">
        <f>IF(Table312[[#This Row],[CODE]]=18, Table312[ [#This Row],[Account Deposit Amount] ]-Table312[ [#This Row],[Account Withdrawl Amount] ], )</f>
        <v>0</v>
      </c>
    </row>
    <row r="55" spans="1:22" ht="16.2" thickBot="1">
      <c r="A55" s="130"/>
      <c r="B55" s="133"/>
      <c r="C55" s="130"/>
      <c r="D55" s="132"/>
      <c r="E55" s="128"/>
      <c r="F55" s="128"/>
      <c r="G55" s="131">
        <f t="shared" si="3"/>
        <v>17422.709999999995</v>
      </c>
      <c r="H55" s="130"/>
      <c r="I55" s="127">
        <f>IF(Table312[[#This Row],[CODE]]=1, Table312[ [#This Row],[Account Deposit Amount] ]-Table312[ [#This Row],[Account Withdrawl Amount] ], )</f>
        <v>0</v>
      </c>
      <c r="J55" s="129">
        <f>IF(Table312[[#This Row],[CODE]]=2, Table312[ [#This Row],[Account Deposit Amount] ]-Table312[ [#This Row],[Account Withdrawl Amount] ], )</f>
        <v>0</v>
      </c>
      <c r="K55" s="129">
        <f>IF(Table312[[#This Row],[CODE]]=3, Table312[ [#This Row],[Account Deposit Amount] ]-Table312[ [#This Row],[Account Withdrawl Amount] ], )</f>
        <v>0</v>
      </c>
      <c r="L55" s="128">
        <f>IF(Table312[[#This Row],[CODE]]=4, Table312[ [#This Row],[Account Deposit Amount] ]-Table312[ [#This Row],[Account Withdrawl Amount] ], )</f>
        <v>0</v>
      </c>
      <c r="M55" s="128">
        <f>IF(Table312[[#This Row],[CODE]]=5, Table312[ [#This Row],[Account Deposit Amount] ]-Table312[ [#This Row],[Account Withdrawl Amount] ], )</f>
        <v>0</v>
      </c>
      <c r="N55" s="128">
        <f>IF(Table312[[#This Row],[CODE]]=6, Table312[ [#This Row],[Account Deposit Amount] ]-Table312[ [#This Row],[Account Withdrawl Amount] ], )</f>
        <v>0</v>
      </c>
      <c r="O55" s="128">
        <f>IF(Table312[[#This Row],[CODE]]=11, Table312[ [#This Row],[Account Deposit Amount] ]-Table312[ [#This Row],[Account Withdrawl Amount] ], )</f>
        <v>0</v>
      </c>
      <c r="P55" s="128">
        <f>IF(Table312[[#This Row],[CODE]]=12, Table312[ [#This Row],[Account Deposit Amount] ]-Table312[ [#This Row],[Account Withdrawl Amount] ], )</f>
        <v>0</v>
      </c>
      <c r="Q55" s="128">
        <f>IF(Table312[[#This Row],[CODE]]=13, Table312[ [#This Row],[Account Deposit Amount] ]-Table312[ [#This Row],[Account Withdrawl Amount] ], )</f>
        <v>0</v>
      </c>
      <c r="R55" s="128">
        <f>IF(Table312[[#This Row],[CODE]]=14, Table312[ [#This Row],[Account Deposit Amount] ]-Table312[ [#This Row],[Account Withdrawl Amount] ], )</f>
        <v>0</v>
      </c>
      <c r="S55" s="128">
        <f>IF(Table312[[#This Row],[CODE]]=15, Table312[ [#This Row],[Account Deposit Amount] ]-Table312[ [#This Row],[Account Withdrawl Amount] ], )</f>
        <v>0</v>
      </c>
      <c r="T55" s="128">
        <f>IF(Table312[[#This Row],[CODE]]=16, Table312[ [#This Row],[Account Deposit Amount] ]-Table312[ [#This Row],[Account Withdrawl Amount] ], )</f>
        <v>0</v>
      </c>
      <c r="U55" s="127">
        <f>IF(Table312[[#This Row],[CODE]]=17, Table312[ [#This Row],[Account Deposit Amount] ]-Table312[ [#This Row],[Account Withdrawl Amount] ], )</f>
        <v>0</v>
      </c>
      <c r="V55" s="166">
        <f>IF(Table312[[#This Row],[CODE]]=18, Table312[ [#This Row],[Account Deposit Amount] ]-Table312[ [#This Row],[Account Withdrawl Amount] ], )</f>
        <v>0</v>
      </c>
    </row>
    <row r="56" spans="1:22" ht="16.2" thickBot="1">
      <c r="A56" s="130"/>
      <c r="B56" s="133"/>
      <c r="C56" s="130"/>
      <c r="D56" s="132"/>
      <c r="E56" s="128"/>
      <c r="F56" s="128"/>
      <c r="G56" s="131">
        <f t="shared" si="3"/>
        <v>17422.709999999995</v>
      </c>
      <c r="H56" s="130"/>
      <c r="I56" s="127">
        <f>IF(Table312[[#This Row],[CODE]]=1, Table312[ [#This Row],[Account Deposit Amount] ]-Table312[ [#This Row],[Account Withdrawl Amount] ], )</f>
        <v>0</v>
      </c>
      <c r="J56" s="129">
        <f>IF(Table312[[#This Row],[CODE]]=2, Table312[ [#This Row],[Account Deposit Amount] ]-Table312[ [#This Row],[Account Withdrawl Amount] ], )</f>
        <v>0</v>
      </c>
      <c r="K56" s="129">
        <f>IF(Table312[[#This Row],[CODE]]=3, Table312[ [#This Row],[Account Deposit Amount] ]-Table312[ [#This Row],[Account Withdrawl Amount] ], )</f>
        <v>0</v>
      </c>
      <c r="L56" s="128">
        <f>IF(Table312[[#This Row],[CODE]]=4, Table312[ [#This Row],[Account Deposit Amount] ]-Table312[ [#This Row],[Account Withdrawl Amount] ], )</f>
        <v>0</v>
      </c>
      <c r="M56" s="128">
        <f>IF(Table312[[#This Row],[CODE]]=5, Table312[ [#This Row],[Account Deposit Amount] ]-Table312[ [#This Row],[Account Withdrawl Amount] ], )</f>
        <v>0</v>
      </c>
      <c r="N56" s="128">
        <f>IF(Table312[[#This Row],[CODE]]=6, Table312[ [#This Row],[Account Deposit Amount] ]-Table312[ [#This Row],[Account Withdrawl Amount] ], )</f>
        <v>0</v>
      </c>
      <c r="O56" s="128">
        <f>IF(Table312[[#This Row],[CODE]]=11, Table312[ [#This Row],[Account Deposit Amount] ]-Table312[ [#This Row],[Account Withdrawl Amount] ], )</f>
        <v>0</v>
      </c>
      <c r="P56" s="128">
        <f>IF(Table312[[#This Row],[CODE]]=12, Table312[ [#This Row],[Account Deposit Amount] ]-Table312[ [#This Row],[Account Withdrawl Amount] ], )</f>
        <v>0</v>
      </c>
      <c r="Q56" s="128">
        <f>IF(Table312[[#This Row],[CODE]]=13, Table312[ [#This Row],[Account Deposit Amount] ]-Table312[ [#This Row],[Account Withdrawl Amount] ], )</f>
        <v>0</v>
      </c>
      <c r="R56" s="128">
        <f>IF(Table312[[#This Row],[CODE]]=14, Table312[ [#This Row],[Account Deposit Amount] ]-Table312[ [#This Row],[Account Withdrawl Amount] ], )</f>
        <v>0</v>
      </c>
      <c r="S56" s="128">
        <f>IF(Table312[[#This Row],[CODE]]=15, Table312[ [#This Row],[Account Deposit Amount] ]-Table312[ [#This Row],[Account Withdrawl Amount] ], )</f>
        <v>0</v>
      </c>
      <c r="T56" s="128">
        <f>IF(Table312[[#This Row],[CODE]]=16, Table312[ [#This Row],[Account Deposit Amount] ]-Table312[ [#This Row],[Account Withdrawl Amount] ], )</f>
        <v>0</v>
      </c>
      <c r="U56" s="127">
        <f>IF(Table312[[#This Row],[CODE]]=17, Table312[ [#This Row],[Account Deposit Amount] ]-Table312[ [#This Row],[Account Withdrawl Amount] ], )</f>
        <v>0</v>
      </c>
      <c r="V56" s="166">
        <f>IF(Table312[[#This Row],[CODE]]=18, Table312[ [#This Row],[Account Deposit Amount] ]-Table312[ [#This Row],[Account Withdrawl Amount] ], )</f>
        <v>0</v>
      </c>
    </row>
    <row r="57" spans="1:22" ht="16.2" thickBot="1">
      <c r="A57" s="130"/>
      <c r="B57" s="133"/>
      <c r="C57" s="130"/>
      <c r="D57" s="132"/>
      <c r="E57" s="128"/>
      <c r="F57" s="128"/>
      <c r="G57" s="131">
        <f t="shared" si="3"/>
        <v>17422.709999999995</v>
      </c>
      <c r="H57" s="130"/>
      <c r="I57" s="127">
        <f>IF(Table312[[#This Row],[CODE]]=1, Table312[ [#This Row],[Account Deposit Amount] ]-Table312[ [#This Row],[Account Withdrawl Amount] ], )</f>
        <v>0</v>
      </c>
      <c r="J57" s="129">
        <f>IF(Table312[[#This Row],[CODE]]=2, Table312[ [#This Row],[Account Deposit Amount] ]-Table312[ [#This Row],[Account Withdrawl Amount] ], )</f>
        <v>0</v>
      </c>
      <c r="K57" s="129">
        <f>IF(Table312[[#This Row],[CODE]]=3, Table312[ [#This Row],[Account Deposit Amount] ]-Table312[ [#This Row],[Account Withdrawl Amount] ], )</f>
        <v>0</v>
      </c>
      <c r="L57" s="128">
        <f>IF(Table312[[#This Row],[CODE]]=4, Table312[ [#This Row],[Account Deposit Amount] ]-Table312[ [#This Row],[Account Withdrawl Amount] ], )</f>
        <v>0</v>
      </c>
      <c r="M57" s="128">
        <f>IF(Table312[[#This Row],[CODE]]=5, Table312[ [#This Row],[Account Deposit Amount] ]-Table312[ [#This Row],[Account Withdrawl Amount] ], )</f>
        <v>0</v>
      </c>
      <c r="N57" s="128">
        <f>IF(Table312[[#This Row],[CODE]]=6, Table312[ [#This Row],[Account Deposit Amount] ]-Table312[ [#This Row],[Account Withdrawl Amount] ], )</f>
        <v>0</v>
      </c>
      <c r="O57" s="128">
        <f>IF(Table312[[#This Row],[CODE]]=11, Table312[ [#This Row],[Account Deposit Amount] ]-Table312[ [#This Row],[Account Withdrawl Amount] ], )</f>
        <v>0</v>
      </c>
      <c r="P57" s="128">
        <f>IF(Table312[[#This Row],[CODE]]=12, Table312[ [#This Row],[Account Deposit Amount] ]-Table312[ [#This Row],[Account Withdrawl Amount] ], )</f>
        <v>0</v>
      </c>
      <c r="Q57" s="128">
        <f>IF(Table312[[#This Row],[CODE]]=13, Table312[ [#This Row],[Account Deposit Amount] ]-Table312[ [#This Row],[Account Withdrawl Amount] ], )</f>
        <v>0</v>
      </c>
      <c r="R57" s="128">
        <f>IF(Table312[[#This Row],[CODE]]=14, Table312[ [#This Row],[Account Deposit Amount] ]-Table312[ [#This Row],[Account Withdrawl Amount] ], )</f>
        <v>0</v>
      </c>
      <c r="S57" s="128">
        <f>IF(Table312[[#This Row],[CODE]]=15, Table312[ [#This Row],[Account Deposit Amount] ]-Table312[ [#This Row],[Account Withdrawl Amount] ], )</f>
        <v>0</v>
      </c>
      <c r="T57" s="128">
        <f>IF(Table312[[#This Row],[CODE]]=16, Table312[ [#This Row],[Account Deposit Amount] ]-Table312[ [#This Row],[Account Withdrawl Amount] ], )</f>
        <v>0</v>
      </c>
      <c r="U57" s="127">
        <f>IF(Table312[[#This Row],[CODE]]=17, Table312[ [#This Row],[Account Deposit Amount] ]-Table312[ [#This Row],[Account Withdrawl Amount] ], )</f>
        <v>0</v>
      </c>
      <c r="V57" s="166">
        <f>IF(Table312[[#This Row],[CODE]]=18, Table312[ [#This Row],[Account Deposit Amount] ]-Table312[ [#This Row],[Account Withdrawl Amount] ], )</f>
        <v>0</v>
      </c>
    </row>
    <row r="58" spans="1:22" ht="16.2" thickBot="1">
      <c r="A58" s="130"/>
      <c r="B58" s="133"/>
      <c r="C58" s="130"/>
      <c r="D58" s="132"/>
      <c r="E58" s="128"/>
      <c r="F58" s="128"/>
      <c r="G58" s="131">
        <f t="shared" si="3"/>
        <v>17422.709999999995</v>
      </c>
      <c r="H58" s="130"/>
      <c r="I58" s="127">
        <f>IF(Table312[[#This Row],[CODE]]=1, Table312[ [#This Row],[Account Deposit Amount] ]-Table312[ [#This Row],[Account Withdrawl Amount] ], )</f>
        <v>0</v>
      </c>
      <c r="J58" s="129">
        <f>IF(Table312[[#This Row],[CODE]]=2, Table312[ [#This Row],[Account Deposit Amount] ]-Table312[ [#This Row],[Account Withdrawl Amount] ], )</f>
        <v>0</v>
      </c>
      <c r="K58" s="129">
        <f>IF(Table312[[#This Row],[CODE]]=3, Table312[ [#This Row],[Account Deposit Amount] ]-Table312[ [#This Row],[Account Withdrawl Amount] ], )</f>
        <v>0</v>
      </c>
      <c r="L58" s="128">
        <f>IF(Table312[[#This Row],[CODE]]=4, Table312[ [#This Row],[Account Deposit Amount] ]-Table312[ [#This Row],[Account Withdrawl Amount] ], )</f>
        <v>0</v>
      </c>
      <c r="M58" s="128">
        <f>IF(Table312[[#This Row],[CODE]]=5, Table312[ [#This Row],[Account Deposit Amount] ]-Table312[ [#This Row],[Account Withdrawl Amount] ], )</f>
        <v>0</v>
      </c>
      <c r="N58" s="128">
        <f>IF(Table312[[#This Row],[CODE]]=6, Table312[ [#This Row],[Account Deposit Amount] ]-Table312[ [#This Row],[Account Withdrawl Amount] ], )</f>
        <v>0</v>
      </c>
      <c r="O58" s="128">
        <f>IF(Table312[[#This Row],[CODE]]=11, Table312[ [#This Row],[Account Deposit Amount] ]-Table312[ [#This Row],[Account Withdrawl Amount] ], )</f>
        <v>0</v>
      </c>
      <c r="P58" s="128">
        <f>IF(Table312[[#This Row],[CODE]]=12, Table312[ [#This Row],[Account Deposit Amount] ]-Table312[ [#This Row],[Account Withdrawl Amount] ], )</f>
        <v>0</v>
      </c>
      <c r="Q58" s="128">
        <f>IF(Table312[[#This Row],[CODE]]=13, Table312[ [#This Row],[Account Deposit Amount] ]-Table312[ [#This Row],[Account Withdrawl Amount] ], )</f>
        <v>0</v>
      </c>
      <c r="R58" s="128">
        <f>IF(Table312[[#This Row],[CODE]]=14, Table312[ [#This Row],[Account Deposit Amount] ]-Table312[ [#This Row],[Account Withdrawl Amount] ], )</f>
        <v>0</v>
      </c>
      <c r="S58" s="128">
        <f>IF(Table312[[#This Row],[CODE]]=15, Table312[ [#This Row],[Account Deposit Amount] ]-Table312[ [#This Row],[Account Withdrawl Amount] ], )</f>
        <v>0</v>
      </c>
      <c r="T58" s="128">
        <f>IF(Table312[[#This Row],[CODE]]=16, Table312[ [#This Row],[Account Deposit Amount] ]-Table312[ [#This Row],[Account Withdrawl Amount] ], )</f>
        <v>0</v>
      </c>
      <c r="U58" s="127">
        <f>IF(Table312[[#This Row],[CODE]]=17, Table312[ [#This Row],[Account Deposit Amount] ]-Table312[ [#This Row],[Account Withdrawl Amount] ], )</f>
        <v>0</v>
      </c>
      <c r="V58" s="166">
        <f>IF(Table312[[#This Row],[CODE]]=18, Table312[ [#This Row],[Account Deposit Amount] ]-Table312[ [#This Row],[Account Withdrawl Amount] ], )</f>
        <v>0</v>
      </c>
    </row>
    <row r="59" spans="1:22" ht="16.2" thickBot="1">
      <c r="A59" s="130"/>
      <c r="B59" s="133"/>
      <c r="C59" s="130"/>
      <c r="D59" s="132"/>
      <c r="E59" s="128"/>
      <c r="F59" s="128"/>
      <c r="G59" s="131">
        <f t="shared" si="3"/>
        <v>17422.709999999995</v>
      </c>
      <c r="H59" s="130"/>
      <c r="I59" s="127">
        <f>IF(Table312[[#This Row],[CODE]]=1, Table312[ [#This Row],[Account Deposit Amount] ]-Table312[ [#This Row],[Account Withdrawl Amount] ], )</f>
        <v>0</v>
      </c>
      <c r="J59" s="129">
        <f>IF(Table312[[#This Row],[CODE]]=2, Table312[ [#This Row],[Account Deposit Amount] ]-Table312[ [#This Row],[Account Withdrawl Amount] ], )</f>
        <v>0</v>
      </c>
      <c r="K59" s="129">
        <f>IF(Table312[[#This Row],[CODE]]=3, Table312[ [#This Row],[Account Deposit Amount] ]-Table312[ [#This Row],[Account Withdrawl Amount] ], )</f>
        <v>0</v>
      </c>
      <c r="L59" s="128">
        <f>IF(Table312[[#This Row],[CODE]]=4, Table312[ [#This Row],[Account Deposit Amount] ]-Table312[ [#This Row],[Account Withdrawl Amount] ], )</f>
        <v>0</v>
      </c>
      <c r="M59" s="128">
        <f>IF(Table312[[#This Row],[CODE]]=5, Table312[ [#This Row],[Account Deposit Amount] ]-Table312[ [#This Row],[Account Withdrawl Amount] ], )</f>
        <v>0</v>
      </c>
      <c r="N59" s="128">
        <f>IF(Table312[[#This Row],[CODE]]=6, Table312[ [#This Row],[Account Deposit Amount] ]-Table312[ [#This Row],[Account Withdrawl Amount] ], )</f>
        <v>0</v>
      </c>
      <c r="O59" s="128">
        <f>IF(Table312[[#This Row],[CODE]]=11, Table312[ [#This Row],[Account Deposit Amount] ]-Table312[ [#This Row],[Account Withdrawl Amount] ], )</f>
        <v>0</v>
      </c>
      <c r="P59" s="128">
        <f>IF(Table312[[#This Row],[CODE]]=12, Table312[ [#This Row],[Account Deposit Amount] ]-Table312[ [#This Row],[Account Withdrawl Amount] ], )</f>
        <v>0</v>
      </c>
      <c r="Q59" s="128">
        <f>IF(Table312[[#This Row],[CODE]]=13, Table312[ [#This Row],[Account Deposit Amount] ]-Table312[ [#This Row],[Account Withdrawl Amount] ], )</f>
        <v>0</v>
      </c>
      <c r="R59" s="128">
        <f>IF(Table312[[#This Row],[CODE]]=14, Table312[ [#This Row],[Account Deposit Amount] ]-Table312[ [#This Row],[Account Withdrawl Amount] ], )</f>
        <v>0</v>
      </c>
      <c r="S59" s="128">
        <f>IF(Table312[[#This Row],[CODE]]=15, Table312[ [#This Row],[Account Deposit Amount] ]-Table312[ [#This Row],[Account Withdrawl Amount] ], )</f>
        <v>0</v>
      </c>
      <c r="T59" s="128">
        <f>IF(Table312[[#This Row],[CODE]]=16, Table312[ [#This Row],[Account Deposit Amount] ]-Table312[ [#This Row],[Account Withdrawl Amount] ], )</f>
        <v>0</v>
      </c>
      <c r="U59" s="127">
        <f>IF(Table312[[#This Row],[CODE]]=17, Table312[ [#This Row],[Account Deposit Amount] ]-Table312[ [#This Row],[Account Withdrawl Amount] ], )</f>
        <v>0</v>
      </c>
      <c r="V59" s="166">
        <f>IF(Table312[[#This Row],[CODE]]=18, Table312[ [#This Row],[Account Deposit Amount] ]-Table312[ [#This Row],[Account Withdrawl Amount] ], )</f>
        <v>0</v>
      </c>
    </row>
    <row r="60" spans="1:22" ht="16.2" thickBot="1">
      <c r="A60" s="130"/>
      <c r="B60" s="133"/>
      <c r="C60" s="130"/>
      <c r="D60" s="132"/>
      <c r="E60" s="128"/>
      <c r="F60" s="128"/>
      <c r="G60" s="131">
        <f t="shared" si="3"/>
        <v>17422.709999999995</v>
      </c>
      <c r="H60" s="130"/>
      <c r="I60" s="127">
        <f>IF(Table312[[#This Row],[CODE]]=1, Table312[ [#This Row],[Account Deposit Amount] ]-Table312[ [#This Row],[Account Withdrawl Amount] ], )</f>
        <v>0</v>
      </c>
      <c r="J60" s="129">
        <f>IF(Table312[[#This Row],[CODE]]=2, Table312[ [#This Row],[Account Deposit Amount] ]-Table312[ [#This Row],[Account Withdrawl Amount] ], )</f>
        <v>0</v>
      </c>
      <c r="K60" s="129">
        <f>IF(Table312[[#This Row],[CODE]]=3, Table312[ [#This Row],[Account Deposit Amount] ]-Table312[ [#This Row],[Account Withdrawl Amount] ], )</f>
        <v>0</v>
      </c>
      <c r="L60" s="128">
        <f>IF(Table312[[#This Row],[CODE]]=4, Table312[ [#This Row],[Account Deposit Amount] ]-Table312[ [#This Row],[Account Withdrawl Amount] ], )</f>
        <v>0</v>
      </c>
      <c r="M60" s="128">
        <f>IF(Table312[[#This Row],[CODE]]=5, Table312[ [#This Row],[Account Deposit Amount] ]-Table312[ [#This Row],[Account Withdrawl Amount] ], )</f>
        <v>0</v>
      </c>
      <c r="N60" s="128">
        <f>IF(Table312[[#This Row],[CODE]]=6, Table312[ [#This Row],[Account Deposit Amount] ]-Table312[ [#This Row],[Account Withdrawl Amount] ], )</f>
        <v>0</v>
      </c>
      <c r="O60" s="128">
        <f>IF(Table312[[#This Row],[CODE]]=11, Table312[ [#This Row],[Account Deposit Amount] ]-Table312[ [#This Row],[Account Withdrawl Amount] ], )</f>
        <v>0</v>
      </c>
      <c r="P60" s="128">
        <f>IF(Table312[[#This Row],[CODE]]=12, Table312[ [#This Row],[Account Deposit Amount] ]-Table312[ [#This Row],[Account Withdrawl Amount] ], )</f>
        <v>0</v>
      </c>
      <c r="Q60" s="128">
        <f>IF(Table312[[#This Row],[CODE]]=13, Table312[ [#This Row],[Account Deposit Amount] ]-Table312[ [#This Row],[Account Withdrawl Amount] ], )</f>
        <v>0</v>
      </c>
      <c r="R60" s="128">
        <f>IF(Table312[[#This Row],[CODE]]=14, Table312[ [#This Row],[Account Deposit Amount] ]-Table312[ [#This Row],[Account Withdrawl Amount] ], )</f>
        <v>0</v>
      </c>
      <c r="S60" s="128">
        <f>IF(Table312[[#This Row],[CODE]]=15, Table312[ [#This Row],[Account Deposit Amount] ]-Table312[ [#This Row],[Account Withdrawl Amount] ], )</f>
        <v>0</v>
      </c>
      <c r="T60" s="128">
        <f>IF(Table312[[#This Row],[CODE]]=16, Table312[ [#This Row],[Account Deposit Amount] ]-Table312[ [#This Row],[Account Withdrawl Amount] ], )</f>
        <v>0</v>
      </c>
      <c r="U60" s="127">
        <f>IF(Table312[[#This Row],[CODE]]=17, Table312[ [#This Row],[Account Deposit Amount] ]-Table312[ [#This Row],[Account Withdrawl Amount] ], )</f>
        <v>0</v>
      </c>
      <c r="V60" s="166">
        <f>IF(Table312[[#This Row],[CODE]]=18, Table312[ [#This Row],[Account Deposit Amount] ]-Table312[ [#This Row],[Account Withdrawl Amount] ], )</f>
        <v>0</v>
      </c>
    </row>
    <row r="61" spans="1:22" ht="16.2" thickBot="1">
      <c r="A61" s="130"/>
      <c r="B61" s="133"/>
      <c r="C61" s="130"/>
      <c r="D61" s="132"/>
      <c r="E61" s="128"/>
      <c r="F61" s="128"/>
      <c r="G61" s="131">
        <f t="shared" si="3"/>
        <v>17422.709999999995</v>
      </c>
      <c r="H61" s="130"/>
      <c r="I61" s="127">
        <f>IF(Table312[[#This Row],[CODE]]=1, Table312[ [#This Row],[Account Deposit Amount] ]-Table312[ [#This Row],[Account Withdrawl Amount] ], )</f>
        <v>0</v>
      </c>
      <c r="J61" s="129">
        <f>IF(Table312[[#This Row],[CODE]]=2, Table312[ [#This Row],[Account Deposit Amount] ]-Table312[ [#This Row],[Account Withdrawl Amount] ], )</f>
        <v>0</v>
      </c>
      <c r="K61" s="129">
        <f>IF(Table312[[#This Row],[CODE]]=3, Table312[ [#This Row],[Account Deposit Amount] ]-Table312[ [#This Row],[Account Withdrawl Amount] ], )</f>
        <v>0</v>
      </c>
      <c r="L61" s="128">
        <f>IF(Table312[[#This Row],[CODE]]=4, Table312[ [#This Row],[Account Deposit Amount] ]-Table312[ [#This Row],[Account Withdrawl Amount] ], )</f>
        <v>0</v>
      </c>
      <c r="M61" s="128">
        <f>IF(Table312[[#This Row],[CODE]]=5, Table312[ [#This Row],[Account Deposit Amount] ]-Table312[ [#This Row],[Account Withdrawl Amount] ], )</f>
        <v>0</v>
      </c>
      <c r="N61" s="128">
        <f>IF(Table312[[#This Row],[CODE]]=6, Table312[ [#This Row],[Account Deposit Amount] ]-Table312[ [#This Row],[Account Withdrawl Amount] ], )</f>
        <v>0</v>
      </c>
      <c r="O61" s="128">
        <f>IF(Table312[[#This Row],[CODE]]=11, Table312[ [#This Row],[Account Deposit Amount] ]-Table312[ [#This Row],[Account Withdrawl Amount] ], )</f>
        <v>0</v>
      </c>
      <c r="P61" s="128">
        <f>IF(Table312[[#This Row],[CODE]]=12, Table312[ [#This Row],[Account Deposit Amount] ]-Table312[ [#This Row],[Account Withdrawl Amount] ], )</f>
        <v>0</v>
      </c>
      <c r="Q61" s="128">
        <f>IF(Table312[[#This Row],[CODE]]=13, Table312[ [#This Row],[Account Deposit Amount] ]-Table312[ [#This Row],[Account Withdrawl Amount] ], )</f>
        <v>0</v>
      </c>
      <c r="R61" s="128">
        <f>IF(Table312[[#This Row],[CODE]]=14, Table312[ [#This Row],[Account Deposit Amount] ]-Table312[ [#This Row],[Account Withdrawl Amount] ], )</f>
        <v>0</v>
      </c>
      <c r="S61" s="128">
        <f>IF(Table312[[#This Row],[CODE]]=15, Table312[ [#This Row],[Account Deposit Amount] ]-Table312[ [#This Row],[Account Withdrawl Amount] ], )</f>
        <v>0</v>
      </c>
      <c r="T61" s="128">
        <f>IF(Table312[[#This Row],[CODE]]=16, Table312[ [#This Row],[Account Deposit Amount] ]-Table312[ [#This Row],[Account Withdrawl Amount] ], )</f>
        <v>0</v>
      </c>
      <c r="U61" s="127">
        <f>IF(Table312[[#This Row],[CODE]]=17, Table312[ [#This Row],[Account Deposit Amount] ]-Table312[ [#This Row],[Account Withdrawl Amount] ], )</f>
        <v>0</v>
      </c>
      <c r="V61" s="166">
        <f>IF(Table312[[#This Row],[CODE]]=18, Table312[ [#This Row],[Account Deposit Amount] ]-Table312[ [#This Row],[Account Withdrawl Amount] ], )</f>
        <v>0</v>
      </c>
    </row>
    <row r="62" spans="1:22" ht="16.2" thickBot="1">
      <c r="A62" s="130"/>
      <c r="B62" s="133"/>
      <c r="C62" s="130"/>
      <c r="D62" s="132"/>
      <c r="E62" s="128"/>
      <c r="F62" s="128"/>
      <c r="G62" s="131">
        <f t="shared" si="3"/>
        <v>17422.709999999995</v>
      </c>
      <c r="H62" s="130"/>
      <c r="I62" s="127">
        <f>IF(Table312[[#This Row],[CODE]]=1, Table312[ [#This Row],[Account Deposit Amount] ]-Table312[ [#This Row],[Account Withdrawl Amount] ], )</f>
        <v>0</v>
      </c>
      <c r="J62" s="129">
        <f>IF(Table312[[#This Row],[CODE]]=2, Table312[ [#This Row],[Account Deposit Amount] ]-Table312[ [#This Row],[Account Withdrawl Amount] ], )</f>
        <v>0</v>
      </c>
      <c r="K62" s="129">
        <f>IF(Table312[[#This Row],[CODE]]=3, Table312[ [#This Row],[Account Deposit Amount] ]-Table312[ [#This Row],[Account Withdrawl Amount] ], )</f>
        <v>0</v>
      </c>
      <c r="L62" s="128">
        <f>IF(Table312[[#This Row],[CODE]]=4, Table312[ [#This Row],[Account Deposit Amount] ]-Table312[ [#This Row],[Account Withdrawl Amount] ], )</f>
        <v>0</v>
      </c>
      <c r="M62" s="128">
        <f>IF(Table312[[#This Row],[CODE]]=5, Table312[ [#This Row],[Account Deposit Amount] ]-Table312[ [#This Row],[Account Withdrawl Amount] ], )</f>
        <v>0</v>
      </c>
      <c r="N62" s="128">
        <f>IF(Table312[[#This Row],[CODE]]=6, Table312[ [#This Row],[Account Deposit Amount] ]-Table312[ [#This Row],[Account Withdrawl Amount] ], )</f>
        <v>0</v>
      </c>
      <c r="O62" s="128">
        <f>IF(Table312[[#This Row],[CODE]]=11, Table312[ [#This Row],[Account Deposit Amount] ]-Table312[ [#This Row],[Account Withdrawl Amount] ], )</f>
        <v>0</v>
      </c>
      <c r="P62" s="128">
        <f>IF(Table312[[#This Row],[CODE]]=12, Table312[ [#This Row],[Account Deposit Amount] ]-Table312[ [#This Row],[Account Withdrawl Amount] ], )</f>
        <v>0</v>
      </c>
      <c r="Q62" s="128">
        <f>IF(Table312[[#This Row],[CODE]]=13, Table312[ [#This Row],[Account Deposit Amount] ]-Table312[ [#This Row],[Account Withdrawl Amount] ], )</f>
        <v>0</v>
      </c>
      <c r="R62" s="128">
        <f>IF(Table312[[#This Row],[CODE]]=14, Table312[ [#This Row],[Account Deposit Amount] ]-Table312[ [#This Row],[Account Withdrawl Amount] ], )</f>
        <v>0</v>
      </c>
      <c r="S62" s="128">
        <f>IF(Table312[[#This Row],[CODE]]=15, Table312[ [#This Row],[Account Deposit Amount] ]-Table312[ [#This Row],[Account Withdrawl Amount] ], )</f>
        <v>0</v>
      </c>
      <c r="T62" s="128">
        <f>IF(Table312[[#This Row],[CODE]]=16, Table312[ [#This Row],[Account Deposit Amount] ]-Table312[ [#This Row],[Account Withdrawl Amount] ], )</f>
        <v>0</v>
      </c>
      <c r="U62" s="127">
        <f>IF(Table312[[#This Row],[CODE]]=17, Table312[ [#This Row],[Account Deposit Amount] ]-Table312[ [#This Row],[Account Withdrawl Amount] ], )</f>
        <v>0</v>
      </c>
      <c r="V62" s="166">
        <f>IF(Table312[[#This Row],[CODE]]=18, Table312[ [#This Row],[Account Deposit Amount] ]-Table312[ [#This Row],[Account Withdrawl Amount] ], )</f>
        <v>0</v>
      </c>
    </row>
    <row r="63" spans="1:22" ht="16.2" thickBot="1">
      <c r="A63" s="130"/>
      <c r="B63" s="133"/>
      <c r="C63" s="130"/>
      <c r="D63" s="132"/>
      <c r="E63" s="128"/>
      <c r="F63" s="128"/>
      <c r="G63" s="131">
        <f t="shared" si="3"/>
        <v>17422.709999999995</v>
      </c>
      <c r="H63" s="130"/>
      <c r="I63" s="127">
        <f>IF(Table312[[#This Row],[CODE]]=1, Table312[ [#This Row],[Account Deposit Amount] ]-Table312[ [#This Row],[Account Withdrawl Amount] ], )</f>
        <v>0</v>
      </c>
      <c r="J63" s="129">
        <f>IF(Table312[[#This Row],[CODE]]=2, Table312[ [#This Row],[Account Deposit Amount] ]-Table312[ [#This Row],[Account Withdrawl Amount] ], )</f>
        <v>0</v>
      </c>
      <c r="K63" s="129">
        <f>IF(Table312[[#This Row],[CODE]]=3, Table312[ [#This Row],[Account Deposit Amount] ]-Table312[ [#This Row],[Account Withdrawl Amount] ], )</f>
        <v>0</v>
      </c>
      <c r="L63" s="128">
        <f>IF(Table312[[#This Row],[CODE]]=4, Table312[ [#This Row],[Account Deposit Amount] ]-Table312[ [#This Row],[Account Withdrawl Amount] ], )</f>
        <v>0</v>
      </c>
      <c r="M63" s="128">
        <f>IF(Table312[[#This Row],[CODE]]=5, Table312[ [#This Row],[Account Deposit Amount] ]-Table312[ [#This Row],[Account Withdrawl Amount] ], )</f>
        <v>0</v>
      </c>
      <c r="N63" s="128">
        <f>IF(Table312[[#This Row],[CODE]]=6, Table312[ [#This Row],[Account Deposit Amount] ]-Table312[ [#This Row],[Account Withdrawl Amount] ], )</f>
        <v>0</v>
      </c>
      <c r="O63" s="128">
        <f>IF(Table312[[#This Row],[CODE]]=11, Table312[ [#This Row],[Account Deposit Amount] ]-Table312[ [#This Row],[Account Withdrawl Amount] ], )</f>
        <v>0</v>
      </c>
      <c r="P63" s="128">
        <f>IF(Table312[[#This Row],[CODE]]=12, Table312[ [#This Row],[Account Deposit Amount] ]-Table312[ [#This Row],[Account Withdrawl Amount] ], )</f>
        <v>0</v>
      </c>
      <c r="Q63" s="128">
        <f>IF(Table312[[#This Row],[CODE]]=13, Table312[ [#This Row],[Account Deposit Amount] ]-Table312[ [#This Row],[Account Withdrawl Amount] ], )</f>
        <v>0</v>
      </c>
      <c r="R63" s="128">
        <f>IF(Table312[[#This Row],[CODE]]=14, Table312[ [#This Row],[Account Deposit Amount] ]-Table312[ [#This Row],[Account Withdrawl Amount] ], )</f>
        <v>0</v>
      </c>
      <c r="S63" s="128">
        <f>IF(Table312[[#This Row],[CODE]]=15, Table312[ [#This Row],[Account Deposit Amount] ]-Table312[ [#This Row],[Account Withdrawl Amount] ], )</f>
        <v>0</v>
      </c>
      <c r="T63" s="128">
        <f>IF(Table312[[#This Row],[CODE]]=16, Table312[ [#This Row],[Account Deposit Amount] ]-Table312[ [#This Row],[Account Withdrawl Amount] ], )</f>
        <v>0</v>
      </c>
      <c r="U63" s="127">
        <f>IF(Table312[[#This Row],[CODE]]=17, Table312[ [#This Row],[Account Deposit Amount] ]-Table312[ [#This Row],[Account Withdrawl Amount] ], )</f>
        <v>0</v>
      </c>
      <c r="V63" s="166">
        <f>IF(Table312[[#This Row],[CODE]]=18, Table312[ [#This Row],[Account Deposit Amount] ]-Table312[ [#This Row],[Account Withdrawl Amount] ], )</f>
        <v>0</v>
      </c>
    </row>
    <row r="64" spans="1:22" ht="16.2" thickBot="1">
      <c r="A64" s="130"/>
      <c r="B64" s="133"/>
      <c r="C64" s="130"/>
      <c r="D64" s="132"/>
      <c r="E64" s="128"/>
      <c r="F64" s="128"/>
      <c r="G64" s="131">
        <f t="shared" si="3"/>
        <v>17422.709999999995</v>
      </c>
      <c r="H64" s="130"/>
      <c r="I64" s="127">
        <f>IF(Table312[[#This Row],[CODE]]=1, Table312[ [#This Row],[Account Deposit Amount] ]-Table312[ [#This Row],[Account Withdrawl Amount] ], )</f>
        <v>0</v>
      </c>
      <c r="J64" s="129">
        <f>IF(Table312[[#This Row],[CODE]]=2, Table312[ [#This Row],[Account Deposit Amount] ]-Table312[ [#This Row],[Account Withdrawl Amount] ], )</f>
        <v>0</v>
      </c>
      <c r="K64" s="129">
        <f>IF(Table312[[#This Row],[CODE]]=3, Table312[ [#This Row],[Account Deposit Amount] ]-Table312[ [#This Row],[Account Withdrawl Amount] ], )</f>
        <v>0</v>
      </c>
      <c r="L64" s="128">
        <f>IF(Table312[[#This Row],[CODE]]=4, Table312[ [#This Row],[Account Deposit Amount] ]-Table312[ [#This Row],[Account Withdrawl Amount] ], )</f>
        <v>0</v>
      </c>
      <c r="M64" s="128">
        <f>IF(Table312[[#This Row],[CODE]]=5, Table312[ [#This Row],[Account Deposit Amount] ]-Table312[ [#This Row],[Account Withdrawl Amount] ], )</f>
        <v>0</v>
      </c>
      <c r="N64" s="128">
        <f>IF(Table312[[#This Row],[CODE]]=6, Table312[ [#This Row],[Account Deposit Amount] ]-Table312[ [#This Row],[Account Withdrawl Amount] ], )</f>
        <v>0</v>
      </c>
      <c r="O64" s="128">
        <f>IF(Table312[[#This Row],[CODE]]=11, Table312[ [#This Row],[Account Deposit Amount] ]-Table312[ [#This Row],[Account Withdrawl Amount] ], )</f>
        <v>0</v>
      </c>
      <c r="P64" s="128">
        <f>IF(Table312[[#This Row],[CODE]]=12, Table312[ [#This Row],[Account Deposit Amount] ]-Table312[ [#This Row],[Account Withdrawl Amount] ], )</f>
        <v>0</v>
      </c>
      <c r="Q64" s="128">
        <f>IF(Table312[[#This Row],[CODE]]=13, Table312[ [#This Row],[Account Deposit Amount] ]-Table312[ [#This Row],[Account Withdrawl Amount] ], )</f>
        <v>0</v>
      </c>
      <c r="R64" s="128">
        <f>IF(Table312[[#This Row],[CODE]]=14, Table312[ [#This Row],[Account Deposit Amount] ]-Table312[ [#This Row],[Account Withdrawl Amount] ], )</f>
        <v>0</v>
      </c>
      <c r="S64" s="128">
        <f>IF(Table312[[#This Row],[CODE]]=15, Table312[ [#This Row],[Account Deposit Amount] ]-Table312[ [#This Row],[Account Withdrawl Amount] ], )</f>
        <v>0</v>
      </c>
      <c r="T64" s="128">
        <f>IF(Table312[[#This Row],[CODE]]=16, Table312[ [#This Row],[Account Deposit Amount] ]-Table312[ [#This Row],[Account Withdrawl Amount] ], )</f>
        <v>0</v>
      </c>
      <c r="U64" s="127">
        <f>IF(Table312[[#This Row],[CODE]]=17, Table312[ [#This Row],[Account Deposit Amount] ]-Table312[ [#This Row],[Account Withdrawl Amount] ], )</f>
        <v>0</v>
      </c>
      <c r="V64" s="166">
        <f>IF(Table312[[#This Row],[CODE]]=18, Table312[ [#This Row],[Account Deposit Amount] ]-Table312[ [#This Row],[Account Withdrawl Amount] ], )</f>
        <v>0</v>
      </c>
    </row>
    <row r="65" spans="1:22" ht="16.2" thickBot="1">
      <c r="A65" s="130"/>
      <c r="B65" s="133"/>
      <c r="C65" s="130"/>
      <c r="D65" s="132"/>
      <c r="E65" s="128"/>
      <c r="F65" s="128"/>
      <c r="G65" s="131">
        <f t="shared" si="3"/>
        <v>17422.709999999995</v>
      </c>
      <c r="H65" s="130"/>
      <c r="I65" s="127">
        <f>IF(Table312[[#This Row],[CODE]]=1, Table312[ [#This Row],[Account Deposit Amount] ]-Table312[ [#This Row],[Account Withdrawl Amount] ], )</f>
        <v>0</v>
      </c>
      <c r="J65" s="129">
        <f>IF(Table312[[#This Row],[CODE]]=2, Table312[ [#This Row],[Account Deposit Amount] ]-Table312[ [#This Row],[Account Withdrawl Amount] ], )</f>
        <v>0</v>
      </c>
      <c r="K65" s="129">
        <f>IF(Table312[[#This Row],[CODE]]=3, Table312[ [#This Row],[Account Deposit Amount] ]-Table312[ [#This Row],[Account Withdrawl Amount] ], )</f>
        <v>0</v>
      </c>
      <c r="L65" s="128">
        <f>IF(Table312[[#This Row],[CODE]]=4, Table312[ [#This Row],[Account Deposit Amount] ]-Table312[ [#This Row],[Account Withdrawl Amount] ], )</f>
        <v>0</v>
      </c>
      <c r="M65" s="128">
        <f>IF(Table312[[#This Row],[CODE]]=5, Table312[ [#This Row],[Account Deposit Amount] ]-Table312[ [#This Row],[Account Withdrawl Amount] ], )</f>
        <v>0</v>
      </c>
      <c r="N65" s="128">
        <f>IF(Table312[[#This Row],[CODE]]=6, Table312[ [#This Row],[Account Deposit Amount] ]-Table312[ [#This Row],[Account Withdrawl Amount] ], )</f>
        <v>0</v>
      </c>
      <c r="O65" s="128">
        <f>IF(Table312[[#This Row],[CODE]]=11, Table312[ [#This Row],[Account Deposit Amount] ]-Table312[ [#This Row],[Account Withdrawl Amount] ], )</f>
        <v>0</v>
      </c>
      <c r="P65" s="128">
        <f>IF(Table312[[#This Row],[CODE]]=12, Table312[ [#This Row],[Account Deposit Amount] ]-Table312[ [#This Row],[Account Withdrawl Amount] ], )</f>
        <v>0</v>
      </c>
      <c r="Q65" s="128">
        <f>IF(Table312[[#This Row],[CODE]]=13, Table312[ [#This Row],[Account Deposit Amount] ]-Table312[ [#This Row],[Account Withdrawl Amount] ], )</f>
        <v>0</v>
      </c>
      <c r="R65" s="128">
        <f>IF(Table312[[#This Row],[CODE]]=14, Table312[ [#This Row],[Account Deposit Amount] ]-Table312[ [#This Row],[Account Withdrawl Amount] ], )</f>
        <v>0</v>
      </c>
      <c r="S65" s="128">
        <f>IF(Table312[[#This Row],[CODE]]=15, Table312[ [#This Row],[Account Deposit Amount] ]-Table312[ [#This Row],[Account Withdrawl Amount] ], )</f>
        <v>0</v>
      </c>
      <c r="T65" s="128">
        <f>IF(Table312[[#This Row],[CODE]]=16, Table312[ [#This Row],[Account Deposit Amount] ]-Table312[ [#This Row],[Account Withdrawl Amount] ], )</f>
        <v>0</v>
      </c>
      <c r="U65" s="127">
        <f>IF(Table312[[#This Row],[CODE]]=17, Table312[ [#This Row],[Account Deposit Amount] ]-Table312[ [#This Row],[Account Withdrawl Amount] ], )</f>
        <v>0</v>
      </c>
      <c r="V65" s="166">
        <f>IF(Table312[[#This Row],[CODE]]=18, Table312[ [#This Row],[Account Deposit Amount] ]-Table312[ [#This Row],[Account Withdrawl Amount] ], )</f>
        <v>0</v>
      </c>
    </row>
    <row r="66" spans="1:22" ht="16.2" thickBot="1">
      <c r="A66" s="130"/>
      <c r="B66" s="133"/>
      <c r="C66" s="130"/>
      <c r="D66" s="132"/>
      <c r="E66" s="128"/>
      <c r="F66" s="128"/>
      <c r="G66" s="131">
        <f t="shared" si="3"/>
        <v>17422.709999999995</v>
      </c>
      <c r="H66" s="130"/>
      <c r="I66" s="127">
        <f>IF(Table312[[#This Row],[CODE]]=1, Table312[ [#This Row],[Account Deposit Amount] ]-Table312[ [#This Row],[Account Withdrawl Amount] ], )</f>
        <v>0</v>
      </c>
      <c r="J66" s="129">
        <f>IF(Table312[[#This Row],[CODE]]=2, Table312[ [#This Row],[Account Deposit Amount] ]-Table312[ [#This Row],[Account Withdrawl Amount] ], )</f>
        <v>0</v>
      </c>
      <c r="K66" s="129">
        <f>IF(Table312[[#This Row],[CODE]]=3, Table312[ [#This Row],[Account Deposit Amount] ]-Table312[ [#This Row],[Account Withdrawl Amount] ], )</f>
        <v>0</v>
      </c>
      <c r="L66" s="128">
        <f>IF(Table312[[#This Row],[CODE]]=4, Table312[ [#This Row],[Account Deposit Amount] ]-Table312[ [#This Row],[Account Withdrawl Amount] ], )</f>
        <v>0</v>
      </c>
      <c r="M66" s="128">
        <f>IF(Table312[[#This Row],[CODE]]=5, Table312[ [#This Row],[Account Deposit Amount] ]-Table312[ [#This Row],[Account Withdrawl Amount] ], )</f>
        <v>0</v>
      </c>
      <c r="N66" s="128">
        <f>IF(Table312[[#This Row],[CODE]]=6, Table312[ [#This Row],[Account Deposit Amount] ]-Table312[ [#This Row],[Account Withdrawl Amount] ], )</f>
        <v>0</v>
      </c>
      <c r="O66" s="128">
        <f>IF(Table312[[#This Row],[CODE]]=11, Table312[ [#This Row],[Account Deposit Amount] ]-Table312[ [#This Row],[Account Withdrawl Amount] ], )</f>
        <v>0</v>
      </c>
      <c r="P66" s="128">
        <f>IF(Table312[[#This Row],[CODE]]=12, Table312[ [#This Row],[Account Deposit Amount] ]-Table312[ [#This Row],[Account Withdrawl Amount] ], )</f>
        <v>0</v>
      </c>
      <c r="Q66" s="128">
        <f>IF(Table312[[#This Row],[CODE]]=13, Table312[ [#This Row],[Account Deposit Amount] ]-Table312[ [#This Row],[Account Withdrawl Amount] ], )</f>
        <v>0</v>
      </c>
      <c r="R66" s="128">
        <f>IF(Table312[[#This Row],[CODE]]=14, Table312[ [#This Row],[Account Deposit Amount] ]-Table312[ [#This Row],[Account Withdrawl Amount] ], )</f>
        <v>0</v>
      </c>
      <c r="S66" s="128">
        <f>IF(Table312[[#This Row],[CODE]]=15, Table312[ [#This Row],[Account Deposit Amount] ]-Table312[ [#This Row],[Account Withdrawl Amount] ], )</f>
        <v>0</v>
      </c>
      <c r="T66" s="128">
        <f>IF(Table312[[#This Row],[CODE]]=16, Table312[ [#This Row],[Account Deposit Amount] ]-Table312[ [#This Row],[Account Withdrawl Amount] ], )</f>
        <v>0</v>
      </c>
      <c r="U66" s="127">
        <f>IF(Table312[[#This Row],[CODE]]=17, Table312[ [#This Row],[Account Deposit Amount] ]-Table312[ [#This Row],[Account Withdrawl Amount] ], )</f>
        <v>0</v>
      </c>
      <c r="V66" s="166">
        <f>IF(Table312[[#This Row],[CODE]]=18, Table312[ [#This Row],[Account Deposit Amount] ]-Table312[ [#This Row],[Account Withdrawl Amount] ], )</f>
        <v>0</v>
      </c>
    </row>
    <row r="67" spans="1:22" ht="16.2" thickBot="1">
      <c r="A67" s="130"/>
      <c r="B67" s="133"/>
      <c r="C67" s="130"/>
      <c r="D67" s="132"/>
      <c r="E67" s="128"/>
      <c r="F67" s="128"/>
      <c r="G67" s="131">
        <f t="shared" si="3"/>
        <v>17422.709999999995</v>
      </c>
      <c r="H67" s="130"/>
      <c r="I67" s="127">
        <f>IF(Table312[[#This Row],[CODE]]=1, Table312[ [#This Row],[Account Deposit Amount] ]-Table312[ [#This Row],[Account Withdrawl Amount] ], )</f>
        <v>0</v>
      </c>
      <c r="J67" s="129">
        <f>IF(Table312[[#This Row],[CODE]]=2, Table312[ [#This Row],[Account Deposit Amount] ]-Table312[ [#This Row],[Account Withdrawl Amount] ], )</f>
        <v>0</v>
      </c>
      <c r="K67" s="129">
        <f>IF(Table312[[#This Row],[CODE]]=3, Table312[ [#This Row],[Account Deposit Amount] ]-Table312[ [#This Row],[Account Withdrawl Amount] ], )</f>
        <v>0</v>
      </c>
      <c r="L67" s="128">
        <f>IF(Table312[[#This Row],[CODE]]=4, Table312[ [#This Row],[Account Deposit Amount] ]-Table312[ [#This Row],[Account Withdrawl Amount] ], )</f>
        <v>0</v>
      </c>
      <c r="M67" s="128">
        <f>IF(Table312[[#This Row],[CODE]]=5, Table312[ [#This Row],[Account Deposit Amount] ]-Table312[ [#This Row],[Account Withdrawl Amount] ], )</f>
        <v>0</v>
      </c>
      <c r="N67" s="128">
        <f>IF(Table312[[#This Row],[CODE]]=6, Table312[ [#This Row],[Account Deposit Amount] ]-Table312[ [#This Row],[Account Withdrawl Amount] ], )</f>
        <v>0</v>
      </c>
      <c r="O67" s="128">
        <f>IF(Table312[[#This Row],[CODE]]=11, Table312[ [#This Row],[Account Deposit Amount] ]-Table312[ [#This Row],[Account Withdrawl Amount] ], )</f>
        <v>0</v>
      </c>
      <c r="P67" s="128">
        <f>IF(Table312[[#This Row],[CODE]]=12, Table312[ [#This Row],[Account Deposit Amount] ]-Table312[ [#This Row],[Account Withdrawl Amount] ], )</f>
        <v>0</v>
      </c>
      <c r="Q67" s="128">
        <f>IF(Table312[[#This Row],[CODE]]=13, Table312[ [#This Row],[Account Deposit Amount] ]-Table312[ [#This Row],[Account Withdrawl Amount] ], )</f>
        <v>0</v>
      </c>
      <c r="R67" s="128">
        <f>IF(Table312[[#This Row],[CODE]]=14, Table312[ [#This Row],[Account Deposit Amount] ]-Table312[ [#This Row],[Account Withdrawl Amount] ], )</f>
        <v>0</v>
      </c>
      <c r="S67" s="128">
        <f>IF(Table312[[#This Row],[CODE]]=15, Table312[ [#This Row],[Account Deposit Amount] ]-Table312[ [#This Row],[Account Withdrawl Amount] ], )</f>
        <v>0</v>
      </c>
      <c r="T67" s="128">
        <f>IF(Table312[[#This Row],[CODE]]=16, Table312[ [#This Row],[Account Deposit Amount] ]-Table312[ [#This Row],[Account Withdrawl Amount] ], )</f>
        <v>0</v>
      </c>
      <c r="U67" s="127">
        <f>IF(Table312[[#This Row],[CODE]]=17, Table312[ [#This Row],[Account Deposit Amount] ]-Table312[ [#This Row],[Account Withdrawl Amount] ], )</f>
        <v>0</v>
      </c>
      <c r="V67" s="166">
        <f>IF(Table312[[#This Row],[CODE]]=18, Table312[ [#This Row],[Account Deposit Amount] ]-Table312[ [#This Row],[Account Withdrawl Amount] ], )</f>
        <v>0</v>
      </c>
    </row>
    <row r="68" spans="1:22" ht="16.2" thickBot="1">
      <c r="A68" s="130"/>
      <c r="B68" s="133"/>
      <c r="C68" s="130"/>
      <c r="D68" s="132"/>
      <c r="E68" s="128"/>
      <c r="F68" s="128"/>
      <c r="G68" s="131">
        <f t="shared" si="3"/>
        <v>17422.709999999995</v>
      </c>
      <c r="H68" s="130"/>
      <c r="I68" s="127">
        <f>IF(Table312[[#This Row],[CODE]]=1, Table312[ [#This Row],[Account Deposit Amount] ]-Table312[ [#This Row],[Account Withdrawl Amount] ], )</f>
        <v>0</v>
      </c>
      <c r="J68" s="129">
        <f>IF(Table312[[#This Row],[CODE]]=2, Table312[ [#This Row],[Account Deposit Amount] ]-Table312[ [#This Row],[Account Withdrawl Amount] ], )</f>
        <v>0</v>
      </c>
      <c r="K68" s="129">
        <f>IF(Table312[[#This Row],[CODE]]=3, Table312[ [#This Row],[Account Deposit Amount] ]-Table312[ [#This Row],[Account Withdrawl Amount] ], )</f>
        <v>0</v>
      </c>
      <c r="L68" s="128">
        <f>IF(Table312[[#This Row],[CODE]]=4, Table312[ [#This Row],[Account Deposit Amount] ]-Table312[ [#This Row],[Account Withdrawl Amount] ], )</f>
        <v>0</v>
      </c>
      <c r="M68" s="128">
        <f>IF(Table312[[#This Row],[CODE]]=5, Table312[ [#This Row],[Account Deposit Amount] ]-Table312[ [#This Row],[Account Withdrawl Amount] ], )</f>
        <v>0</v>
      </c>
      <c r="N68" s="128">
        <f>IF(Table312[[#This Row],[CODE]]=6, Table312[ [#This Row],[Account Deposit Amount] ]-Table312[ [#This Row],[Account Withdrawl Amount] ], )</f>
        <v>0</v>
      </c>
      <c r="O68" s="128">
        <f>IF(Table312[[#This Row],[CODE]]=11, Table312[ [#This Row],[Account Deposit Amount] ]-Table312[ [#This Row],[Account Withdrawl Amount] ], )</f>
        <v>0</v>
      </c>
      <c r="P68" s="128">
        <f>IF(Table312[[#This Row],[CODE]]=12, Table312[ [#This Row],[Account Deposit Amount] ]-Table312[ [#This Row],[Account Withdrawl Amount] ], )</f>
        <v>0</v>
      </c>
      <c r="Q68" s="128">
        <f>IF(Table312[[#This Row],[CODE]]=13, Table312[ [#This Row],[Account Deposit Amount] ]-Table312[ [#This Row],[Account Withdrawl Amount] ], )</f>
        <v>0</v>
      </c>
      <c r="R68" s="128">
        <f>IF(Table312[[#This Row],[CODE]]=14, Table312[ [#This Row],[Account Deposit Amount] ]-Table312[ [#This Row],[Account Withdrawl Amount] ], )</f>
        <v>0</v>
      </c>
      <c r="S68" s="128">
        <f>IF(Table312[[#This Row],[CODE]]=15, Table312[ [#This Row],[Account Deposit Amount] ]-Table312[ [#This Row],[Account Withdrawl Amount] ], )</f>
        <v>0</v>
      </c>
      <c r="T68" s="128">
        <f>IF(Table312[[#This Row],[CODE]]=16, Table312[ [#This Row],[Account Deposit Amount] ]-Table312[ [#This Row],[Account Withdrawl Amount] ], )</f>
        <v>0</v>
      </c>
      <c r="U68" s="127">
        <f>IF(Table312[[#This Row],[CODE]]=17, Table312[ [#This Row],[Account Deposit Amount] ]-Table312[ [#This Row],[Account Withdrawl Amount] ], )</f>
        <v>0</v>
      </c>
      <c r="V68" s="166">
        <f>IF(Table312[[#This Row],[CODE]]=18, Table312[ [#This Row],[Account Deposit Amount] ]-Table312[ [#This Row],[Account Withdrawl Amount] ], )</f>
        <v>0</v>
      </c>
    </row>
    <row r="69" spans="1:22" ht="16.2" thickBot="1">
      <c r="A69" s="130"/>
      <c r="B69" s="133"/>
      <c r="C69" s="130"/>
      <c r="D69" s="132"/>
      <c r="E69" s="128"/>
      <c r="F69" s="128"/>
      <c r="G69" s="131">
        <f t="shared" ref="G69:G100" si="4">G68+E69-F69</f>
        <v>17422.709999999995</v>
      </c>
      <c r="H69" s="130"/>
      <c r="I69" s="127">
        <f>IF(Table312[[#This Row],[CODE]]=1, Table312[ [#This Row],[Account Deposit Amount] ]-Table312[ [#This Row],[Account Withdrawl Amount] ], )</f>
        <v>0</v>
      </c>
      <c r="J69" s="129">
        <f>IF(Table312[[#This Row],[CODE]]=2, Table312[ [#This Row],[Account Deposit Amount] ]-Table312[ [#This Row],[Account Withdrawl Amount] ], )</f>
        <v>0</v>
      </c>
      <c r="K69" s="129">
        <f>IF(Table312[[#This Row],[CODE]]=3, Table312[ [#This Row],[Account Deposit Amount] ]-Table312[ [#This Row],[Account Withdrawl Amount] ], )</f>
        <v>0</v>
      </c>
      <c r="L69" s="128">
        <f>IF(Table312[[#This Row],[CODE]]=4, Table312[ [#This Row],[Account Deposit Amount] ]-Table312[ [#This Row],[Account Withdrawl Amount] ], )</f>
        <v>0</v>
      </c>
      <c r="M69" s="128">
        <f>IF(Table312[[#This Row],[CODE]]=5, Table312[ [#This Row],[Account Deposit Amount] ]-Table312[ [#This Row],[Account Withdrawl Amount] ], )</f>
        <v>0</v>
      </c>
      <c r="N69" s="128">
        <f>IF(Table312[[#This Row],[CODE]]=6, Table312[ [#This Row],[Account Deposit Amount] ]-Table312[ [#This Row],[Account Withdrawl Amount] ], )</f>
        <v>0</v>
      </c>
      <c r="O69" s="128">
        <f>IF(Table312[[#This Row],[CODE]]=11, Table312[ [#This Row],[Account Deposit Amount] ]-Table312[ [#This Row],[Account Withdrawl Amount] ], )</f>
        <v>0</v>
      </c>
      <c r="P69" s="128">
        <f>IF(Table312[[#This Row],[CODE]]=12, Table312[ [#This Row],[Account Deposit Amount] ]-Table312[ [#This Row],[Account Withdrawl Amount] ], )</f>
        <v>0</v>
      </c>
      <c r="Q69" s="128">
        <f>IF(Table312[[#This Row],[CODE]]=13, Table312[ [#This Row],[Account Deposit Amount] ]-Table312[ [#This Row],[Account Withdrawl Amount] ], )</f>
        <v>0</v>
      </c>
      <c r="R69" s="128">
        <f>IF(Table312[[#This Row],[CODE]]=14, Table312[ [#This Row],[Account Deposit Amount] ]-Table312[ [#This Row],[Account Withdrawl Amount] ], )</f>
        <v>0</v>
      </c>
      <c r="S69" s="128">
        <f>IF(Table312[[#This Row],[CODE]]=15, Table312[ [#This Row],[Account Deposit Amount] ]-Table312[ [#This Row],[Account Withdrawl Amount] ], )</f>
        <v>0</v>
      </c>
      <c r="T69" s="128">
        <f>IF(Table312[[#This Row],[CODE]]=16, Table312[ [#This Row],[Account Deposit Amount] ]-Table312[ [#This Row],[Account Withdrawl Amount] ], )</f>
        <v>0</v>
      </c>
      <c r="U69" s="127">
        <f>IF(Table312[[#This Row],[CODE]]=17, Table312[ [#This Row],[Account Deposit Amount] ]-Table312[ [#This Row],[Account Withdrawl Amount] ], )</f>
        <v>0</v>
      </c>
      <c r="V69" s="166">
        <f>IF(Table312[[#This Row],[CODE]]=18, Table312[ [#This Row],[Account Deposit Amount] ]-Table312[ [#This Row],[Account Withdrawl Amount] ], )</f>
        <v>0</v>
      </c>
    </row>
    <row r="70" spans="1:22" ht="16.2" thickBot="1">
      <c r="A70" s="130"/>
      <c r="B70" s="133"/>
      <c r="C70" s="130"/>
      <c r="D70" s="132"/>
      <c r="E70" s="128"/>
      <c r="F70" s="128"/>
      <c r="G70" s="131">
        <f t="shared" si="4"/>
        <v>17422.709999999995</v>
      </c>
      <c r="H70" s="130"/>
      <c r="I70" s="127">
        <f>IF(Table312[[#This Row],[CODE]]=1, Table312[ [#This Row],[Account Deposit Amount] ]-Table312[ [#This Row],[Account Withdrawl Amount] ], )</f>
        <v>0</v>
      </c>
      <c r="J70" s="129">
        <f>IF(Table312[[#This Row],[CODE]]=2, Table312[ [#This Row],[Account Deposit Amount] ]-Table312[ [#This Row],[Account Withdrawl Amount] ], )</f>
        <v>0</v>
      </c>
      <c r="K70" s="129">
        <f>IF(Table312[[#This Row],[CODE]]=3, Table312[ [#This Row],[Account Deposit Amount] ]-Table312[ [#This Row],[Account Withdrawl Amount] ], )</f>
        <v>0</v>
      </c>
      <c r="L70" s="128">
        <f>IF(Table312[[#This Row],[CODE]]=4, Table312[ [#This Row],[Account Deposit Amount] ]-Table312[ [#This Row],[Account Withdrawl Amount] ], )</f>
        <v>0</v>
      </c>
      <c r="M70" s="128">
        <f>IF(Table312[[#This Row],[CODE]]=5, Table312[ [#This Row],[Account Deposit Amount] ]-Table312[ [#This Row],[Account Withdrawl Amount] ], )</f>
        <v>0</v>
      </c>
      <c r="N70" s="128">
        <f>IF(Table312[[#This Row],[CODE]]=6, Table312[ [#This Row],[Account Deposit Amount] ]-Table312[ [#This Row],[Account Withdrawl Amount] ], )</f>
        <v>0</v>
      </c>
      <c r="O70" s="128">
        <f>IF(Table312[[#This Row],[CODE]]=11, Table312[ [#This Row],[Account Deposit Amount] ]-Table312[ [#This Row],[Account Withdrawl Amount] ], )</f>
        <v>0</v>
      </c>
      <c r="P70" s="128">
        <f>IF(Table312[[#This Row],[CODE]]=12, Table312[ [#This Row],[Account Deposit Amount] ]-Table312[ [#This Row],[Account Withdrawl Amount] ], )</f>
        <v>0</v>
      </c>
      <c r="Q70" s="128">
        <f>IF(Table312[[#This Row],[CODE]]=13, Table312[ [#This Row],[Account Deposit Amount] ]-Table312[ [#This Row],[Account Withdrawl Amount] ], )</f>
        <v>0</v>
      </c>
      <c r="R70" s="128">
        <f>IF(Table312[[#This Row],[CODE]]=14, Table312[ [#This Row],[Account Deposit Amount] ]-Table312[ [#This Row],[Account Withdrawl Amount] ], )</f>
        <v>0</v>
      </c>
      <c r="S70" s="128">
        <f>IF(Table312[[#This Row],[CODE]]=15, Table312[ [#This Row],[Account Deposit Amount] ]-Table312[ [#This Row],[Account Withdrawl Amount] ], )</f>
        <v>0</v>
      </c>
      <c r="T70" s="128">
        <f>IF(Table312[[#This Row],[CODE]]=16, Table312[ [#This Row],[Account Deposit Amount] ]-Table312[ [#This Row],[Account Withdrawl Amount] ], )</f>
        <v>0</v>
      </c>
      <c r="U70" s="127">
        <f>IF(Table312[[#This Row],[CODE]]=17, Table312[ [#This Row],[Account Deposit Amount] ]-Table312[ [#This Row],[Account Withdrawl Amount] ], )</f>
        <v>0</v>
      </c>
      <c r="V70" s="166">
        <f>IF(Table312[[#This Row],[CODE]]=18, Table312[ [#This Row],[Account Deposit Amount] ]-Table312[ [#This Row],[Account Withdrawl Amount] ], )</f>
        <v>0</v>
      </c>
    </row>
    <row r="71" spans="1:22" ht="16.2" thickBot="1">
      <c r="A71" s="130"/>
      <c r="B71" s="133"/>
      <c r="C71" s="130"/>
      <c r="D71" s="132"/>
      <c r="E71" s="128"/>
      <c r="F71" s="128"/>
      <c r="G71" s="131">
        <f t="shared" si="4"/>
        <v>17422.709999999995</v>
      </c>
      <c r="H71" s="130"/>
      <c r="I71" s="127">
        <f>IF(Table312[[#This Row],[CODE]]=1, Table312[ [#This Row],[Account Deposit Amount] ]-Table312[ [#This Row],[Account Withdrawl Amount] ], )</f>
        <v>0</v>
      </c>
      <c r="J71" s="129">
        <f>IF(Table312[[#This Row],[CODE]]=2, Table312[ [#This Row],[Account Deposit Amount] ]-Table312[ [#This Row],[Account Withdrawl Amount] ], )</f>
        <v>0</v>
      </c>
      <c r="K71" s="129">
        <f>IF(Table312[[#This Row],[CODE]]=3, Table312[ [#This Row],[Account Deposit Amount] ]-Table312[ [#This Row],[Account Withdrawl Amount] ], )</f>
        <v>0</v>
      </c>
      <c r="L71" s="128">
        <f>IF(Table312[[#This Row],[CODE]]=4, Table312[ [#This Row],[Account Deposit Amount] ]-Table312[ [#This Row],[Account Withdrawl Amount] ], )</f>
        <v>0</v>
      </c>
      <c r="M71" s="128">
        <f>IF(Table312[[#This Row],[CODE]]=5, Table312[ [#This Row],[Account Deposit Amount] ]-Table312[ [#This Row],[Account Withdrawl Amount] ], )</f>
        <v>0</v>
      </c>
      <c r="N71" s="128">
        <f>IF(Table312[[#This Row],[CODE]]=6, Table312[ [#This Row],[Account Deposit Amount] ]-Table312[ [#This Row],[Account Withdrawl Amount] ], )</f>
        <v>0</v>
      </c>
      <c r="O71" s="128">
        <f>IF(Table312[[#This Row],[CODE]]=11, Table312[ [#This Row],[Account Deposit Amount] ]-Table312[ [#This Row],[Account Withdrawl Amount] ], )</f>
        <v>0</v>
      </c>
      <c r="P71" s="128">
        <f>IF(Table312[[#This Row],[CODE]]=12, Table312[ [#This Row],[Account Deposit Amount] ]-Table312[ [#This Row],[Account Withdrawl Amount] ], )</f>
        <v>0</v>
      </c>
      <c r="Q71" s="128">
        <f>IF(Table312[[#This Row],[CODE]]=13, Table312[ [#This Row],[Account Deposit Amount] ]-Table312[ [#This Row],[Account Withdrawl Amount] ], )</f>
        <v>0</v>
      </c>
      <c r="R71" s="128">
        <f>IF(Table312[[#This Row],[CODE]]=14, Table312[ [#This Row],[Account Deposit Amount] ]-Table312[ [#This Row],[Account Withdrawl Amount] ], )</f>
        <v>0</v>
      </c>
      <c r="S71" s="128">
        <f>IF(Table312[[#This Row],[CODE]]=15, Table312[ [#This Row],[Account Deposit Amount] ]-Table312[ [#This Row],[Account Withdrawl Amount] ], )</f>
        <v>0</v>
      </c>
      <c r="T71" s="128">
        <f>IF(Table312[[#This Row],[CODE]]=16, Table312[ [#This Row],[Account Deposit Amount] ]-Table312[ [#This Row],[Account Withdrawl Amount] ], )</f>
        <v>0</v>
      </c>
      <c r="U71" s="127">
        <f>IF(Table312[[#This Row],[CODE]]=17, Table312[ [#This Row],[Account Deposit Amount] ]-Table312[ [#This Row],[Account Withdrawl Amount] ], )</f>
        <v>0</v>
      </c>
      <c r="V71" s="166">
        <f>IF(Table312[[#This Row],[CODE]]=18, Table312[ [#This Row],[Account Deposit Amount] ]-Table312[ [#This Row],[Account Withdrawl Amount] ], )</f>
        <v>0</v>
      </c>
    </row>
    <row r="72" spans="1:22" ht="16.2" thickBot="1">
      <c r="A72" s="130"/>
      <c r="B72" s="133"/>
      <c r="C72" s="130"/>
      <c r="D72" s="132"/>
      <c r="E72" s="128"/>
      <c r="F72" s="128"/>
      <c r="G72" s="131">
        <f t="shared" si="4"/>
        <v>17422.709999999995</v>
      </c>
      <c r="H72" s="130"/>
      <c r="I72" s="127">
        <f>IF(Table312[[#This Row],[CODE]]=1, Table312[ [#This Row],[Account Deposit Amount] ]-Table312[ [#This Row],[Account Withdrawl Amount] ], )</f>
        <v>0</v>
      </c>
      <c r="J72" s="129">
        <f>IF(Table312[[#This Row],[CODE]]=2, Table312[ [#This Row],[Account Deposit Amount] ]-Table312[ [#This Row],[Account Withdrawl Amount] ], )</f>
        <v>0</v>
      </c>
      <c r="K72" s="129">
        <f>IF(Table312[[#This Row],[CODE]]=3, Table312[ [#This Row],[Account Deposit Amount] ]-Table312[ [#This Row],[Account Withdrawl Amount] ], )</f>
        <v>0</v>
      </c>
      <c r="L72" s="128">
        <f>IF(Table312[[#This Row],[CODE]]=4, Table312[ [#This Row],[Account Deposit Amount] ]-Table312[ [#This Row],[Account Withdrawl Amount] ], )</f>
        <v>0</v>
      </c>
      <c r="M72" s="128">
        <f>IF(Table312[[#This Row],[CODE]]=5, Table312[ [#This Row],[Account Deposit Amount] ]-Table312[ [#This Row],[Account Withdrawl Amount] ], )</f>
        <v>0</v>
      </c>
      <c r="N72" s="128">
        <f>IF(Table312[[#This Row],[CODE]]=6, Table312[ [#This Row],[Account Deposit Amount] ]-Table312[ [#This Row],[Account Withdrawl Amount] ], )</f>
        <v>0</v>
      </c>
      <c r="O72" s="128">
        <f>IF(Table312[[#This Row],[CODE]]=11, Table312[ [#This Row],[Account Deposit Amount] ]-Table312[ [#This Row],[Account Withdrawl Amount] ], )</f>
        <v>0</v>
      </c>
      <c r="P72" s="128">
        <f>IF(Table312[[#This Row],[CODE]]=12, Table312[ [#This Row],[Account Deposit Amount] ]-Table312[ [#This Row],[Account Withdrawl Amount] ], )</f>
        <v>0</v>
      </c>
      <c r="Q72" s="128">
        <f>IF(Table312[[#This Row],[CODE]]=13, Table312[ [#This Row],[Account Deposit Amount] ]-Table312[ [#This Row],[Account Withdrawl Amount] ], )</f>
        <v>0</v>
      </c>
      <c r="R72" s="128">
        <f>IF(Table312[[#This Row],[CODE]]=14, Table312[ [#This Row],[Account Deposit Amount] ]-Table312[ [#This Row],[Account Withdrawl Amount] ], )</f>
        <v>0</v>
      </c>
      <c r="S72" s="128">
        <f>IF(Table312[[#This Row],[CODE]]=15, Table312[ [#This Row],[Account Deposit Amount] ]-Table312[ [#This Row],[Account Withdrawl Amount] ], )</f>
        <v>0</v>
      </c>
      <c r="T72" s="128">
        <f>IF(Table312[[#This Row],[CODE]]=16, Table312[ [#This Row],[Account Deposit Amount] ]-Table312[ [#This Row],[Account Withdrawl Amount] ], )</f>
        <v>0</v>
      </c>
      <c r="U72" s="127">
        <f>IF(Table312[[#This Row],[CODE]]=17, Table312[ [#This Row],[Account Deposit Amount] ]-Table312[ [#This Row],[Account Withdrawl Amount] ], )</f>
        <v>0</v>
      </c>
      <c r="V72" s="166">
        <f>IF(Table312[[#This Row],[CODE]]=18, Table312[ [#This Row],[Account Deposit Amount] ]-Table312[ [#This Row],[Account Withdrawl Amount] ], )</f>
        <v>0</v>
      </c>
    </row>
    <row r="73" spans="1:22" ht="16.2" thickBot="1">
      <c r="A73" s="130"/>
      <c r="B73" s="133"/>
      <c r="C73" s="130"/>
      <c r="D73" s="132"/>
      <c r="E73" s="128"/>
      <c r="F73" s="128"/>
      <c r="G73" s="131">
        <f t="shared" si="4"/>
        <v>17422.709999999995</v>
      </c>
      <c r="H73" s="130"/>
      <c r="I73" s="127">
        <f>IF(Table312[[#This Row],[CODE]]=1, Table312[ [#This Row],[Account Deposit Amount] ]-Table312[ [#This Row],[Account Withdrawl Amount] ], )</f>
        <v>0</v>
      </c>
      <c r="J73" s="129">
        <f>IF(Table312[[#This Row],[CODE]]=2, Table312[ [#This Row],[Account Deposit Amount] ]-Table312[ [#This Row],[Account Withdrawl Amount] ], )</f>
        <v>0</v>
      </c>
      <c r="K73" s="129">
        <f>IF(Table312[[#This Row],[CODE]]=3, Table312[ [#This Row],[Account Deposit Amount] ]-Table312[ [#This Row],[Account Withdrawl Amount] ], )</f>
        <v>0</v>
      </c>
      <c r="L73" s="128">
        <f>IF(Table312[[#This Row],[CODE]]=4, Table312[ [#This Row],[Account Deposit Amount] ]-Table312[ [#This Row],[Account Withdrawl Amount] ], )</f>
        <v>0</v>
      </c>
      <c r="M73" s="128">
        <f>IF(Table312[[#This Row],[CODE]]=5, Table312[ [#This Row],[Account Deposit Amount] ]-Table312[ [#This Row],[Account Withdrawl Amount] ], )</f>
        <v>0</v>
      </c>
      <c r="N73" s="128">
        <f>IF(Table312[[#This Row],[CODE]]=6, Table312[ [#This Row],[Account Deposit Amount] ]-Table312[ [#This Row],[Account Withdrawl Amount] ], )</f>
        <v>0</v>
      </c>
      <c r="O73" s="128">
        <f>IF(Table312[[#This Row],[CODE]]=11, Table312[ [#This Row],[Account Deposit Amount] ]-Table312[ [#This Row],[Account Withdrawl Amount] ], )</f>
        <v>0</v>
      </c>
      <c r="P73" s="128">
        <f>IF(Table312[[#This Row],[CODE]]=12, Table312[ [#This Row],[Account Deposit Amount] ]-Table312[ [#This Row],[Account Withdrawl Amount] ], )</f>
        <v>0</v>
      </c>
      <c r="Q73" s="128">
        <f>IF(Table312[[#This Row],[CODE]]=13, Table312[ [#This Row],[Account Deposit Amount] ]-Table312[ [#This Row],[Account Withdrawl Amount] ], )</f>
        <v>0</v>
      </c>
      <c r="R73" s="128">
        <f>IF(Table312[[#This Row],[CODE]]=14, Table312[ [#This Row],[Account Deposit Amount] ]-Table312[ [#This Row],[Account Withdrawl Amount] ], )</f>
        <v>0</v>
      </c>
      <c r="S73" s="128">
        <f>IF(Table312[[#This Row],[CODE]]=15, Table312[ [#This Row],[Account Deposit Amount] ]-Table312[ [#This Row],[Account Withdrawl Amount] ], )</f>
        <v>0</v>
      </c>
      <c r="T73" s="128">
        <f>IF(Table312[[#This Row],[CODE]]=16, Table312[ [#This Row],[Account Deposit Amount] ]-Table312[ [#This Row],[Account Withdrawl Amount] ], )</f>
        <v>0</v>
      </c>
      <c r="U73" s="127">
        <f>IF(Table312[[#This Row],[CODE]]=17, Table312[ [#This Row],[Account Deposit Amount] ]-Table312[ [#This Row],[Account Withdrawl Amount] ], )</f>
        <v>0</v>
      </c>
      <c r="V73" s="166">
        <f>IF(Table312[[#This Row],[CODE]]=18, Table312[ [#This Row],[Account Deposit Amount] ]-Table312[ [#This Row],[Account Withdrawl Amount] ], )</f>
        <v>0</v>
      </c>
    </row>
    <row r="74" spans="1:22" ht="16.2" thickBot="1">
      <c r="A74" s="130"/>
      <c r="B74" s="133"/>
      <c r="C74" s="130"/>
      <c r="D74" s="132"/>
      <c r="E74" s="128"/>
      <c r="F74" s="128"/>
      <c r="G74" s="131">
        <f t="shared" si="4"/>
        <v>17422.709999999995</v>
      </c>
      <c r="H74" s="130"/>
      <c r="I74" s="127">
        <f>IF(Table312[[#This Row],[CODE]]=1, Table312[ [#This Row],[Account Deposit Amount] ]-Table312[ [#This Row],[Account Withdrawl Amount] ], )</f>
        <v>0</v>
      </c>
      <c r="J74" s="129">
        <f>IF(Table312[[#This Row],[CODE]]=2, Table312[ [#This Row],[Account Deposit Amount] ]-Table312[ [#This Row],[Account Withdrawl Amount] ], )</f>
        <v>0</v>
      </c>
      <c r="K74" s="129">
        <f>IF(Table312[[#This Row],[CODE]]=3, Table312[ [#This Row],[Account Deposit Amount] ]-Table312[ [#This Row],[Account Withdrawl Amount] ], )</f>
        <v>0</v>
      </c>
      <c r="L74" s="128">
        <f>IF(Table312[[#This Row],[CODE]]=4, Table312[ [#This Row],[Account Deposit Amount] ]-Table312[ [#This Row],[Account Withdrawl Amount] ], )</f>
        <v>0</v>
      </c>
      <c r="M74" s="128">
        <f>IF(Table312[[#This Row],[CODE]]=5, Table312[ [#This Row],[Account Deposit Amount] ]-Table312[ [#This Row],[Account Withdrawl Amount] ], )</f>
        <v>0</v>
      </c>
      <c r="N74" s="128">
        <f>IF(Table312[[#This Row],[CODE]]=6, Table312[ [#This Row],[Account Deposit Amount] ]-Table312[ [#This Row],[Account Withdrawl Amount] ], )</f>
        <v>0</v>
      </c>
      <c r="O74" s="128">
        <f>IF(Table312[[#This Row],[CODE]]=11, Table312[ [#This Row],[Account Deposit Amount] ]-Table312[ [#This Row],[Account Withdrawl Amount] ], )</f>
        <v>0</v>
      </c>
      <c r="P74" s="128">
        <f>IF(Table312[[#This Row],[CODE]]=12, Table312[ [#This Row],[Account Deposit Amount] ]-Table312[ [#This Row],[Account Withdrawl Amount] ], )</f>
        <v>0</v>
      </c>
      <c r="Q74" s="128">
        <f>IF(Table312[[#This Row],[CODE]]=13, Table312[ [#This Row],[Account Deposit Amount] ]-Table312[ [#This Row],[Account Withdrawl Amount] ], )</f>
        <v>0</v>
      </c>
      <c r="R74" s="128">
        <f>IF(Table312[[#This Row],[CODE]]=14, Table312[ [#This Row],[Account Deposit Amount] ]-Table312[ [#This Row],[Account Withdrawl Amount] ], )</f>
        <v>0</v>
      </c>
      <c r="S74" s="128">
        <f>IF(Table312[[#This Row],[CODE]]=15, Table312[ [#This Row],[Account Deposit Amount] ]-Table312[ [#This Row],[Account Withdrawl Amount] ], )</f>
        <v>0</v>
      </c>
      <c r="T74" s="128">
        <f>IF(Table312[[#This Row],[CODE]]=16, Table312[ [#This Row],[Account Deposit Amount] ]-Table312[ [#This Row],[Account Withdrawl Amount] ], )</f>
        <v>0</v>
      </c>
      <c r="U74" s="127">
        <f>IF(Table312[[#This Row],[CODE]]=17, Table312[ [#This Row],[Account Deposit Amount] ]-Table312[ [#This Row],[Account Withdrawl Amount] ], )</f>
        <v>0</v>
      </c>
      <c r="V74" s="166">
        <f>IF(Table312[[#This Row],[CODE]]=18, Table312[ [#This Row],[Account Deposit Amount] ]-Table312[ [#This Row],[Account Withdrawl Amount] ], )</f>
        <v>0</v>
      </c>
    </row>
    <row r="75" spans="1:22" ht="16.2" thickBot="1">
      <c r="A75" s="130"/>
      <c r="B75" s="133"/>
      <c r="C75" s="130"/>
      <c r="D75" s="132"/>
      <c r="E75" s="128"/>
      <c r="F75" s="128"/>
      <c r="G75" s="131">
        <f t="shared" si="4"/>
        <v>17422.709999999995</v>
      </c>
      <c r="H75" s="130"/>
      <c r="I75" s="127">
        <f>IF(Table312[[#This Row],[CODE]]=1, Table312[ [#This Row],[Account Deposit Amount] ]-Table312[ [#This Row],[Account Withdrawl Amount] ], )</f>
        <v>0</v>
      </c>
      <c r="J75" s="129">
        <f>IF(Table312[[#This Row],[CODE]]=2, Table312[ [#This Row],[Account Deposit Amount] ]-Table312[ [#This Row],[Account Withdrawl Amount] ], )</f>
        <v>0</v>
      </c>
      <c r="K75" s="129">
        <f>IF(Table312[[#This Row],[CODE]]=3, Table312[ [#This Row],[Account Deposit Amount] ]-Table312[ [#This Row],[Account Withdrawl Amount] ], )</f>
        <v>0</v>
      </c>
      <c r="L75" s="128">
        <f>IF(Table312[[#This Row],[CODE]]=4, Table312[ [#This Row],[Account Deposit Amount] ]-Table312[ [#This Row],[Account Withdrawl Amount] ], )</f>
        <v>0</v>
      </c>
      <c r="M75" s="128">
        <f>IF(Table312[[#This Row],[CODE]]=5, Table312[ [#This Row],[Account Deposit Amount] ]-Table312[ [#This Row],[Account Withdrawl Amount] ], )</f>
        <v>0</v>
      </c>
      <c r="N75" s="128">
        <f>IF(Table312[[#This Row],[CODE]]=6, Table312[ [#This Row],[Account Deposit Amount] ]-Table312[ [#This Row],[Account Withdrawl Amount] ], )</f>
        <v>0</v>
      </c>
      <c r="O75" s="128">
        <f>IF(Table312[[#This Row],[CODE]]=11, Table312[ [#This Row],[Account Deposit Amount] ]-Table312[ [#This Row],[Account Withdrawl Amount] ], )</f>
        <v>0</v>
      </c>
      <c r="P75" s="128">
        <f>IF(Table312[[#This Row],[CODE]]=12, Table312[ [#This Row],[Account Deposit Amount] ]-Table312[ [#This Row],[Account Withdrawl Amount] ], )</f>
        <v>0</v>
      </c>
      <c r="Q75" s="128">
        <f>IF(Table312[[#This Row],[CODE]]=13, Table312[ [#This Row],[Account Deposit Amount] ]-Table312[ [#This Row],[Account Withdrawl Amount] ], )</f>
        <v>0</v>
      </c>
      <c r="R75" s="128">
        <f>IF(Table312[[#This Row],[CODE]]=14, Table312[ [#This Row],[Account Deposit Amount] ]-Table312[ [#This Row],[Account Withdrawl Amount] ], )</f>
        <v>0</v>
      </c>
      <c r="S75" s="128">
        <f>IF(Table312[[#This Row],[CODE]]=15, Table312[ [#This Row],[Account Deposit Amount] ]-Table312[ [#This Row],[Account Withdrawl Amount] ], )</f>
        <v>0</v>
      </c>
      <c r="T75" s="128">
        <f>IF(Table312[[#This Row],[CODE]]=16, Table312[ [#This Row],[Account Deposit Amount] ]-Table312[ [#This Row],[Account Withdrawl Amount] ], )</f>
        <v>0</v>
      </c>
      <c r="U75" s="127">
        <f>IF(Table312[[#This Row],[CODE]]=17, Table312[ [#This Row],[Account Deposit Amount] ]-Table312[ [#This Row],[Account Withdrawl Amount] ], )</f>
        <v>0</v>
      </c>
      <c r="V75" s="166">
        <f>IF(Table312[[#This Row],[CODE]]=18, Table312[ [#This Row],[Account Deposit Amount] ]-Table312[ [#This Row],[Account Withdrawl Amount] ], )</f>
        <v>0</v>
      </c>
    </row>
    <row r="76" spans="1:22" ht="16.2" thickBot="1">
      <c r="A76" s="130"/>
      <c r="B76" s="133"/>
      <c r="C76" s="130"/>
      <c r="D76" s="132"/>
      <c r="E76" s="128"/>
      <c r="F76" s="128"/>
      <c r="G76" s="131">
        <f t="shared" si="4"/>
        <v>17422.709999999995</v>
      </c>
      <c r="H76" s="130"/>
      <c r="I76" s="127">
        <f>IF(Table312[[#This Row],[CODE]]=1, Table312[ [#This Row],[Account Deposit Amount] ]-Table312[ [#This Row],[Account Withdrawl Amount] ], )</f>
        <v>0</v>
      </c>
      <c r="J76" s="129">
        <f>IF(Table312[[#This Row],[CODE]]=2, Table312[ [#This Row],[Account Deposit Amount] ]-Table312[ [#This Row],[Account Withdrawl Amount] ], )</f>
        <v>0</v>
      </c>
      <c r="K76" s="129">
        <f>IF(Table312[[#This Row],[CODE]]=3, Table312[ [#This Row],[Account Deposit Amount] ]-Table312[ [#This Row],[Account Withdrawl Amount] ], )</f>
        <v>0</v>
      </c>
      <c r="L76" s="128">
        <f>IF(Table312[[#This Row],[CODE]]=4, Table312[ [#This Row],[Account Deposit Amount] ]-Table312[ [#This Row],[Account Withdrawl Amount] ], )</f>
        <v>0</v>
      </c>
      <c r="M76" s="128">
        <f>IF(Table312[[#This Row],[CODE]]=5, Table312[ [#This Row],[Account Deposit Amount] ]-Table312[ [#This Row],[Account Withdrawl Amount] ], )</f>
        <v>0</v>
      </c>
      <c r="N76" s="128">
        <f>IF(Table312[[#This Row],[CODE]]=6, Table312[ [#This Row],[Account Deposit Amount] ]-Table312[ [#This Row],[Account Withdrawl Amount] ], )</f>
        <v>0</v>
      </c>
      <c r="O76" s="128">
        <f>IF(Table312[[#This Row],[CODE]]=11, Table312[ [#This Row],[Account Deposit Amount] ]-Table312[ [#This Row],[Account Withdrawl Amount] ], )</f>
        <v>0</v>
      </c>
      <c r="P76" s="128">
        <f>IF(Table312[[#This Row],[CODE]]=12, Table312[ [#This Row],[Account Deposit Amount] ]-Table312[ [#This Row],[Account Withdrawl Amount] ], )</f>
        <v>0</v>
      </c>
      <c r="Q76" s="128">
        <f>IF(Table312[[#This Row],[CODE]]=13, Table312[ [#This Row],[Account Deposit Amount] ]-Table312[ [#This Row],[Account Withdrawl Amount] ], )</f>
        <v>0</v>
      </c>
      <c r="R76" s="128">
        <f>IF(Table312[[#This Row],[CODE]]=14, Table312[ [#This Row],[Account Deposit Amount] ]-Table312[ [#This Row],[Account Withdrawl Amount] ], )</f>
        <v>0</v>
      </c>
      <c r="S76" s="128">
        <f>IF(Table312[[#This Row],[CODE]]=15, Table312[ [#This Row],[Account Deposit Amount] ]-Table312[ [#This Row],[Account Withdrawl Amount] ], )</f>
        <v>0</v>
      </c>
      <c r="T76" s="128">
        <f>IF(Table312[[#This Row],[CODE]]=16, Table312[ [#This Row],[Account Deposit Amount] ]-Table312[ [#This Row],[Account Withdrawl Amount] ], )</f>
        <v>0</v>
      </c>
      <c r="U76" s="127">
        <f>IF(Table312[[#This Row],[CODE]]=17, Table312[ [#This Row],[Account Deposit Amount] ]-Table312[ [#This Row],[Account Withdrawl Amount] ], )</f>
        <v>0</v>
      </c>
      <c r="V76" s="166">
        <f>IF(Table312[[#This Row],[CODE]]=18, Table312[ [#This Row],[Account Deposit Amount] ]-Table312[ [#This Row],[Account Withdrawl Amount] ], )</f>
        <v>0</v>
      </c>
    </row>
    <row r="77" spans="1:22" ht="16.2" thickBot="1">
      <c r="A77" s="130"/>
      <c r="B77" s="133"/>
      <c r="C77" s="130"/>
      <c r="D77" s="132"/>
      <c r="E77" s="128"/>
      <c r="F77" s="128"/>
      <c r="G77" s="131">
        <f t="shared" si="4"/>
        <v>17422.709999999995</v>
      </c>
      <c r="H77" s="130"/>
      <c r="I77" s="127">
        <f>IF(Table312[[#This Row],[CODE]]=1, Table312[ [#This Row],[Account Deposit Amount] ]-Table312[ [#This Row],[Account Withdrawl Amount] ], )</f>
        <v>0</v>
      </c>
      <c r="J77" s="129">
        <f>IF(Table312[[#This Row],[CODE]]=2, Table312[ [#This Row],[Account Deposit Amount] ]-Table312[ [#This Row],[Account Withdrawl Amount] ], )</f>
        <v>0</v>
      </c>
      <c r="K77" s="129">
        <f>IF(Table312[[#This Row],[CODE]]=3, Table312[ [#This Row],[Account Deposit Amount] ]-Table312[ [#This Row],[Account Withdrawl Amount] ], )</f>
        <v>0</v>
      </c>
      <c r="L77" s="128">
        <f>IF(Table312[[#This Row],[CODE]]=4, Table312[ [#This Row],[Account Deposit Amount] ]-Table312[ [#This Row],[Account Withdrawl Amount] ], )</f>
        <v>0</v>
      </c>
      <c r="M77" s="128">
        <f>IF(Table312[[#This Row],[CODE]]=5, Table312[ [#This Row],[Account Deposit Amount] ]-Table312[ [#This Row],[Account Withdrawl Amount] ], )</f>
        <v>0</v>
      </c>
      <c r="N77" s="128">
        <f>IF(Table312[[#This Row],[CODE]]=6, Table312[ [#This Row],[Account Deposit Amount] ]-Table312[ [#This Row],[Account Withdrawl Amount] ], )</f>
        <v>0</v>
      </c>
      <c r="O77" s="128">
        <f>IF(Table312[[#This Row],[CODE]]=11, Table312[ [#This Row],[Account Deposit Amount] ]-Table312[ [#This Row],[Account Withdrawl Amount] ], )</f>
        <v>0</v>
      </c>
      <c r="P77" s="128">
        <f>IF(Table312[[#This Row],[CODE]]=12, Table312[ [#This Row],[Account Deposit Amount] ]-Table312[ [#This Row],[Account Withdrawl Amount] ], )</f>
        <v>0</v>
      </c>
      <c r="Q77" s="128">
        <f>IF(Table312[[#This Row],[CODE]]=13, Table312[ [#This Row],[Account Deposit Amount] ]-Table312[ [#This Row],[Account Withdrawl Amount] ], )</f>
        <v>0</v>
      </c>
      <c r="R77" s="128">
        <f>IF(Table312[[#This Row],[CODE]]=14, Table312[ [#This Row],[Account Deposit Amount] ]-Table312[ [#This Row],[Account Withdrawl Amount] ], )</f>
        <v>0</v>
      </c>
      <c r="S77" s="128">
        <f>IF(Table312[[#This Row],[CODE]]=15, Table312[ [#This Row],[Account Deposit Amount] ]-Table312[ [#This Row],[Account Withdrawl Amount] ], )</f>
        <v>0</v>
      </c>
      <c r="T77" s="128">
        <f>IF(Table312[[#This Row],[CODE]]=16, Table312[ [#This Row],[Account Deposit Amount] ]-Table312[ [#This Row],[Account Withdrawl Amount] ], )</f>
        <v>0</v>
      </c>
      <c r="U77" s="127">
        <f>IF(Table312[[#This Row],[CODE]]=17, Table312[ [#This Row],[Account Deposit Amount] ]-Table312[ [#This Row],[Account Withdrawl Amount] ], )</f>
        <v>0</v>
      </c>
      <c r="V77" s="166">
        <f>IF(Table312[[#This Row],[CODE]]=18, Table312[ [#This Row],[Account Deposit Amount] ]-Table312[ [#This Row],[Account Withdrawl Amount] ], )</f>
        <v>0</v>
      </c>
    </row>
    <row r="78" spans="1:22" ht="16.2" thickBot="1">
      <c r="A78" s="130"/>
      <c r="B78" s="133"/>
      <c r="C78" s="130"/>
      <c r="D78" s="132"/>
      <c r="E78" s="128"/>
      <c r="F78" s="128"/>
      <c r="G78" s="131">
        <f t="shared" si="4"/>
        <v>17422.709999999995</v>
      </c>
      <c r="H78" s="130"/>
      <c r="I78" s="127">
        <f>IF(Table312[[#This Row],[CODE]]=1, Table312[ [#This Row],[Account Deposit Amount] ]-Table312[ [#This Row],[Account Withdrawl Amount] ], )</f>
        <v>0</v>
      </c>
      <c r="J78" s="129">
        <f>IF(Table312[[#This Row],[CODE]]=2, Table312[ [#This Row],[Account Deposit Amount] ]-Table312[ [#This Row],[Account Withdrawl Amount] ], )</f>
        <v>0</v>
      </c>
      <c r="K78" s="129">
        <f>IF(Table312[[#This Row],[CODE]]=3, Table312[ [#This Row],[Account Deposit Amount] ]-Table312[ [#This Row],[Account Withdrawl Amount] ], )</f>
        <v>0</v>
      </c>
      <c r="L78" s="128">
        <f>IF(Table312[[#This Row],[CODE]]=4, Table312[ [#This Row],[Account Deposit Amount] ]-Table312[ [#This Row],[Account Withdrawl Amount] ], )</f>
        <v>0</v>
      </c>
      <c r="M78" s="128">
        <f>IF(Table312[[#This Row],[CODE]]=5, Table312[ [#This Row],[Account Deposit Amount] ]-Table312[ [#This Row],[Account Withdrawl Amount] ], )</f>
        <v>0</v>
      </c>
      <c r="N78" s="128">
        <f>IF(Table312[[#This Row],[CODE]]=6, Table312[ [#This Row],[Account Deposit Amount] ]-Table312[ [#This Row],[Account Withdrawl Amount] ], )</f>
        <v>0</v>
      </c>
      <c r="O78" s="128">
        <f>IF(Table312[[#This Row],[CODE]]=11, Table312[ [#This Row],[Account Deposit Amount] ]-Table312[ [#This Row],[Account Withdrawl Amount] ], )</f>
        <v>0</v>
      </c>
      <c r="P78" s="128">
        <f>IF(Table312[[#This Row],[CODE]]=12, Table312[ [#This Row],[Account Deposit Amount] ]-Table312[ [#This Row],[Account Withdrawl Amount] ], )</f>
        <v>0</v>
      </c>
      <c r="Q78" s="128">
        <f>IF(Table312[[#This Row],[CODE]]=13, Table312[ [#This Row],[Account Deposit Amount] ]-Table312[ [#This Row],[Account Withdrawl Amount] ], )</f>
        <v>0</v>
      </c>
      <c r="R78" s="128">
        <f>IF(Table312[[#This Row],[CODE]]=14, Table312[ [#This Row],[Account Deposit Amount] ]-Table312[ [#This Row],[Account Withdrawl Amount] ], )</f>
        <v>0</v>
      </c>
      <c r="S78" s="128">
        <f>IF(Table312[[#This Row],[CODE]]=15, Table312[ [#This Row],[Account Deposit Amount] ]-Table312[ [#This Row],[Account Withdrawl Amount] ], )</f>
        <v>0</v>
      </c>
      <c r="T78" s="128">
        <f>IF(Table312[[#This Row],[CODE]]=16, Table312[ [#This Row],[Account Deposit Amount] ]-Table312[ [#This Row],[Account Withdrawl Amount] ], )</f>
        <v>0</v>
      </c>
      <c r="U78" s="127">
        <f>IF(Table312[[#This Row],[CODE]]=17, Table312[ [#This Row],[Account Deposit Amount] ]-Table312[ [#This Row],[Account Withdrawl Amount] ], )</f>
        <v>0</v>
      </c>
      <c r="V78" s="166">
        <f>IF(Table312[[#This Row],[CODE]]=18, Table312[ [#This Row],[Account Deposit Amount] ]-Table312[ [#This Row],[Account Withdrawl Amount] ], )</f>
        <v>0</v>
      </c>
    </row>
    <row r="79" spans="1:22" ht="16.2" thickBot="1">
      <c r="A79" s="130"/>
      <c r="B79" s="133"/>
      <c r="C79" s="130"/>
      <c r="D79" s="132"/>
      <c r="E79" s="128"/>
      <c r="F79" s="128"/>
      <c r="G79" s="131">
        <f t="shared" si="4"/>
        <v>17422.709999999995</v>
      </c>
      <c r="H79" s="130"/>
      <c r="I79" s="127">
        <f>IF(Table312[[#This Row],[CODE]]=1, Table312[ [#This Row],[Account Deposit Amount] ]-Table312[ [#This Row],[Account Withdrawl Amount] ], )</f>
        <v>0</v>
      </c>
      <c r="J79" s="129">
        <f>IF(Table312[[#This Row],[CODE]]=2, Table312[ [#This Row],[Account Deposit Amount] ]-Table312[ [#This Row],[Account Withdrawl Amount] ], )</f>
        <v>0</v>
      </c>
      <c r="K79" s="129">
        <f>IF(Table312[[#This Row],[CODE]]=3, Table312[ [#This Row],[Account Deposit Amount] ]-Table312[ [#This Row],[Account Withdrawl Amount] ], )</f>
        <v>0</v>
      </c>
      <c r="L79" s="128">
        <f>IF(Table312[[#This Row],[CODE]]=4, Table312[ [#This Row],[Account Deposit Amount] ]-Table312[ [#This Row],[Account Withdrawl Amount] ], )</f>
        <v>0</v>
      </c>
      <c r="M79" s="128">
        <f>IF(Table312[[#This Row],[CODE]]=5, Table312[ [#This Row],[Account Deposit Amount] ]-Table312[ [#This Row],[Account Withdrawl Amount] ], )</f>
        <v>0</v>
      </c>
      <c r="N79" s="128">
        <f>IF(Table312[[#This Row],[CODE]]=6, Table312[ [#This Row],[Account Deposit Amount] ]-Table312[ [#This Row],[Account Withdrawl Amount] ], )</f>
        <v>0</v>
      </c>
      <c r="O79" s="128">
        <f>IF(Table312[[#This Row],[CODE]]=11, Table312[ [#This Row],[Account Deposit Amount] ]-Table312[ [#This Row],[Account Withdrawl Amount] ], )</f>
        <v>0</v>
      </c>
      <c r="P79" s="128">
        <f>IF(Table312[[#This Row],[CODE]]=12, Table312[ [#This Row],[Account Deposit Amount] ]-Table312[ [#This Row],[Account Withdrawl Amount] ], )</f>
        <v>0</v>
      </c>
      <c r="Q79" s="128">
        <f>IF(Table312[[#This Row],[CODE]]=13, Table312[ [#This Row],[Account Deposit Amount] ]-Table312[ [#This Row],[Account Withdrawl Amount] ], )</f>
        <v>0</v>
      </c>
      <c r="R79" s="128">
        <f>IF(Table312[[#This Row],[CODE]]=14, Table312[ [#This Row],[Account Deposit Amount] ]-Table312[ [#This Row],[Account Withdrawl Amount] ], )</f>
        <v>0</v>
      </c>
      <c r="S79" s="128">
        <f>IF(Table312[[#This Row],[CODE]]=15, Table312[ [#This Row],[Account Deposit Amount] ]-Table312[ [#This Row],[Account Withdrawl Amount] ], )</f>
        <v>0</v>
      </c>
      <c r="T79" s="128">
        <f>IF(Table312[[#This Row],[CODE]]=16, Table312[ [#This Row],[Account Deposit Amount] ]-Table312[ [#This Row],[Account Withdrawl Amount] ], )</f>
        <v>0</v>
      </c>
      <c r="U79" s="127">
        <f>IF(Table312[[#This Row],[CODE]]=17, Table312[ [#This Row],[Account Deposit Amount] ]-Table312[ [#This Row],[Account Withdrawl Amount] ], )</f>
        <v>0</v>
      </c>
      <c r="V79" s="166">
        <f>IF(Table312[[#This Row],[CODE]]=18, Table312[ [#This Row],[Account Deposit Amount] ]-Table312[ [#This Row],[Account Withdrawl Amount] ], )</f>
        <v>0</v>
      </c>
    </row>
    <row r="80" spans="1:22" ht="16.2" thickBot="1">
      <c r="A80" s="130"/>
      <c r="B80" s="133"/>
      <c r="C80" s="130"/>
      <c r="D80" s="132"/>
      <c r="E80" s="128"/>
      <c r="F80" s="128"/>
      <c r="G80" s="131">
        <f t="shared" si="4"/>
        <v>17422.709999999995</v>
      </c>
      <c r="H80" s="130"/>
      <c r="I80" s="127">
        <f>IF(Table312[[#This Row],[CODE]]=1, Table312[ [#This Row],[Account Deposit Amount] ]-Table312[ [#This Row],[Account Withdrawl Amount] ], )</f>
        <v>0</v>
      </c>
      <c r="J80" s="129">
        <f>IF(Table312[[#This Row],[CODE]]=2, Table312[ [#This Row],[Account Deposit Amount] ]-Table312[ [#This Row],[Account Withdrawl Amount] ], )</f>
        <v>0</v>
      </c>
      <c r="K80" s="129">
        <f>IF(Table312[[#This Row],[CODE]]=3, Table312[ [#This Row],[Account Deposit Amount] ]-Table312[ [#This Row],[Account Withdrawl Amount] ], )</f>
        <v>0</v>
      </c>
      <c r="L80" s="128">
        <f>IF(Table312[[#This Row],[CODE]]=4, Table312[ [#This Row],[Account Deposit Amount] ]-Table312[ [#This Row],[Account Withdrawl Amount] ], )</f>
        <v>0</v>
      </c>
      <c r="M80" s="128">
        <f>IF(Table312[[#This Row],[CODE]]=5, Table312[ [#This Row],[Account Deposit Amount] ]-Table312[ [#This Row],[Account Withdrawl Amount] ], )</f>
        <v>0</v>
      </c>
      <c r="N80" s="128">
        <f>IF(Table312[[#This Row],[CODE]]=6, Table312[ [#This Row],[Account Deposit Amount] ]-Table312[ [#This Row],[Account Withdrawl Amount] ], )</f>
        <v>0</v>
      </c>
      <c r="O80" s="128">
        <f>IF(Table312[[#This Row],[CODE]]=11, Table312[ [#This Row],[Account Deposit Amount] ]-Table312[ [#This Row],[Account Withdrawl Amount] ], )</f>
        <v>0</v>
      </c>
      <c r="P80" s="128">
        <f>IF(Table312[[#This Row],[CODE]]=12, Table312[ [#This Row],[Account Deposit Amount] ]-Table312[ [#This Row],[Account Withdrawl Amount] ], )</f>
        <v>0</v>
      </c>
      <c r="Q80" s="128">
        <f>IF(Table312[[#This Row],[CODE]]=13, Table312[ [#This Row],[Account Deposit Amount] ]-Table312[ [#This Row],[Account Withdrawl Amount] ], )</f>
        <v>0</v>
      </c>
      <c r="R80" s="128">
        <f>IF(Table312[[#This Row],[CODE]]=14, Table312[ [#This Row],[Account Deposit Amount] ]-Table312[ [#This Row],[Account Withdrawl Amount] ], )</f>
        <v>0</v>
      </c>
      <c r="S80" s="128">
        <f>IF(Table312[[#This Row],[CODE]]=15, Table312[ [#This Row],[Account Deposit Amount] ]-Table312[ [#This Row],[Account Withdrawl Amount] ], )</f>
        <v>0</v>
      </c>
      <c r="T80" s="128">
        <f>IF(Table312[[#This Row],[CODE]]=16, Table312[ [#This Row],[Account Deposit Amount] ]-Table312[ [#This Row],[Account Withdrawl Amount] ], )</f>
        <v>0</v>
      </c>
      <c r="U80" s="127">
        <f>IF(Table312[[#This Row],[CODE]]=17, Table312[ [#This Row],[Account Deposit Amount] ]-Table312[ [#This Row],[Account Withdrawl Amount] ], )</f>
        <v>0</v>
      </c>
      <c r="V80" s="166">
        <f>IF(Table312[[#This Row],[CODE]]=18, Table312[ [#This Row],[Account Deposit Amount] ]-Table312[ [#This Row],[Account Withdrawl Amount] ], )</f>
        <v>0</v>
      </c>
    </row>
    <row r="81" spans="1:22" ht="16.2" thickBot="1">
      <c r="A81" s="130"/>
      <c r="B81" s="133"/>
      <c r="C81" s="130"/>
      <c r="D81" s="132"/>
      <c r="E81" s="128"/>
      <c r="F81" s="128"/>
      <c r="G81" s="131">
        <f t="shared" si="4"/>
        <v>17422.709999999995</v>
      </c>
      <c r="H81" s="130"/>
      <c r="I81" s="127">
        <f>IF(Table312[[#This Row],[CODE]]=1, Table312[ [#This Row],[Account Deposit Amount] ]-Table312[ [#This Row],[Account Withdrawl Amount] ], )</f>
        <v>0</v>
      </c>
      <c r="J81" s="129">
        <f>IF(Table312[[#This Row],[CODE]]=2, Table312[ [#This Row],[Account Deposit Amount] ]-Table312[ [#This Row],[Account Withdrawl Amount] ], )</f>
        <v>0</v>
      </c>
      <c r="K81" s="129">
        <f>IF(Table312[[#This Row],[CODE]]=3, Table312[ [#This Row],[Account Deposit Amount] ]-Table312[ [#This Row],[Account Withdrawl Amount] ], )</f>
        <v>0</v>
      </c>
      <c r="L81" s="128">
        <f>IF(Table312[[#This Row],[CODE]]=4, Table312[ [#This Row],[Account Deposit Amount] ]-Table312[ [#This Row],[Account Withdrawl Amount] ], )</f>
        <v>0</v>
      </c>
      <c r="M81" s="128">
        <f>IF(Table312[[#This Row],[CODE]]=5, Table312[ [#This Row],[Account Deposit Amount] ]-Table312[ [#This Row],[Account Withdrawl Amount] ], )</f>
        <v>0</v>
      </c>
      <c r="N81" s="128">
        <f>IF(Table312[[#This Row],[CODE]]=6, Table312[ [#This Row],[Account Deposit Amount] ]-Table312[ [#This Row],[Account Withdrawl Amount] ], )</f>
        <v>0</v>
      </c>
      <c r="O81" s="128">
        <f>IF(Table312[[#This Row],[CODE]]=11, Table312[ [#This Row],[Account Deposit Amount] ]-Table312[ [#This Row],[Account Withdrawl Amount] ], )</f>
        <v>0</v>
      </c>
      <c r="P81" s="128">
        <f>IF(Table312[[#This Row],[CODE]]=12, Table312[ [#This Row],[Account Deposit Amount] ]-Table312[ [#This Row],[Account Withdrawl Amount] ], )</f>
        <v>0</v>
      </c>
      <c r="Q81" s="128">
        <f>IF(Table312[[#This Row],[CODE]]=13, Table312[ [#This Row],[Account Deposit Amount] ]-Table312[ [#This Row],[Account Withdrawl Amount] ], )</f>
        <v>0</v>
      </c>
      <c r="R81" s="128">
        <f>IF(Table312[[#This Row],[CODE]]=14, Table312[ [#This Row],[Account Deposit Amount] ]-Table312[ [#This Row],[Account Withdrawl Amount] ], )</f>
        <v>0</v>
      </c>
      <c r="S81" s="128">
        <f>IF(Table312[[#This Row],[CODE]]=15, Table312[ [#This Row],[Account Deposit Amount] ]-Table312[ [#This Row],[Account Withdrawl Amount] ], )</f>
        <v>0</v>
      </c>
      <c r="T81" s="128">
        <f>IF(Table312[[#This Row],[CODE]]=16, Table312[ [#This Row],[Account Deposit Amount] ]-Table312[ [#This Row],[Account Withdrawl Amount] ], )</f>
        <v>0</v>
      </c>
      <c r="U81" s="127">
        <f>IF(Table312[[#This Row],[CODE]]=17, Table312[ [#This Row],[Account Deposit Amount] ]-Table312[ [#This Row],[Account Withdrawl Amount] ], )</f>
        <v>0</v>
      </c>
      <c r="V81" s="166">
        <f>IF(Table312[[#This Row],[CODE]]=18, Table312[ [#This Row],[Account Deposit Amount] ]-Table312[ [#This Row],[Account Withdrawl Amount] ], )</f>
        <v>0</v>
      </c>
    </row>
    <row r="82" spans="1:22" ht="16.2" thickBot="1">
      <c r="A82" s="130"/>
      <c r="B82" s="133"/>
      <c r="C82" s="130"/>
      <c r="D82" s="132"/>
      <c r="E82" s="128"/>
      <c r="F82" s="128"/>
      <c r="G82" s="131">
        <f t="shared" si="4"/>
        <v>17422.709999999995</v>
      </c>
      <c r="H82" s="130"/>
      <c r="I82" s="127">
        <f>IF(Table312[[#This Row],[CODE]]=1, Table312[ [#This Row],[Account Deposit Amount] ]-Table312[ [#This Row],[Account Withdrawl Amount] ], )</f>
        <v>0</v>
      </c>
      <c r="J82" s="129">
        <f>IF(Table312[[#This Row],[CODE]]=2, Table312[ [#This Row],[Account Deposit Amount] ]-Table312[ [#This Row],[Account Withdrawl Amount] ], )</f>
        <v>0</v>
      </c>
      <c r="K82" s="129">
        <f>IF(Table312[[#This Row],[CODE]]=3, Table312[ [#This Row],[Account Deposit Amount] ]-Table312[ [#This Row],[Account Withdrawl Amount] ], )</f>
        <v>0</v>
      </c>
      <c r="L82" s="128">
        <f>IF(Table312[[#This Row],[CODE]]=4, Table312[ [#This Row],[Account Deposit Amount] ]-Table312[ [#This Row],[Account Withdrawl Amount] ], )</f>
        <v>0</v>
      </c>
      <c r="M82" s="128">
        <f>IF(Table312[[#This Row],[CODE]]=5, Table312[ [#This Row],[Account Deposit Amount] ]-Table312[ [#This Row],[Account Withdrawl Amount] ], )</f>
        <v>0</v>
      </c>
      <c r="N82" s="128">
        <f>IF(Table312[[#This Row],[CODE]]=6, Table312[ [#This Row],[Account Deposit Amount] ]-Table312[ [#This Row],[Account Withdrawl Amount] ], )</f>
        <v>0</v>
      </c>
      <c r="O82" s="128">
        <f>IF(Table312[[#This Row],[CODE]]=11, Table312[ [#This Row],[Account Deposit Amount] ]-Table312[ [#This Row],[Account Withdrawl Amount] ], )</f>
        <v>0</v>
      </c>
      <c r="P82" s="128">
        <f>IF(Table312[[#This Row],[CODE]]=12, Table312[ [#This Row],[Account Deposit Amount] ]-Table312[ [#This Row],[Account Withdrawl Amount] ], )</f>
        <v>0</v>
      </c>
      <c r="Q82" s="128">
        <f>IF(Table312[[#This Row],[CODE]]=13, Table312[ [#This Row],[Account Deposit Amount] ]-Table312[ [#This Row],[Account Withdrawl Amount] ], )</f>
        <v>0</v>
      </c>
      <c r="R82" s="128">
        <f>IF(Table312[[#This Row],[CODE]]=14, Table312[ [#This Row],[Account Deposit Amount] ]-Table312[ [#This Row],[Account Withdrawl Amount] ], )</f>
        <v>0</v>
      </c>
      <c r="S82" s="128">
        <f>IF(Table312[[#This Row],[CODE]]=15, Table312[ [#This Row],[Account Deposit Amount] ]-Table312[ [#This Row],[Account Withdrawl Amount] ], )</f>
        <v>0</v>
      </c>
      <c r="T82" s="128">
        <f>IF(Table312[[#This Row],[CODE]]=16, Table312[ [#This Row],[Account Deposit Amount] ]-Table312[ [#This Row],[Account Withdrawl Amount] ], )</f>
        <v>0</v>
      </c>
      <c r="U82" s="127">
        <f>IF(Table312[[#This Row],[CODE]]=17, Table312[ [#This Row],[Account Deposit Amount] ]-Table312[ [#This Row],[Account Withdrawl Amount] ], )</f>
        <v>0</v>
      </c>
      <c r="V82" s="166">
        <f>IF(Table312[[#This Row],[CODE]]=18, Table312[ [#This Row],[Account Deposit Amount] ]-Table312[ [#This Row],[Account Withdrawl Amount] ], )</f>
        <v>0</v>
      </c>
    </row>
    <row r="83" spans="1:22" ht="16.2" thickBot="1">
      <c r="A83" s="130"/>
      <c r="B83" s="133"/>
      <c r="C83" s="130"/>
      <c r="D83" s="132"/>
      <c r="E83" s="128"/>
      <c r="F83" s="128"/>
      <c r="G83" s="131">
        <f t="shared" si="4"/>
        <v>17422.709999999995</v>
      </c>
      <c r="H83" s="130"/>
      <c r="I83" s="127">
        <f>IF(Table312[[#This Row],[CODE]]=1, Table312[ [#This Row],[Account Deposit Amount] ]-Table312[ [#This Row],[Account Withdrawl Amount] ], )</f>
        <v>0</v>
      </c>
      <c r="J83" s="129">
        <f>IF(Table312[[#This Row],[CODE]]=2, Table312[ [#This Row],[Account Deposit Amount] ]-Table312[ [#This Row],[Account Withdrawl Amount] ], )</f>
        <v>0</v>
      </c>
      <c r="K83" s="129">
        <f>IF(Table312[[#This Row],[CODE]]=3, Table312[ [#This Row],[Account Deposit Amount] ]-Table312[ [#This Row],[Account Withdrawl Amount] ], )</f>
        <v>0</v>
      </c>
      <c r="L83" s="128">
        <f>IF(Table312[[#This Row],[CODE]]=4, Table312[ [#This Row],[Account Deposit Amount] ]-Table312[ [#This Row],[Account Withdrawl Amount] ], )</f>
        <v>0</v>
      </c>
      <c r="M83" s="128">
        <f>IF(Table312[[#This Row],[CODE]]=5, Table312[ [#This Row],[Account Deposit Amount] ]-Table312[ [#This Row],[Account Withdrawl Amount] ], )</f>
        <v>0</v>
      </c>
      <c r="N83" s="128">
        <f>IF(Table312[[#This Row],[CODE]]=6, Table312[ [#This Row],[Account Deposit Amount] ]-Table312[ [#This Row],[Account Withdrawl Amount] ], )</f>
        <v>0</v>
      </c>
      <c r="O83" s="128">
        <f>IF(Table312[[#This Row],[CODE]]=11, Table312[ [#This Row],[Account Deposit Amount] ]-Table312[ [#This Row],[Account Withdrawl Amount] ], )</f>
        <v>0</v>
      </c>
      <c r="P83" s="128">
        <f>IF(Table312[[#This Row],[CODE]]=12, Table312[ [#This Row],[Account Deposit Amount] ]-Table312[ [#This Row],[Account Withdrawl Amount] ], )</f>
        <v>0</v>
      </c>
      <c r="Q83" s="128">
        <f>IF(Table312[[#This Row],[CODE]]=13, Table312[ [#This Row],[Account Deposit Amount] ]-Table312[ [#This Row],[Account Withdrawl Amount] ], )</f>
        <v>0</v>
      </c>
      <c r="R83" s="128">
        <f>IF(Table312[[#This Row],[CODE]]=14, Table312[ [#This Row],[Account Deposit Amount] ]-Table312[ [#This Row],[Account Withdrawl Amount] ], )</f>
        <v>0</v>
      </c>
      <c r="S83" s="128">
        <f>IF(Table312[[#This Row],[CODE]]=15, Table312[ [#This Row],[Account Deposit Amount] ]-Table312[ [#This Row],[Account Withdrawl Amount] ], )</f>
        <v>0</v>
      </c>
      <c r="T83" s="128">
        <f>IF(Table312[[#This Row],[CODE]]=16, Table312[ [#This Row],[Account Deposit Amount] ]-Table312[ [#This Row],[Account Withdrawl Amount] ], )</f>
        <v>0</v>
      </c>
      <c r="U83" s="127">
        <f>IF(Table312[[#This Row],[CODE]]=17, Table312[ [#This Row],[Account Deposit Amount] ]-Table312[ [#This Row],[Account Withdrawl Amount] ], )</f>
        <v>0</v>
      </c>
      <c r="V83" s="166">
        <f>IF(Table312[[#This Row],[CODE]]=18, Table312[ [#This Row],[Account Deposit Amount] ]-Table312[ [#This Row],[Account Withdrawl Amount] ], )</f>
        <v>0</v>
      </c>
    </row>
    <row r="84" spans="1:22" ht="16.2" thickBot="1">
      <c r="A84" s="130"/>
      <c r="B84" s="133"/>
      <c r="C84" s="130"/>
      <c r="D84" s="132"/>
      <c r="E84" s="128"/>
      <c r="F84" s="128"/>
      <c r="G84" s="131">
        <f t="shared" si="4"/>
        <v>17422.709999999995</v>
      </c>
      <c r="H84" s="130"/>
      <c r="I84" s="127">
        <f>IF(Table312[[#This Row],[CODE]]=1, Table312[ [#This Row],[Account Deposit Amount] ]-Table312[ [#This Row],[Account Withdrawl Amount] ], )</f>
        <v>0</v>
      </c>
      <c r="J84" s="129">
        <f>IF(Table312[[#This Row],[CODE]]=2, Table312[ [#This Row],[Account Deposit Amount] ]-Table312[ [#This Row],[Account Withdrawl Amount] ], )</f>
        <v>0</v>
      </c>
      <c r="K84" s="129">
        <f>IF(Table312[[#This Row],[CODE]]=3, Table312[ [#This Row],[Account Deposit Amount] ]-Table312[ [#This Row],[Account Withdrawl Amount] ], )</f>
        <v>0</v>
      </c>
      <c r="L84" s="128">
        <f>IF(Table312[[#This Row],[CODE]]=4, Table312[ [#This Row],[Account Deposit Amount] ]-Table312[ [#This Row],[Account Withdrawl Amount] ], )</f>
        <v>0</v>
      </c>
      <c r="M84" s="128">
        <f>IF(Table312[[#This Row],[CODE]]=5, Table312[ [#This Row],[Account Deposit Amount] ]-Table312[ [#This Row],[Account Withdrawl Amount] ], )</f>
        <v>0</v>
      </c>
      <c r="N84" s="128">
        <f>IF(Table312[[#This Row],[CODE]]=6, Table312[ [#This Row],[Account Deposit Amount] ]-Table312[ [#This Row],[Account Withdrawl Amount] ], )</f>
        <v>0</v>
      </c>
      <c r="O84" s="128">
        <f>IF(Table312[[#This Row],[CODE]]=11, Table312[ [#This Row],[Account Deposit Amount] ]-Table312[ [#This Row],[Account Withdrawl Amount] ], )</f>
        <v>0</v>
      </c>
      <c r="P84" s="128">
        <f>IF(Table312[[#This Row],[CODE]]=12, Table312[ [#This Row],[Account Deposit Amount] ]-Table312[ [#This Row],[Account Withdrawl Amount] ], )</f>
        <v>0</v>
      </c>
      <c r="Q84" s="128">
        <f>IF(Table312[[#This Row],[CODE]]=13, Table312[ [#This Row],[Account Deposit Amount] ]-Table312[ [#This Row],[Account Withdrawl Amount] ], )</f>
        <v>0</v>
      </c>
      <c r="R84" s="128">
        <f>IF(Table312[[#This Row],[CODE]]=14, Table312[ [#This Row],[Account Deposit Amount] ]-Table312[ [#This Row],[Account Withdrawl Amount] ], )</f>
        <v>0</v>
      </c>
      <c r="S84" s="128">
        <f>IF(Table312[[#This Row],[CODE]]=15, Table312[ [#This Row],[Account Deposit Amount] ]-Table312[ [#This Row],[Account Withdrawl Amount] ], )</f>
        <v>0</v>
      </c>
      <c r="T84" s="128">
        <f>IF(Table312[[#This Row],[CODE]]=16, Table312[ [#This Row],[Account Deposit Amount] ]-Table312[ [#This Row],[Account Withdrawl Amount] ], )</f>
        <v>0</v>
      </c>
      <c r="U84" s="127">
        <f>IF(Table312[[#This Row],[CODE]]=17, Table312[ [#This Row],[Account Deposit Amount] ]-Table312[ [#This Row],[Account Withdrawl Amount] ], )</f>
        <v>0</v>
      </c>
      <c r="V84" s="166">
        <f>IF(Table312[[#This Row],[CODE]]=18, Table312[ [#This Row],[Account Deposit Amount] ]-Table312[ [#This Row],[Account Withdrawl Amount] ], )</f>
        <v>0</v>
      </c>
    </row>
    <row r="85" spans="1:22" ht="16.2" thickBot="1">
      <c r="A85" s="130"/>
      <c r="B85" s="133"/>
      <c r="C85" s="130"/>
      <c r="D85" s="132"/>
      <c r="E85" s="128"/>
      <c r="F85" s="128"/>
      <c r="G85" s="131">
        <f t="shared" si="4"/>
        <v>17422.709999999995</v>
      </c>
      <c r="H85" s="130"/>
      <c r="I85" s="127">
        <f>IF(Table312[[#This Row],[CODE]]=1, Table312[ [#This Row],[Account Deposit Amount] ]-Table312[ [#This Row],[Account Withdrawl Amount] ], )</f>
        <v>0</v>
      </c>
      <c r="J85" s="129">
        <f>IF(Table312[[#This Row],[CODE]]=2, Table312[ [#This Row],[Account Deposit Amount] ]-Table312[ [#This Row],[Account Withdrawl Amount] ], )</f>
        <v>0</v>
      </c>
      <c r="K85" s="129">
        <f>IF(Table312[[#This Row],[CODE]]=3, Table312[ [#This Row],[Account Deposit Amount] ]-Table312[ [#This Row],[Account Withdrawl Amount] ], )</f>
        <v>0</v>
      </c>
      <c r="L85" s="128">
        <f>IF(Table312[[#This Row],[CODE]]=4, Table312[ [#This Row],[Account Deposit Amount] ]-Table312[ [#This Row],[Account Withdrawl Amount] ], )</f>
        <v>0</v>
      </c>
      <c r="M85" s="128">
        <f>IF(Table312[[#This Row],[CODE]]=5, Table312[ [#This Row],[Account Deposit Amount] ]-Table312[ [#This Row],[Account Withdrawl Amount] ], )</f>
        <v>0</v>
      </c>
      <c r="N85" s="128">
        <f>IF(Table312[[#This Row],[CODE]]=6, Table312[ [#This Row],[Account Deposit Amount] ]-Table312[ [#This Row],[Account Withdrawl Amount] ], )</f>
        <v>0</v>
      </c>
      <c r="O85" s="128">
        <f>IF(Table312[[#This Row],[CODE]]=11, Table312[ [#This Row],[Account Deposit Amount] ]-Table312[ [#This Row],[Account Withdrawl Amount] ], )</f>
        <v>0</v>
      </c>
      <c r="P85" s="128">
        <f>IF(Table312[[#This Row],[CODE]]=12, Table312[ [#This Row],[Account Deposit Amount] ]-Table312[ [#This Row],[Account Withdrawl Amount] ], )</f>
        <v>0</v>
      </c>
      <c r="Q85" s="128">
        <f>IF(Table312[[#This Row],[CODE]]=13, Table312[ [#This Row],[Account Deposit Amount] ]-Table312[ [#This Row],[Account Withdrawl Amount] ], )</f>
        <v>0</v>
      </c>
      <c r="R85" s="128">
        <f>IF(Table312[[#This Row],[CODE]]=14, Table312[ [#This Row],[Account Deposit Amount] ]-Table312[ [#This Row],[Account Withdrawl Amount] ], )</f>
        <v>0</v>
      </c>
      <c r="S85" s="128">
        <f>IF(Table312[[#This Row],[CODE]]=15, Table312[ [#This Row],[Account Deposit Amount] ]-Table312[ [#This Row],[Account Withdrawl Amount] ], )</f>
        <v>0</v>
      </c>
      <c r="T85" s="128">
        <f>IF(Table312[[#This Row],[CODE]]=16, Table312[ [#This Row],[Account Deposit Amount] ]-Table312[ [#This Row],[Account Withdrawl Amount] ], )</f>
        <v>0</v>
      </c>
      <c r="U85" s="127">
        <f>IF(Table312[[#This Row],[CODE]]=17, Table312[ [#This Row],[Account Deposit Amount] ]-Table312[ [#This Row],[Account Withdrawl Amount] ], )</f>
        <v>0</v>
      </c>
      <c r="V85" s="166">
        <f>IF(Table312[[#This Row],[CODE]]=18, Table312[ [#This Row],[Account Deposit Amount] ]-Table312[ [#This Row],[Account Withdrawl Amount] ], )</f>
        <v>0</v>
      </c>
    </row>
    <row r="86" spans="1:22" ht="16.2" thickBot="1">
      <c r="A86" s="130"/>
      <c r="B86" s="133"/>
      <c r="C86" s="130"/>
      <c r="D86" s="132"/>
      <c r="E86" s="128"/>
      <c r="F86" s="128"/>
      <c r="G86" s="131">
        <f t="shared" si="4"/>
        <v>17422.709999999995</v>
      </c>
      <c r="H86" s="130"/>
      <c r="I86" s="127">
        <f>IF(Table312[[#This Row],[CODE]]=1, Table312[ [#This Row],[Account Deposit Amount] ]-Table312[ [#This Row],[Account Withdrawl Amount] ], )</f>
        <v>0</v>
      </c>
      <c r="J86" s="129">
        <f>IF(Table312[[#This Row],[CODE]]=2, Table312[ [#This Row],[Account Deposit Amount] ]-Table312[ [#This Row],[Account Withdrawl Amount] ], )</f>
        <v>0</v>
      </c>
      <c r="K86" s="129">
        <f>IF(Table312[[#This Row],[CODE]]=3, Table312[ [#This Row],[Account Deposit Amount] ]-Table312[ [#This Row],[Account Withdrawl Amount] ], )</f>
        <v>0</v>
      </c>
      <c r="L86" s="128">
        <f>IF(Table312[[#This Row],[CODE]]=4, Table312[ [#This Row],[Account Deposit Amount] ]-Table312[ [#This Row],[Account Withdrawl Amount] ], )</f>
        <v>0</v>
      </c>
      <c r="M86" s="128">
        <f>IF(Table312[[#This Row],[CODE]]=5, Table312[ [#This Row],[Account Deposit Amount] ]-Table312[ [#This Row],[Account Withdrawl Amount] ], )</f>
        <v>0</v>
      </c>
      <c r="N86" s="128">
        <f>IF(Table312[[#This Row],[CODE]]=6, Table312[ [#This Row],[Account Deposit Amount] ]-Table312[ [#This Row],[Account Withdrawl Amount] ], )</f>
        <v>0</v>
      </c>
      <c r="O86" s="128">
        <f>IF(Table312[[#This Row],[CODE]]=11, Table312[ [#This Row],[Account Deposit Amount] ]-Table312[ [#This Row],[Account Withdrawl Amount] ], )</f>
        <v>0</v>
      </c>
      <c r="P86" s="128">
        <f>IF(Table312[[#This Row],[CODE]]=12, Table312[ [#This Row],[Account Deposit Amount] ]-Table312[ [#This Row],[Account Withdrawl Amount] ], )</f>
        <v>0</v>
      </c>
      <c r="Q86" s="128">
        <f>IF(Table312[[#This Row],[CODE]]=13, Table312[ [#This Row],[Account Deposit Amount] ]-Table312[ [#This Row],[Account Withdrawl Amount] ], )</f>
        <v>0</v>
      </c>
      <c r="R86" s="128">
        <f>IF(Table312[[#This Row],[CODE]]=14, Table312[ [#This Row],[Account Deposit Amount] ]-Table312[ [#This Row],[Account Withdrawl Amount] ], )</f>
        <v>0</v>
      </c>
      <c r="S86" s="128">
        <f>IF(Table312[[#This Row],[CODE]]=15, Table312[ [#This Row],[Account Deposit Amount] ]-Table312[ [#This Row],[Account Withdrawl Amount] ], )</f>
        <v>0</v>
      </c>
      <c r="T86" s="128">
        <f>IF(Table312[[#This Row],[CODE]]=16, Table312[ [#This Row],[Account Deposit Amount] ]-Table312[ [#This Row],[Account Withdrawl Amount] ], )</f>
        <v>0</v>
      </c>
      <c r="U86" s="127">
        <f>IF(Table312[[#This Row],[CODE]]=17, Table312[ [#This Row],[Account Deposit Amount] ]-Table312[ [#This Row],[Account Withdrawl Amount] ], )</f>
        <v>0</v>
      </c>
      <c r="V86" s="166">
        <f>IF(Table312[[#This Row],[CODE]]=18, Table312[ [#This Row],[Account Deposit Amount] ]-Table312[ [#This Row],[Account Withdrawl Amount] ], )</f>
        <v>0</v>
      </c>
    </row>
    <row r="87" spans="1:22" ht="16.2" thickBot="1">
      <c r="A87" s="130"/>
      <c r="B87" s="133"/>
      <c r="C87" s="130"/>
      <c r="D87" s="132"/>
      <c r="E87" s="128"/>
      <c r="F87" s="128"/>
      <c r="G87" s="131">
        <f t="shared" si="4"/>
        <v>17422.709999999995</v>
      </c>
      <c r="H87" s="130"/>
      <c r="I87" s="127">
        <f>IF(Table312[[#This Row],[CODE]]=1, Table312[ [#This Row],[Account Deposit Amount] ]-Table312[ [#This Row],[Account Withdrawl Amount] ], )</f>
        <v>0</v>
      </c>
      <c r="J87" s="129">
        <f>IF(Table312[[#This Row],[CODE]]=2, Table312[ [#This Row],[Account Deposit Amount] ]-Table312[ [#This Row],[Account Withdrawl Amount] ], )</f>
        <v>0</v>
      </c>
      <c r="K87" s="129">
        <f>IF(Table312[[#This Row],[CODE]]=3, Table312[ [#This Row],[Account Deposit Amount] ]-Table312[ [#This Row],[Account Withdrawl Amount] ], )</f>
        <v>0</v>
      </c>
      <c r="L87" s="128">
        <f>IF(Table312[[#This Row],[CODE]]=4, Table312[ [#This Row],[Account Deposit Amount] ]-Table312[ [#This Row],[Account Withdrawl Amount] ], )</f>
        <v>0</v>
      </c>
      <c r="M87" s="128">
        <f>IF(Table312[[#This Row],[CODE]]=5, Table312[ [#This Row],[Account Deposit Amount] ]-Table312[ [#This Row],[Account Withdrawl Amount] ], )</f>
        <v>0</v>
      </c>
      <c r="N87" s="128">
        <f>IF(Table312[[#This Row],[CODE]]=6, Table312[ [#This Row],[Account Deposit Amount] ]-Table312[ [#This Row],[Account Withdrawl Amount] ], )</f>
        <v>0</v>
      </c>
      <c r="O87" s="128">
        <f>IF(Table312[[#This Row],[CODE]]=11, Table312[ [#This Row],[Account Deposit Amount] ]-Table312[ [#This Row],[Account Withdrawl Amount] ], )</f>
        <v>0</v>
      </c>
      <c r="P87" s="128">
        <f>IF(Table312[[#This Row],[CODE]]=12, Table312[ [#This Row],[Account Deposit Amount] ]-Table312[ [#This Row],[Account Withdrawl Amount] ], )</f>
        <v>0</v>
      </c>
      <c r="Q87" s="128">
        <f>IF(Table312[[#This Row],[CODE]]=13, Table312[ [#This Row],[Account Deposit Amount] ]-Table312[ [#This Row],[Account Withdrawl Amount] ], )</f>
        <v>0</v>
      </c>
      <c r="R87" s="128">
        <f>IF(Table312[[#This Row],[CODE]]=14, Table312[ [#This Row],[Account Deposit Amount] ]-Table312[ [#This Row],[Account Withdrawl Amount] ], )</f>
        <v>0</v>
      </c>
      <c r="S87" s="128">
        <f>IF(Table312[[#This Row],[CODE]]=15, Table312[ [#This Row],[Account Deposit Amount] ]-Table312[ [#This Row],[Account Withdrawl Amount] ], )</f>
        <v>0</v>
      </c>
      <c r="T87" s="128">
        <f>IF(Table312[[#This Row],[CODE]]=16, Table312[ [#This Row],[Account Deposit Amount] ]-Table312[ [#This Row],[Account Withdrawl Amount] ], )</f>
        <v>0</v>
      </c>
      <c r="U87" s="127">
        <f>IF(Table312[[#This Row],[CODE]]=17, Table312[ [#This Row],[Account Deposit Amount] ]-Table312[ [#This Row],[Account Withdrawl Amount] ], )</f>
        <v>0</v>
      </c>
      <c r="V87" s="166">
        <f>IF(Table312[[#This Row],[CODE]]=18, Table312[ [#This Row],[Account Deposit Amount] ]-Table312[ [#This Row],[Account Withdrawl Amount] ], )</f>
        <v>0</v>
      </c>
    </row>
    <row r="88" spans="1:22" ht="16.2" thickBot="1">
      <c r="A88" s="130"/>
      <c r="B88" s="133"/>
      <c r="C88" s="130"/>
      <c r="D88" s="132"/>
      <c r="E88" s="128"/>
      <c r="F88" s="128"/>
      <c r="G88" s="131">
        <f t="shared" si="4"/>
        <v>17422.709999999995</v>
      </c>
      <c r="H88" s="130"/>
      <c r="I88" s="127">
        <f>IF(Table312[[#This Row],[CODE]]=1, Table312[ [#This Row],[Account Deposit Amount] ]-Table312[ [#This Row],[Account Withdrawl Amount] ], )</f>
        <v>0</v>
      </c>
      <c r="J88" s="129">
        <f>IF(Table312[[#This Row],[CODE]]=2, Table312[ [#This Row],[Account Deposit Amount] ]-Table312[ [#This Row],[Account Withdrawl Amount] ], )</f>
        <v>0</v>
      </c>
      <c r="K88" s="129">
        <f>IF(Table312[[#This Row],[CODE]]=3, Table312[ [#This Row],[Account Deposit Amount] ]-Table312[ [#This Row],[Account Withdrawl Amount] ], )</f>
        <v>0</v>
      </c>
      <c r="L88" s="128">
        <f>IF(Table312[[#This Row],[CODE]]=4, Table312[ [#This Row],[Account Deposit Amount] ]-Table312[ [#This Row],[Account Withdrawl Amount] ], )</f>
        <v>0</v>
      </c>
      <c r="M88" s="128">
        <f>IF(Table312[[#This Row],[CODE]]=5, Table312[ [#This Row],[Account Deposit Amount] ]-Table312[ [#This Row],[Account Withdrawl Amount] ], )</f>
        <v>0</v>
      </c>
      <c r="N88" s="128">
        <f>IF(Table312[[#This Row],[CODE]]=6, Table312[ [#This Row],[Account Deposit Amount] ]-Table312[ [#This Row],[Account Withdrawl Amount] ], )</f>
        <v>0</v>
      </c>
      <c r="O88" s="128">
        <f>IF(Table312[[#This Row],[CODE]]=11, Table312[ [#This Row],[Account Deposit Amount] ]-Table312[ [#This Row],[Account Withdrawl Amount] ], )</f>
        <v>0</v>
      </c>
      <c r="P88" s="128">
        <f>IF(Table312[[#This Row],[CODE]]=12, Table312[ [#This Row],[Account Deposit Amount] ]-Table312[ [#This Row],[Account Withdrawl Amount] ], )</f>
        <v>0</v>
      </c>
      <c r="Q88" s="128">
        <f>IF(Table312[[#This Row],[CODE]]=13, Table312[ [#This Row],[Account Deposit Amount] ]-Table312[ [#This Row],[Account Withdrawl Amount] ], )</f>
        <v>0</v>
      </c>
      <c r="R88" s="128">
        <f>IF(Table312[[#This Row],[CODE]]=14, Table312[ [#This Row],[Account Deposit Amount] ]-Table312[ [#This Row],[Account Withdrawl Amount] ], )</f>
        <v>0</v>
      </c>
      <c r="S88" s="128">
        <f>IF(Table312[[#This Row],[CODE]]=15, Table312[ [#This Row],[Account Deposit Amount] ]-Table312[ [#This Row],[Account Withdrawl Amount] ], )</f>
        <v>0</v>
      </c>
      <c r="T88" s="128">
        <f>IF(Table312[[#This Row],[CODE]]=16, Table312[ [#This Row],[Account Deposit Amount] ]-Table312[ [#This Row],[Account Withdrawl Amount] ], )</f>
        <v>0</v>
      </c>
      <c r="U88" s="127">
        <f>IF(Table312[[#This Row],[CODE]]=17, Table312[ [#This Row],[Account Deposit Amount] ]-Table312[ [#This Row],[Account Withdrawl Amount] ], )</f>
        <v>0</v>
      </c>
      <c r="V88" s="166">
        <f>IF(Table312[[#This Row],[CODE]]=18, Table312[ [#This Row],[Account Deposit Amount] ]-Table312[ [#This Row],[Account Withdrawl Amount] ], )</f>
        <v>0</v>
      </c>
    </row>
    <row r="89" spans="1:22" ht="16.2" thickBot="1">
      <c r="A89" s="130"/>
      <c r="B89" s="133"/>
      <c r="C89" s="130"/>
      <c r="D89" s="132"/>
      <c r="E89" s="128"/>
      <c r="F89" s="128"/>
      <c r="G89" s="131">
        <f t="shared" si="4"/>
        <v>17422.709999999995</v>
      </c>
      <c r="H89" s="130"/>
      <c r="I89" s="127">
        <f>IF(Table312[[#This Row],[CODE]]=1, Table312[ [#This Row],[Account Deposit Amount] ]-Table312[ [#This Row],[Account Withdrawl Amount] ], )</f>
        <v>0</v>
      </c>
      <c r="J89" s="129">
        <f>IF(Table312[[#This Row],[CODE]]=2, Table312[ [#This Row],[Account Deposit Amount] ]-Table312[ [#This Row],[Account Withdrawl Amount] ], )</f>
        <v>0</v>
      </c>
      <c r="K89" s="129">
        <f>IF(Table312[[#This Row],[CODE]]=3, Table312[ [#This Row],[Account Deposit Amount] ]-Table312[ [#This Row],[Account Withdrawl Amount] ], )</f>
        <v>0</v>
      </c>
      <c r="L89" s="128">
        <f>IF(Table312[[#This Row],[CODE]]=4, Table312[ [#This Row],[Account Deposit Amount] ]-Table312[ [#This Row],[Account Withdrawl Amount] ], )</f>
        <v>0</v>
      </c>
      <c r="M89" s="128">
        <f>IF(Table312[[#This Row],[CODE]]=5, Table312[ [#This Row],[Account Deposit Amount] ]-Table312[ [#This Row],[Account Withdrawl Amount] ], )</f>
        <v>0</v>
      </c>
      <c r="N89" s="128">
        <f>IF(Table312[[#This Row],[CODE]]=6, Table312[ [#This Row],[Account Deposit Amount] ]-Table312[ [#This Row],[Account Withdrawl Amount] ], )</f>
        <v>0</v>
      </c>
      <c r="O89" s="128">
        <f>IF(Table312[[#This Row],[CODE]]=11, Table312[ [#This Row],[Account Deposit Amount] ]-Table312[ [#This Row],[Account Withdrawl Amount] ], )</f>
        <v>0</v>
      </c>
      <c r="P89" s="128">
        <f>IF(Table312[[#This Row],[CODE]]=12, Table312[ [#This Row],[Account Deposit Amount] ]-Table312[ [#This Row],[Account Withdrawl Amount] ], )</f>
        <v>0</v>
      </c>
      <c r="Q89" s="128">
        <f>IF(Table312[[#This Row],[CODE]]=13, Table312[ [#This Row],[Account Deposit Amount] ]-Table312[ [#This Row],[Account Withdrawl Amount] ], )</f>
        <v>0</v>
      </c>
      <c r="R89" s="128">
        <f>IF(Table312[[#This Row],[CODE]]=14, Table312[ [#This Row],[Account Deposit Amount] ]-Table312[ [#This Row],[Account Withdrawl Amount] ], )</f>
        <v>0</v>
      </c>
      <c r="S89" s="128">
        <f>IF(Table312[[#This Row],[CODE]]=15, Table312[ [#This Row],[Account Deposit Amount] ]-Table312[ [#This Row],[Account Withdrawl Amount] ], )</f>
        <v>0</v>
      </c>
      <c r="T89" s="128">
        <f>IF(Table312[[#This Row],[CODE]]=16, Table312[ [#This Row],[Account Deposit Amount] ]-Table312[ [#This Row],[Account Withdrawl Amount] ], )</f>
        <v>0</v>
      </c>
      <c r="U89" s="127">
        <f>IF(Table312[[#This Row],[CODE]]=17, Table312[ [#This Row],[Account Deposit Amount] ]-Table312[ [#This Row],[Account Withdrawl Amount] ], )</f>
        <v>0</v>
      </c>
      <c r="V89" s="166">
        <f>IF(Table312[[#This Row],[CODE]]=18, Table312[ [#This Row],[Account Deposit Amount] ]-Table312[ [#This Row],[Account Withdrawl Amount] ], )</f>
        <v>0</v>
      </c>
    </row>
    <row r="90" spans="1:22" ht="16.2" thickBot="1">
      <c r="A90" s="130"/>
      <c r="B90" s="133"/>
      <c r="C90" s="130"/>
      <c r="D90" s="132"/>
      <c r="E90" s="128"/>
      <c r="F90" s="128"/>
      <c r="G90" s="131">
        <f t="shared" si="4"/>
        <v>17422.709999999995</v>
      </c>
      <c r="H90" s="130"/>
      <c r="I90" s="127">
        <f>IF(Table312[[#This Row],[CODE]]=1, Table312[ [#This Row],[Account Deposit Amount] ]-Table312[ [#This Row],[Account Withdrawl Amount] ], )</f>
        <v>0</v>
      </c>
      <c r="J90" s="129">
        <f>IF(Table312[[#This Row],[CODE]]=2, Table312[ [#This Row],[Account Deposit Amount] ]-Table312[ [#This Row],[Account Withdrawl Amount] ], )</f>
        <v>0</v>
      </c>
      <c r="K90" s="129">
        <f>IF(Table312[[#This Row],[CODE]]=3, Table312[ [#This Row],[Account Deposit Amount] ]-Table312[ [#This Row],[Account Withdrawl Amount] ], )</f>
        <v>0</v>
      </c>
      <c r="L90" s="128">
        <f>IF(Table312[[#This Row],[CODE]]=4, Table312[ [#This Row],[Account Deposit Amount] ]-Table312[ [#This Row],[Account Withdrawl Amount] ], )</f>
        <v>0</v>
      </c>
      <c r="M90" s="128">
        <f>IF(Table312[[#This Row],[CODE]]=5, Table312[ [#This Row],[Account Deposit Amount] ]-Table312[ [#This Row],[Account Withdrawl Amount] ], )</f>
        <v>0</v>
      </c>
      <c r="N90" s="128">
        <f>IF(Table312[[#This Row],[CODE]]=6, Table312[ [#This Row],[Account Deposit Amount] ]-Table312[ [#This Row],[Account Withdrawl Amount] ], )</f>
        <v>0</v>
      </c>
      <c r="O90" s="128">
        <f>IF(Table312[[#This Row],[CODE]]=11, Table312[ [#This Row],[Account Deposit Amount] ]-Table312[ [#This Row],[Account Withdrawl Amount] ], )</f>
        <v>0</v>
      </c>
      <c r="P90" s="128">
        <f>IF(Table312[[#This Row],[CODE]]=12, Table312[ [#This Row],[Account Deposit Amount] ]-Table312[ [#This Row],[Account Withdrawl Amount] ], )</f>
        <v>0</v>
      </c>
      <c r="Q90" s="128">
        <f>IF(Table312[[#This Row],[CODE]]=13, Table312[ [#This Row],[Account Deposit Amount] ]-Table312[ [#This Row],[Account Withdrawl Amount] ], )</f>
        <v>0</v>
      </c>
      <c r="R90" s="128">
        <f>IF(Table312[[#This Row],[CODE]]=14, Table312[ [#This Row],[Account Deposit Amount] ]-Table312[ [#This Row],[Account Withdrawl Amount] ], )</f>
        <v>0</v>
      </c>
      <c r="S90" s="128">
        <f>IF(Table312[[#This Row],[CODE]]=15, Table312[ [#This Row],[Account Deposit Amount] ]-Table312[ [#This Row],[Account Withdrawl Amount] ], )</f>
        <v>0</v>
      </c>
      <c r="T90" s="128">
        <f>IF(Table312[[#This Row],[CODE]]=16, Table312[ [#This Row],[Account Deposit Amount] ]-Table312[ [#This Row],[Account Withdrawl Amount] ], )</f>
        <v>0</v>
      </c>
      <c r="U90" s="127">
        <f>IF(Table312[[#This Row],[CODE]]=17, Table312[ [#This Row],[Account Deposit Amount] ]-Table312[ [#This Row],[Account Withdrawl Amount] ], )</f>
        <v>0</v>
      </c>
      <c r="V90" s="166">
        <f>IF(Table312[[#This Row],[CODE]]=18, Table312[ [#This Row],[Account Deposit Amount] ]-Table312[ [#This Row],[Account Withdrawl Amount] ], )</f>
        <v>0</v>
      </c>
    </row>
    <row r="91" spans="1:22" ht="16.2" thickBot="1">
      <c r="A91" s="130"/>
      <c r="B91" s="133"/>
      <c r="C91" s="130"/>
      <c r="D91" s="132"/>
      <c r="E91" s="128"/>
      <c r="F91" s="128"/>
      <c r="G91" s="131">
        <f t="shared" si="4"/>
        <v>17422.709999999995</v>
      </c>
      <c r="H91" s="130"/>
      <c r="I91" s="127">
        <f>IF(Table312[[#This Row],[CODE]]=1, Table312[ [#This Row],[Account Deposit Amount] ]-Table312[ [#This Row],[Account Withdrawl Amount] ], )</f>
        <v>0</v>
      </c>
      <c r="J91" s="129">
        <f>IF(Table312[[#This Row],[CODE]]=2, Table312[ [#This Row],[Account Deposit Amount] ]-Table312[ [#This Row],[Account Withdrawl Amount] ], )</f>
        <v>0</v>
      </c>
      <c r="K91" s="129">
        <f>IF(Table312[[#This Row],[CODE]]=3, Table312[ [#This Row],[Account Deposit Amount] ]-Table312[ [#This Row],[Account Withdrawl Amount] ], )</f>
        <v>0</v>
      </c>
      <c r="L91" s="128">
        <f>IF(Table312[[#This Row],[CODE]]=4, Table312[ [#This Row],[Account Deposit Amount] ]-Table312[ [#This Row],[Account Withdrawl Amount] ], )</f>
        <v>0</v>
      </c>
      <c r="M91" s="128">
        <f>IF(Table312[[#This Row],[CODE]]=5, Table312[ [#This Row],[Account Deposit Amount] ]-Table312[ [#This Row],[Account Withdrawl Amount] ], )</f>
        <v>0</v>
      </c>
      <c r="N91" s="128">
        <f>IF(Table312[[#This Row],[CODE]]=6, Table312[ [#This Row],[Account Deposit Amount] ]-Table312[ [#This Row],[Account Withdrawl Amount] ], )</f>
        <v>0</v>
      </c>
      <c r="O91" s="128">
        <f>IF(Table312[[#This Row],[CODE]]=11, Table312[ [#This Row],[Account Deposit Amount] ]-Table312[ [#This Row],[Account Withdrawl Amount] ], )</f>
        <v>0</v>
      </c>
      <c r="P91" s="128">
        <f>IF(Table312[[#This Row],[CODE]]=12, Table312[ [#This Row],[Account Deposit Amount] ]-Table312[ [#This Row],[Account Withdrawl Amount] ], )</f>
        <v>0</v>
      </c>
      <c r="Q91" s="128">
        <f>IF(Table312[[#This Row],[CODE]]=13, Table312[ [#This Row],[Account Deposit Amount] ]-Table312[ [#This Row],[Account Withdrawl Amount] ], )</f>
        <v>0</v>
      </c>
      <c r="R91" s="128">
        <f>IF(Table312[[#This Row],[CODE]]=14, Table312[ [#This Row],[Account Deposit Amount] ]-Table312[ [#This Row],[Account Withdrawl Amount] ], )</f>
        <v>0</v>
      </c>
      <c r="S91" s="128">
        <f>IF(Table312[[#This Row],[CODE]]=15, Table312[ [#This Row],[Account Deposit Amount] ]-Table312[ [#This Row],[Account Withdrawl Amount] ], )</f>
        <v>0</v>
      </c>
      <c r="T91" s="128">
        <f>IF(Table312[[#This Row],[CODE]]=16, Table312[ [#This Row],[Account Deposit Amount] ]-Table312[ [#This Row],[Account Withdrawl Amount] ], )</f>
        <v>0</v>
      </c>
      <c r="U91" s="127">
        <f>IF(Table312[[#This Row],[CODE]]=17, Table312[ [#This Row],[Account Deposit Amount] ]-Table312[ [#This Row],[Account Withdrawl Amount] ], )</f>
        <v>0</v>
      </c>
      <c r="V91" s="166">
        <f>IF(Table312[[#This Row],[CODE]]=18, Table312[ [#This Row],[Account Deposit Amount] ]-Table312[ [#This Row],[Account Withdrawl Amount] ], )</f>
        <v>0</v>
      </c>
    </row>
    <row r="92" spans="1:22" ht="16.2" thickBot="1">
      <c r="A92" s="130"/>
      <c r="B92" s="133"/>
      <c r="C92" s="130"/>
      <c r="D92" s="132"/>
      <c r="E92" s="128"/>
      <c r="F92" s="128"/>
      <c r="G92" s="131">
        <f t="shared" si="4"/>
        <v>17422.709999999995</v>
      </c>
      <c r="H92" s="130"/>
      <c r="I92" s="127">
        <f>IF(Table312[[#This Row],[CODE]]=1, Table312[ [#This Row],[Account Deposit Amount] ]-Table312[ [#This Row],[Account Withdrawl Amount] ], )</f>
        <v>0</v>
      </c>
      <c r="J92" s="129">
        <f>IF(Table312[[#This Row],[CODE]]=2, Table312[ [#This Row],[Account Deposit Amount] ]-Table312[ [#This Row],[Account Withdrawl Amount] ], )</f>
        <v>0</v>
      </c>
      <c r="K92" s="129">
        <f>IF(Table312[[#This Row],[CODE]]=3, Table312[ [#This Row],[Account Deposit Amount] ]-Table312[ [#This Row],[Account Withdrawl Amount] ], )</f>
        <v>0</v>
      </c>
      <c r="L92" s="128">
        <f>IF(Table312[[#This Row],[CODE]]=4, Table312[ [#This Row],[Account Deposit Amount] ]-Table312[ [#This Row],[Account Withdrawl Amount] ], )</f>
        <v>0</v>
      </c>
      <c r="M92" s="128">
        <f>IF(Table312[[#This Row],[CODE]]=5, Table312[ [#This Row],[Account Deposit Amount] ]-Table312[ [#This Row],[Account Withdrawl Amount] ], )</f>
        <v>0</v>
      </c>
      <c r="N92" s="128">
        <f>IF(Table312[[#This Row],[CODE]]=6, Table312[ [#This Row],[Account Deposit Amount] ]-Table312[ [#This Row],[Account Withdrawl Amount] ], )</f>
        <v>0</v>
      </c>
      <c r="O92" s="128">
        <f>IF(Table312[[#This Row],[CODE]]=11, Table312[ [#This Row],[Account Deposit Amount] ]-Table312[ [#This Row],[Account Withdrawl Amount] ], )</f>
        <v>0</v>
      </c>
      <c r="P92" s="128">
        <f>IF(Table312[[#This Row],[CODE]]=12, Table312[ [#This Row],[Account Deposit Amount] ]-Table312[ [#This Row],[Account Withdrawl Amount] ], )</f>
        <v>0</v>
      </c>
      <c r="Q92" s="128">
        <f>IF(Table312[[#This Row],[CODE]]=13, Table312[ [#This Row],[Account Deposit Amount] ]-Table312[ [#This Row],[Account Withdrawl Amount] ], )</f>
        <v>0</v>
      </c>
      <c r="R92" s="128">
        <f>IF(Table312[[#This Row],[CODE]]=14, Table312[ [#This Row],[Account Deposit Amount] ]-Table312[ [#This Row],[Account Withdrawl Amount] ], )</f>
        <v>0</v>
      </c>
      <c r="S92" s="128">
        <f>IF(Table312[[#This Row],[CODE]]=15, Table312[ [#This Row],[Account Deposit Amount] ]-Table312[ [#This Row],[Account Withdrawl Amount] ], )</f>
        <v>0</v>
      </c>
      <c r="T92" s="128">
        <f>IF(Table312[[#This Row],[CODE]]=16, Table312[ [#This Row],[Account Deposit Amount] ]-Table312[ [#This Row],[Account Withdrawl Amount] ], )</f>
        <v>0</v>
      </c>
      <c r="U92" s="127">
        <f>IF(Table312[[#This Row],[CODE]]=17, Table312[ [#This Row],[Account Deposit Amount] ]-Table312[ [#This Row],[Account Withdrawl Amount] ], )</f>
        <v>0</v>
      </c>
      <c r="V92" s="166">
        <f>IF(Table312[[#This Row],[CODE]]=18, Table312[ [#This Row],[Account Deposit Amount] ]-Table312[ [#This Row],[Account Withdrawl Amount] ], )</f>
        <v>0</v>
      </c>
    </row>
    <row r="93" spans="1:22" ht="16.2" thickBot="1">
      <c r="A93" s="130"/>
      <c r="B93" s="133"/>
      <c r="C93" s="130"/>
      <c r="D93" s="132"/>
      <c r="E93" s="128"/>
      <c r="F93" s="128"/>
      <c r="G93" s="131">
        <f t="shared" si="4"/>
        <v>17422.709999999995</v>
      </c>
      <c r="H93" s="130"/>
      <c r="I93" s="127">
        <f>IF(Table312[[#This Row],[CODE]]=1, Table312[ [#This Row],[Account Deposit Amount] ]-Table312[ [#This Row],[Account Withdrawl Amount] ], )</f>
        <v>0</v>
      </c>
      <c r="J93" s="129">
        <f>IF(Table312[[#This Row],[CODE]]=2, Table312[ [#This Row],[Account Deposit Amount] ]-Table312[ [#This Row],[Account Withdrawl Amount] ], )</f>
        <v>0</v>
      </c>
      <c r="K93" s="129">
        <f>IF(Table312[[#This Row],[CODE]]=3, Table312[ [#This Row],[Account Deposit Amount] ]-Table312[ [#This Row],[Account Withdrawl Amount] ], )</f>
        <v>0</v>
      </c>
      <c r="L93" s="128">
        <f>IF(Table312[[#This Row],[CODE]]=4, Table312[ [#This Row],[Account Deposit Amount] ]-Table312[ [#This Row],[Account Withdrawl Amount] ], )</f>
        <v>0</v>
      </c>
      <c r="M93" s="128">
        <f>IF(Table312[[#This Row],[CODE]]=5, Table312[ [#This Row],[Account Deposit Amount] ]-Table312[ [#This Row],[Account Withdrawl Amount] ], )</f>
        <v>0</v>
      </c>
      <c r="N93" s="128">
        <f>IF(Table312[[#This Row],[CODE]]=6, Table312[ [#This Row],[Account Deposit Amount] ]-Table312[ [#This Row],[Account Withdrawl Amount] ], )</f>
        <v>0</v>
      </c>
      <c r="O93" s="128">
        <f>IF(Table312[[#This Row],[CODE]]=11, Table312[ [#This Row],[Account Deposit Amount] ]-Table312[ [#This Row],[Account Withdrawl Amount] ], )</f>
        <v>0</v>
      </c>
      <c r="P93" s="128">
        <f>IF(Table312[[#This Row],[CODE]]=12, Table312[ [#This Row],[Account Deposit Amount] ]-Table312[ [#This Row],[Account Withdrawl Amount] ], )</f>
        <v>0</v>
      </c>
      <c r="Q93" s="128">
        <f>IF(Table312[[#This Row],[CODE]]=13, Table312[ [#This Row],[Account Deposit Amount] ]-Table312[ [#This Row],[Account Withdrawl Amount] ], )</f>
        <v>0</v>
      </c>
      <c r="R93" s="128">
        <f>IF(Table312[[#This Row],[CODE]]=14, Table312[ [#This Row],[Account Deposit Amount] ]-Table312[ [#This Row],[Account Withdrawl Amount] ], )</f>
        <v>0</v>
      </c>
      <c r="S93" s="128">
        <f>IF(Table312[[#This Row],[CODE]]=15, Table312[ [#This Row],[Account Deposit Amount] ]-Table312[ [#This Row],[Account Withdrawl Amount] ], )</f>
        <v>0</v>
      </c>
      <c r="T93" s="128">
        <f>IF(Table312[[#This Row],[CODE]]=16, Table312[ [#This Row],[Account Deposit Amount] ]-Table312[ [#This Row],[Account Withdrawl Amount] ], )</f>
        <v>0</v>
      </c>
      <c r="U93" s="127">
        <f>IF(Table312[[#This Row],[CODE]]=17, Table312[ [#This Row],[Account Deposit Amount] ]-Table312[ [#This Row],[Account Withdrawl Amount] ], )</f>
        <v>0</v>
      </c>
      <c r="V93" s="166">
        <f>IF(Table312[[#This Row],[CODE]]=18, Table312[ [#This Row],[Account Deposit Amount] ]-Table312[ [#This Row],[Account Withdrawl Amount] ], )</f>
        <v>0</v>
      </c>
    </row>
    <row r="94" spans="1:22" ht="16.2" thickBot="1">
      <c r="A94" s="130"/>
      <c r="B94" s="133"/>
      <c r="C94" s="130"/>
      <c r="D94" s="132"/>
      <c r="E94" s="128"/>
      <c r="F94" s="128"/>
      <c r="G94" s="131">
        <f t="shared" si="4"/>
        <v>17422.709999999995</v>
      </c>
      <c r="H94" s="130"/>
      <c r="I94" s="127">
        <f>IF(Table312[[#This Row],[CODE]]=1, Table312[ [#This Row],[Account Deposit Amount] ]-Table312[ [#This Row],[Account Withdrawl Amount] ], )</f>
        <v>0</v>
      </c>
      <c r="J94" s="129">
        <f>IF(Table312[[#This Row],[CODE]]=2, Table312[ [#This Row],[Account Deposit Amount] ]-Table312[ [#This Row],[Account Withdrawl Amount] ], )</f>
        <v>0</v>
      </c>
      <c r="K94" s="129">
        <f>IF(Table312[[#This Row],[CODE]]=3, Table312[ [#This Row],[Account Deposit Amount] ]-Table312[ [#This Row],[Account Withdrawl Amount] ], )</f>
        <v>0</v>
      </c>
      <c r="L94" s="128">
        <f>IF(Table312[[#This Row],[CODE]]=4, Table312[ [#This Row],[Account Deposit Amount] ]-Table312[ [#This Row],[Account Withdrawl Amount] ], )</f>
        <v>0</v>
      </c>
      <c r="M94" s="128">
        <f>IF(Table312[[#This Row],[CODE]]=5, Table312[ [#This Row],[Account Deposit Amount] ]-Table312[ [#This Row],[Account Withdrawl Amount] ], )</f>
        <v>0</v>
      </c>
      <c r="N94" s="128">
        <f>IF(Table312[[#This Row],[CODE]]=6, Table312[ [#This Row],[Account Deposit Amount] ]-Table312[ [#This Row],[Account Withdrawl Amount] ], )</f>
        <v>0</v>
      </c>
      <c r="O94" s="128">
        <f>IF(Table312[[#This Row],[CODE]]=11, Table312[ [#This Row],[Account Deposit Amount] ]-Table312[ [#This Row],[Account Withdrawl Amount] ], )</f>
        <v>0</v>
      </c>
      <c r="P94" s="128">
        <f>IF(Table312[[#This Row],[CODE]]=12, Table312[ [#This Row],[Account Deposit Amount] ]-Table312[ [#This Row],[Account Withdrawl Amount] ], )</f>
        <v>0</v>
      </c>
      <c r="Q94" s="128">
        <f>IF(Table312[[#This Row],[CODE]]=13, Table312[ [#This Row],[Account Deposit Amount] ]-Table312[ [#This Row],[Account Withdrawl Amount] ], )</f>
        <v>0</v>
      </c>
      <c r="R94" s="128">
        <f>IF(Table312[[#This Row],[CODE]]=14, Table312[ [#This Row],[Account Deposit Amount] ]-Table312[ [#This Row],[Account Withdrawl Amount] ], )</f>
        <v>0</v>
      </c>
      <c r="S94" s="128">
        <f>IF(Table312[[#This Row],[CODE]]=15, Table312[ [#This Row],[Account Deposit Amount] ]-Table312[ [#This Row],[Account Withdrawl Amount] ], )</f>
        <v>0</v>
      </c>
      <c r="T94" s="128">
        <f>IF(Table312[[#This Row],[CODE]]=16, Table312[ [#This Row],[Account Deposit Amount] ]-Table312[ [#This Row],[Account Withdrawl Amount] ], )</f>
        <v>0</v>
      </c>
      <c r="U94" s="127">
        <f>IF(Table312[[#This Row],[CODE]]=17, Table312[ [#This Row],[Account Deposit Amount] ]-Table312[ [#This Row],[Account Withdrawl Amount] ], )</f>
        <v>0</v>
      </c>
      <c r="V94" s="166">
        <f>IF(Table312[[#This Row],[CODE]]=18, Table312[ [#This Row],[Account Deposit Amount] ]-Table312[ [#This Row],[Account Withdrawl Amount] ], )</f>
        <v>0</v>
      </c>
    </row>
    <row r="95" spans="1:22" ht="16.2" thickBot="1">
      <c r="A95" s="130"/>
      <c r="B95" s="133"/>
      <c r="C95" s="130"/>
      <c r="D95" s="132"/>
      <c r="E95" s="128"/>
      <c r="F95" s="128"/>
      <c r="G95" s="131">
        <f t="shared" si="4"/>
        <v>17422.709999999995</v>
      </c>
      <c r="H95" s="130"/>
      <c r="I95" s="127">
        <f>IF(Table312[[#This Row],[CODE]]=1, Table312[ [#This Row],[Account Deposit Amount] ]-Table312[ [#This Row],[Account Withdrawl Amount] ], )</f>
        <v>0</v>
      </c>
      <c r="J95" s="129">
        <f>IF(Table312[[#This Row],[CODE]]=2, Table312[ [#This Row],[Account Deposit Amount] ]-Table312[ [#This Row],[Account Withdrawl Amount] ], )</f>
        <v>0</v>
      </c>
      <c r="K95" s="129">
        <f>IF(Table312[[#This Row],[CODE]]=3, Table312[ [#This Row],[Account Deposit Amount] ]-Table312[ [#This Row],[Account Withdrawl Amount] ], )</f>
        <v>0</v>
      </c>
      <c r="L95" s="128">
        <f>IF(Table312[[#This Row],[CODE]]=4, Table312[ [#This Row],[Account Deposit Amount] ]-Table312[ [#This Row],[Account Withdrawl Amount] ], )</f>
        <v>0</v>
      </c>
      <c r="M95" s="128">
        <f>IF(Table312[[#This Row],[CODE]]=5, Table312[ [#This Row],[Account Deposit Amount] ]-Table312[ [#This Row],[Account Withdrawl Amount] ], )</f>
        <v>0</v>
      </c>
      <c r="N95" s="128">
        <f>IF(Table312[[#This Row],[CODE]]=6, Table312[ [#This Row],[Account Deposit Amount] ]-Table312[ [#This Row],[Account Withdrawl Amount] ], )</f>
        <v>0</v>
      </c>
      <c r="O95" s="128">
        <f>IF(Table312[[#This Row],[CODE]]=11, Table312[ [#This Row],[Account Deposit Amount] ]-Table312[ [#This Row],[Account Withdrawl Amount] ], )</f>
        <v>0</v>
      </c>
      <c r="P95" s="128">
        <f>IF(Table312[[#This Row],[CODE]]=12, Table312[ [#This Row],[Account Deposit Amount] ]-Table312[ [#This Row],[Account Withdrawl Amount] ], )</f>
        <v>0</v>
      </c>
      <c r="Q95" s="128">
        <f>IF(Table312[[#This Row],[CODE]]=13, Table312[ [#This Row],[Account Deposit Amount] ]-Table312[ [#This Row],[Account Withdrawl Amount] ], )</f>
        <v>0</v>
      </c>
      <c r="R95" s="128">
        <f>IF(Table312[[#This Row],[CODE]]=14, Table312[ [#This Row],[Account Deposit Amount] ]-Table312[ [#This Row],[Account Withdrawl Amount] ], )</f>
        <v>0</v>
      </c>
      <c r="S95" s="128">
        <f>IF(Table312[[#This Row],[CODE]]=15, Table312[ [#This Row],[Account Deposit Amount] ]-Table312[ [#This Row],[Account Withdrawl Amount] ], )</f>
        <v>0</v>
      </c>
      <c r="T95" s="128">
        <f>IF(Table312[[#This Row],[CODE]]=16, Table312[ [#This Row],[Account Deposit Amount] ]-Table312[ [#This Row],[Account Withdrawl Amount] ], )</f>
        <v>0</v>
      </c>
      <c r="U95" s="127">
        <f>IF(Table312[[#This Row],[CODE]]=17, Table312[ [#This Row],[Account Deposit Amount] ]-Table312[ [#This Row],[Account Withdrawl Amount] ], )</f>
        <v>0</v>
      </c>
      <c r="V95" s="166">
        <f>IF(Table312[[#This Row],[CODE]]=18, Table312[ [#This Row],[Account Deposit Amount] ]-Table312[ [#This Row],[Account Withdrawl Amount] ], )</f>
        <v>0</v>
      </c>
    </row>
    <row r="96" spans="1:22" ht="16.2" thickBot="1">
      <c r="A96" s="130"/>
      <c r="B96" s="133"/>
      <c r="C96" s="130"/>
      <c r="D96" s="132"/>
      <c r="E96" s="128"/>
      <c r="F96" s="128"/>
      <c r="G96" s="131">
        <f t="shared" si="4"/>
        <v>17422.709999999995</v>
      </c>
      <c r="H96" s="130"/>
      <c r="I96" s="127">
        <f>IF(Table312[[#This Row],[CODE]]=1, Table312[ [#This Row],[Account Deposit Amount] ]-Table312[ [#This Row],[Account Withdrawl Amount] ], )</f>
        <v>0</v>
      </c>
      <c r="J96" s="129">
        <f>IF(Table312[[#This Row],[CODE]]=2, Table312[ [#This Row],[Account Deposit Amount] ]-Table312[ [#This Row],[Account Withdrawl Amount] ], )</f>
        <v>0</v>
      </c>
      <c r="K96" s="129">
        <f>IF(Table312[[#This Row],[CODE]]=3, Table312[ [#This Row],[Account Deposit Amount] ]-Table312[ [#This Row],[Account Withdrawl Amount] ], )</f>
        <v>0</v>
      </c>
      <c r="L96" s="128">
        <f>IF(Table312[[#This Row],[CODE]]=4, Table312[ [#This Row],[Account Deposit Amount] ]-Table312[ [#This Row],[Account Withdrawl Amount] ], )</f>
        <v>0</v>
      </c>
      <c r="M96" s="128">
        <f>IF(Table312[[#This Row],[CODE]]=5, Table312[ [#This Row],[Account Deposit Amount] ]-Table312[ [#This Row],[Account Withdrawl Amount] ], )</f>
        <v>0</v>
      </c>
      <c r="N96" s="128">
        <f>IF(Table312[[#This Row],[CODE]]=6, Table312[ [#This Row],[Account Deposit Amount] ]-Table312[ [#This Row],[Account Withdrawl Amount] ], )</f>
        <v>0</v>
      </c>
      <c r="O96" s="128">
        <f>IF(Table312[[#This Row],[CODE]]=11, Table312[ [#This Row],[Account Deposit Amount] ]-Table312[ [#This Row],[Account Withdrawl Amount] ], )</f>
        <v>0</v>
      </c>
      <c r="P96" s="128">
        <f>IF(Table312[[#This Row],[CODE]]=12, Table312[ [#This Row],[Account Deposit Amount] ]-Table312[ [#This Row],[Account Withdrawl Amount] ], )</f>
        <v>0</v>
      </c>
      <c r="Q96" s="128">
        <f>IF(Table312[[#This Row],[CODE]]=13, Table312[ [#This Row],[Account Deposit Amount] ]-Table312[ [#This Row],[Account Withdrawl Amount] ], )</f>
        <v>0</v>
      </c>
      <c r="R96" s="128">
        <f>IF(Table312[[#This Row],[CODE]]=14, Table312[ [#This Row],[Account Deposit Amount] ]-Table312[ [#This Row],[Account Withdrawl Amount] ], )</f>
        <v>0</v>
      </c>
      <c r="S96" s="128">
        <f>IF(Table312[[#This Row],[CODE]]=15, Table312[ [#This Row],[Account Deposit Amount] ]-Table312[ [#This Row],[Account Withdrawl Amount] ], )</f>
        <v>0</v>
      </c>
      <c r="T96" s="128">
        <f>IF(Table312[[#This Row],[CODE]]=16, Table312[ [#This Row],[Account Deposit Amount] ]-Table312[ [#This Row],[Account Withdrawl Amount] ], )</f>
        <v>0</v>
      </c>
      <c r="U96" s="127">
        <f>IF(Table312[[#This Row],[CODE]]=17, Table312[ [#This Row],[Account Deposit Amount] ]-Table312[ [#This Row],[Account Withdrawl Amount] ], )</f>
        <v>0</v>
      </c>
      <c r="V96" s="166">
        <f>IF(Table312[[#This Row],[CODE]]=18, Table312[ [#This Row],[Account Deposit Amount] ]-Table312[ [#This Row],[Account Withdrawl Amount] ], )</f>
        <v>0</v>
      </c>
    </row>
    <row r="97" spans="1:22" ht="16.2" thickBot="1">
      <c r="A97" s="130"/>
      <c r="B97" s="133"/>
      <c r="C97" s="130"/>
      <c r="D97" s="132"/>
      <c r="E97" s="128"/>
      <c r="F97" s="128"/>
      <c r="G97" s="131">
        <f t="shared" si="4"/>
        <v>17422.709999999995</v>
      </c>
      <c r="H97" s="130"/>
      <c r="I97" s="127">
        <f>IF(Table312[[#This Row],[CODE]]=1, Table312[ [#This Row],[Account Deposit Amount] ]-Table312[ [#This Row],[Account Withdrawl Amount] ], )</f>
        <v>0</v>
      </c>
      <c r="J97" s="129">
        <f>IF(Table312[[#This Row],[CODE]]=2, Table312[ [#This Row],[Account Deposit Amount] ]-Table312[ [#This Row],[Account Withdrawl Amount] ], )</f>
        <v>0</v>
      </c>
      <c r="K97" s="129">
        <f>IF(Table312[[#This Row],[CODE]]=3, Table312[ [#This Row],[Account Deposit Amount] ]-Table312[ [#This Row],[Account Withdrawl Amount] ], )</f>
        <v>0</v>
      </c>
      <c r="L97" s="128">
        <f>IF(Table312[[#This Row],[CODE]]=4, Table312[ [#This Row],[Account Deposit Amount] ]-Table312[ [#This Row],[Account Withdrawl Amount] ], )</f>
        <v>0</v>
      </c>
      <c r="M97" s="128">
        <f>IF(Table312[[#This Row],[CODE]]=5, Table312[ [#This Row],[Account Deposit Amount] ]-Table312[ [#This Row],[Account Withdrawl Amount] ], )</f>
        <v>0</v>
      </c>
      <c r="N97" s="128">
        <f>IF(Table312[[#This Row],[CODE]]=6, Table312[ [#This Row],[Account Deposit Amount] ]-Table312[ [#This Row],[Account Withdrawl Amount] ], )</f>
        <v>0</v>
      </c>
      <c r="O97" s="128">
        <f>IF(Table312[[#This Row],[CODE]]=11, Table312[ [#This Row],[Account Deposit Amount] ]-Table312[ [#This Row],[Account Withdrawl Amount] ], )</f>
        <v>0</v>
      </c>
      <c r="P97" s="128">
        <f>IF(Table312[[#This Row],[CODE]]=12, Table312[ [#This Row],[Account Deposit Amount] ]-Table312[ [#This Row],[Account Withdrawl Amount] ], )</f>
        <v>0</v>
      </c>
      <c r="Q97" s="128">
        <f>IF(Table312[[#This Row],[CODE]]=13, Table312[ [#This Row],[Account Deposit Amount] ]-Table312[ [#This Row],[Account Withdrawl Amount] ], )</f>
        <v>0</v>
      </c>
      <c r="R97" s="128">
        <f>IF(Table312[[#This Row],[CODE]]=14, Table312[ [#This Row],[Account Deposit Amount] ]-Table312[ [#This Row],[Account Withdrawl Amount] ], )</f>
        <v>0</v>
      </c>
      <c r="S97" s="128">
        <f>IF(Table312[[#This Row],[CODE]]=15, Table312[ [#This Row],[Account Deposit Amount] ]-Table312[ [#This Row],[Account Withdrawl Amount] ], )</f>
        <v>0</v>
      </c>
      <c r="T97" s="128">
        <f>IF(Table312[[#This Row],[CODE]]=16, Table312[ [#This Row],[Account Deposit Amount] ]-Table312[ [#This Row],[Account Withdrawl Amount] ], )</f>
        <v>0</v>
      </c>
      <c r="U97" s="127">
        <f>IF(Table312[[#This Row],[CODE]]=17, Table312[ [#This Row],[Account Deposit Amount] ]-Table312[ [#This Row],[Account Withdrawl Amount] ], )</f>
        <v>0</v>
      </c>
      <c r="V97" s="166">
        <f>IF(Table312[[#This Row],[CODE]]=18, Table312[ [#This Row],[Account Deposit Amount] ]-Table312[ [#This Row],[Account Withdrawl Amount] ], )</f>
        <v>0</v>
      </c>
    </row>
    <row r="98" spans="1:22" ht="16.2" thickBot="1">
      <c r="A98" s="130"/>
      <c r="B98" s="133"/>
      <c r="C98" s="130"/>
      <c r="D98" s="132"/>
      <c r="E98" s="128"/>
      <c r="F98" s="128"/>
      <c r="G98" s="131">
        <f t="shared" si="4"/>
        <v>17422.709999999995</v>
      </c>
      <c r="H98" s="130"/>
      <c r="I98" s="127">
        <f>IF(Table312[[#This Row],[CODE]]=1, Table312[ [#This Row],[Account Deposit Amount] ]-Table312[ [#This Row],[Account Withdrawl Amount] ], )</f>
        <v>0</v>
      </c>
      <c r="J98" s="129">
        <f>IF(Table312[[#This Row],[CODE]]=2, Table312[ [#This Row],[Account Deposit Amount] ]-Table312[ [#This Row],[Account Withdrawl Amount] ], )</f>
        <v>0</v>
      </c>
      <c r="K98" s="129">
        <f>IF(Table312[[#This Row],[CODE]]=3, Table312[ [#This Row],[Account Deposit Amount] ]-Table312[ [#This Row],[Account Withdrawl Amount] ], )</f>
        <v>0</v>
      </c>
      <c r="L98" s="128">
        <f>IF(Table312[[#This Row],[CODE]]=4, Table312[ [#This Row],[Account Deposit Amount] ]-Table312[ [#This Row],[Account Withdrawl Amount] ], )</f>
        <v>0</v>
      </c>
      <c r="M98" s="128">
        <f>IF(Table312[[#This Row],[CODE]]=5, Table312[ [#This Row],[Account Deposit Amount] ]-Table312[ [#This Row],[Account Withdrawl Amount] ], )</f>
        <v>0</v>
      </c>
      <c r="N98" s="128">
        <f>IF(Table312[[#This Row],[CODE]]=6, Table312[ [#This Row],[Account Deposit Amount] ]-Table312[ [#This Row],[Account Withdrawl Amount] ], )</f>
        <v>0</v>
      </c>
      <c r="O98" s="128">
        <f>IF(Table312[[#This Row],[CODE]]=11, Table312[ [#This Row],[Account Deposit Amount] ]-Table312[ [#This Row],[Account Withdrawl Amount] ], )</f>
        <v>0</v>
      </c>
      <c r="P98" s="128">
        <f>IF(Table312[[#This Row],[CODE]]=12, Table312[ [#This Row],[Account Deposit Amount] ]-Table312[ [#This Row],[Account Withdrawl Amount] ], )</f>
        <v>0</v>
      </c>
      <c r="Q98" s="128">
        <f>IF(Table312[[#This Row],[CODE]]=13, Table312[ [#This Row],[Account Deposit Amount] ]-Table312[ [#This Row],[Account Withdrawl Amount] ], )</f>
        <v>0</v>
      </c>
      <c r="R98" s="128">
        <f>IF(Table312[[#This Row],[CODE]]=14, Table312[ [#This Row],[Account Deposit Amount] ]-Table312[ [#This Row],[Account Withdrawl Amount] ], )</f>
        <v>0</v>
      </c>
      <c r="S98" s="128">
        <f>IF(Table312[[#This Row],[CODE]]=15, Table312[ [#This Row],[Account Deposit Amount] ]-Table312[ [#This Row],[Account Withdrawl Amount] ], )</f>
        <v>0</v>
      </c>
      <c r="T98" s="128">
        <f>IF(Table312[[#This Row],[CODE]]=16, Table312[ [#This Row],[Account Deposit Amount] ]-Table312[ [#This Row],[Account Withdrawl Amount] ], )</f>
        <v>0</v>
      </c>
      <c r="U98" s="127">
        <f>IF(Table312[[#This Row],[CODE]]=17, Table312[ [#This Row],[Account Deposit Amount] ]-Table312[ [#This Row],[Account Withdrawl Amount] ], )</f>
        <v>0</v>
      </c>
      <c r="V98" s="166">
        <f>IF(Table312[[#This Row],[CODE]]=18, Table312[ [#This Row],[Account Deposit Amount] ]-Table312[ [#This Row],[Account Withdrawl Amount] ], )</f>
        <v>0</v>
      </c>
    </row>
    <row r="99" spans="1:22" ht="16.2" thickBot="1">
      <c r="A99" s="130"/>
      <c r="B99" s="133"/>
      <c r="C99" s="130"/>
      <c r="D99" s="132"/>
      <c r="E99" s="128"/>
      <c r="F99" s="128"/>
      <c r="G99" s="131">
        <f t="shared" si="4"/>
        <v>17422.709999999995</v>
      </c>
      <c r="H99" s="130"/>
      <c r="I99" s="127">
        <f>IF(Table312[[#This Row],[CODE]]=1, Table312[ [#This Row],[Account Deposit Amount] ]-Table312[ [#This Row],[Account Withdrawl Amount] ], )</f>
        <v>0</v>
      </c>
      <c r="J99" s="129">
        <f>IF(Table312[[#This Row],[CODE]]=2, Table312[ [#This Row],[Account Deposit Amount] ]-Table312[ [#This Row],[Account Withdrawl Amount] ], )</f>
        <v>0</v>
      </c>
      <c r="K99" s="129">
        <f>IF(Table312[[#This Row],[CODE]]=3, Table312[ [#This Row],[Account Deposit Amount] ]-Table312[ [#This Row],[Account Withdrawl Amount] ], )</f>
        <v>0</v>
      </c>
      <c r="L99" s="128">
        <f>IF(Table312[[#This Row],[CODE]]=4, Table312[ [#This Row],[Account Deposit Amount] ]-Table312[ [#This Row],[Account Withdrawl Amount] ], )</f>
        <v>0</v>
      </c>
      <c r="M99" s="128">
        <f>IF(Table312[[#This Row],[CODE]]=5, Table312[ [#This Row],[Account Deposit Amount] ]-Table312[ [#This Row],[Account Withdrawl Amount] ], )</f>
        <v>0</v>
      </c>
      <c r="N99" s="128">
        <f>IF(Table312[[#This Row],[CODE]]=6, Table312[ [#This Row],[Account Deposit Amount] ]-Table312[ [#This Row],[Account Withdrawl Amount] ], )</f>
        <v>0</v>
      </c>
      <c r="O99" s="128">
        <f>IF(Table312[[#This Row],[CODE]]=11, Table312[ [#This Row],[Account Deposit Amount] ]-Table312[ [#This Row],[Account Withdrawl Amount] ], )</f>
        <v>0</v>
      </c>
      <c r="P99" s="128">
        <f>IF(Table312[[#This Row],[CODE]]=12, Table312[ [#This Row],[Account Deposit Amount] ]-Table312[ [#This Row],[Account Withdrawl Amount] ], )</f>
        <v>0</v>
      </c>
      <c r="Q99" s="128">
        <f>IF(Table312[[#This Row],[CODE]]=13, Table312[ [#This Row],[Account Deposit Amount] ]-Table312[ [#This Row],[Account Withdrawl Amount] ], )</f>
        <v>0</v>
      </c>
      <c r="R99" s="128">
        <f>IF(Table312[[#This Row],[CODE]]=14, Table312[ [#This Row],[Account Deposit Amount] ]-Table312[ [#This Row],[Account Withdrawl Amount] ], )</f>
        <v>0</v>
      </c>
      <c r="S99" s="128">
        <f>IF(Table312[[#This Row],[CODE]]=15, Table312[ [#This Row],[Account Deposit Amount] ]-Table312[ [#This Row],[Account Withdrawl Amount] ], )</f>
        <v>0</v>
      </c>
      <c r="T99" s="128">
        <f>IF(Table312[[#This Row],[CODE]]=16, Table312[ [#This Row],[Account Deposit Amount] ]-Table312[ [#This Row],[Account Withdrawl Amount] ], )</f>
        <v>0</v>
      </c>
      <c r="U99" s="127">
        <f>IF(Table312[[#This Row],[CODE]]=17, Table312[ [#This Row],[Account Deposit Amount] ]-Table312[ [#This Row],[Account Withdrawl Amount] ], )</f>
        <v>0</v>
      </c>
      <c r="V99" s="166">
        <f>IF(Table312[[#This Row],[CODE]]=18, Table312[ [#This Row],[Account Deposit Amount] ]-Table312[ [#This Row],[Account Withdrawl Amount] ], )</f>
        <v>0</v>
      </c>
    </row>
    <row r="100" spans="1:22" ht="16.2" thickBot="1">
      <c r="A100" s="130"/>
      <c r="B100" s="133"/>
      <c r="C100" s="130"/>
      <c r="D100" s="132"/>
      <c r="E100" s="128"/>
      <c r="F100" s="128"/>
      <c r="G100" s="131">
        <f t="shared" si="4"/>
        <v>17422.709999999995</v>
      </c>
      <c r="H100" s="130"/>
      <c r="I100" s="127">
        <f>IF(Table312[[#This Row],[CODE]]=1, Table312[ [#This Row],[Account Deposit Amount] ]-Table312[ [#This Row],[Account Withdrawl Amount] ], )</f>
        <v>0</v>
      </c>
      <c r="J100" s="129">
        <f>IF(Table312[[#This Row],[CODE]]=2, Table312[ [#This Row],[Account Deposit Amount] ]-Table312[ [#This Row],[Account Withdrawl Amount] ], )</f>
        <v>0</v>
      </c>
      <c r="K100" s="129">
        <f>IF(Table312[[#This Row],[CODE]]=3, Table312[ [#This Row],[Account Deposit Amount] ]-Table312[ [#This Row],[Account Withdrawl Amount] ], )</f>
        <v>0</v>
      </c>
      <c r="L100" s="128">
        <f>IF(Table312[[#This Row],[CODE]]=4, Table312[ [#This Row],[Account Deposit Amount] ]-Table312[ [#This Row],[Account Withdrawl Amount] ], )</f>
        <v>0</v>
      </c>
      <c r="M100" s="128">
        <f>IF(Table312[[#This Row],[CODE]]=5, Table312[ [#This Row],[Account Deposit Amount] ]-Table312[ [#This Row],[Account Withdrawl Amount] ], )</f>
        <v>0</v>
      </c>
      <c r="N100" s="128">
        <f>IF(Table312[[#This Row],[CODE]]=6, Table312[ [#This Row],[Account Deposit Amount] ]-Table312[ [#This Row],[Account Withdrawl Amount] ], )</f>
        <v>0</v>
      </c>
      <c r="O100" s="128">
        <f>IF(Table312[[#This Row],[CODE]]=11, Table312[ [#This Row],[Account Deposit Amount] ]-Table312[ [#This Row],[Account Withdrawl Amount] ], )</f>
        <v>0</v>
      </c>
      <c r="P100" s="128">
        <f>IF(Table312[[#This Row],[CODE]]=12, Table312[ [#This Row],[Account Deposit Amount] ]-Table312[ [#This Row],[Account Withdrawl Amount] ], )</f>
        <v>0</v>
      </c>
      <c r="Q100" s="128">
        <f>IF(Table312[[#This Row],[CODE]]=13, Table312[ [#This Row],[Account Deposit Amount] ]-Table312[ [#This Row],[Account Withdrawl Amount] ], )</f>
        <v>0</v>
      </c>
      <c r="R100" s="128">
        <f>IF(Table312[[#This Row],[CODE]]=14, Table312[ [#This Row],[Account Deposit Amount] ]-Table312[ [#This Row],[Account Withdrawl Amount] ], )</f>
        <v>0</v>
      </c>
      <c r="S100" s="128">
        <f>IF(Table312[[#This Row],[CODE]]=15, Table312[ [#This Row],[Account Deposit Amount] ]-Table312[ [#This Row],[Account Withdrawl Amount] ], )</f>
        <v>0</v>
      </c>
      <c r="T100" s="128">
        <f>IF(Table312[[#This Row],[CODE]]=16, Table312[ [#This Row],[Account Deposit Amount] ]-Table312[ [#This Row],[Account Withdrawl Amount] ], )</f>
        <v>0</v>
      </c>
      <c r="U100" s="127">
        <f>IF(Table312[[#This Row],[CODE]]=17, Table312[ [#This Row],[Account Deposit Amount] ]-Table312[ [#This Row],[Account Withdrawl Amount] ], )</f>
        <v>0</v>
      </c>
      <c r="V100" s="166">
        <f>IF(Table312[[#This Row],[CODE]]=18, Table312[ [#This Row],[Account Deposit Amount] ]-Table312[ [#This Row],[Account Withdrawl Amount] ], )</f>
        <v>0</v>
      </c>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2370D-ACE7-4C7D-BEBC-F3BEDF093274}">
  <dimension ref="A1:AB100"/>
  <sheetViews>
    <sheetView topLeftCell="J1" zoomScale="85" zoomScaleNormal="85" workbookViewId="0">
      <selection activeCell="V5" sqref="V5"/>
    </sheetView>
  </sheetViews>
  <sheetFormatPr defaultColWidth="12.44140625" defaultRowHeight="15.6"/>
  <cols>
    <col min="1" max="2" width="12.44140625" style="126"/>
    <col min="3" max="3" width="37.44140625" style="126" customWidth="1"/>
    <col min="4" max="16384" width="12.44140625" style="126"/>
  </cols>
  <sheetData>
    <row r="1" spans="1:28" s="4" customFormat="1" ht="15.75" customHeight="1" thickBot="1">
      <c r="A1" s="16"/>
      <c r="B1" s="2"/>
      <c r="C1" s="1"/>
      <c r="D1" s="1"/>
      <c r="E1" s="29"/>
      <c r="F1" s="30"/>
      <c r="G1" s="3" t="s">
        <v>180</v>
      </c>
      <c r="H1" s="3"/>
      <c r="I1" s="338" t="s">
        <v>49</v>
      </c>
      <c r="J1" s="339"/>
      <c r="K1" s="339"/>
      <c r="L1" s="339"/>
      <c r="M1" s="340">
        <f>SUM(I2:N2)</f>
        <v>0</v>
      </c>
      <c r="N1" s="340"/>
      <c r="O1" s="344" t="s">
        <v>50</v>
      </c>
      <c r="P1" s="344"/>
      <c r="Q1" s="344"/>
      <c r="R1" s="344"/>
      <c r="S1" s="344"/>
      <c r="T1" s="344"/>
      <c r="U1" s="342">
        <f>SUM(O2:V2)</f>
        <v>-565.5</v>
      </c>
      <c r="V1" s="343"/>
      <c r="W1" s="1"/>
      <c r="X1" s="1"/>
      <c r="Y1" s="1"/>
      <c r="Z1" s="1"/>
    </row>
    <row r="2" spans="1:28" s="4" customFormat="1" ht="12.6" thickBot="1">
      <c r="A2" s="1"/>
      <c r="B2" s="2"/>
      <c r="C2" s="1"/>
      <c r="D2" s="1" t="s">
        <v>51</v>
      </c>
      <c r="E2" s="5">
        <f>SUM(E4:E1173)</f>
        <v>0</v>
      </c>
      <c r="F2" s="5">
        <f>SUM(F4:F1173)</f>
        <v>565.5</v>
      </c>
      <c r="G2" s="6">
        <f>G4+E2-F2</f>
        <v>16857.209999999995</v>
      </c>
      <c r="H2" s="81"/>
      <c r="I2" s="7">
        <f t="shared" ref="I2:T2" si="0">SUM(I4:I1173)</f>
        <v>0</v>
      </c>
      <c r="J2" s="8">
        <f t="shared" si="0"/>
        <v>0</v>
      </c>
      <c r="K2" s="8">
        <f t="shared" si="0"/>
        <v>0</v>
      </c>
      <c r="L2" s="7">
        <f t="shared" si="0"/>
        <v>0</v>
      </c>
      <c r="M2" s="7">
        <f t="shared" si="0"/>
        <v>0</v>
      </c>
      <c r="N2" s="7">
        <f t="shared" si="0"/>
        <v>0</v>
      </c>
      <c r="O2" s="9">
        <f t="shared" si="0"/>
        <v>0</v>
      </c>
      <c r="P2" s="9">
        <f t="shared" si="0"/>
        <v>-264.20999999999998</v>
      </c>
      <c r="Q2" s="9">
        <f t="shared" si="0"/>
        <v>-6.63</v>
      </c>
      <c r="R2" s="9">
        <f t="shared" si="0"/>
        <v>0</v>
      </c>
      <c r="S2" s="9">
        <f t="shared" si="0"/>
        <v>0</v>
      </c>
      <c r="T2" s="9">
        <f t="shared" si="0"/>
        <v>-294.65999999999997</v>
      </c>
      <c r="U2" s="9">
        <f t="shared" ref="U2:V2" si="1">SUM(U4:U1006)</f>
        <v>0</v>
      </c>
      <c r="V2" s="9">
        <f t="shared" si="1"/>
        <v>0</v>
      </c>
      <c r="W2" s="1"/>
      <c r="X2" s="1"/>
      <c r="Y2" s="1"/>
      <c r="Z2" s="1"/>
    </row>
    <row r="3" spans="1:28"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167" t="s">
        <v>198</v>
      </c>
      <c r="W3" s="35" t="s">
        <v>198</v>
      </c>
      <c r="X3" s="14"/>
      <c r="Y3" s="14"/>
      <c r="Z3" s="14"/>
      <c r="AA3" s="14"/>
      <c r="AB3" s="14"/>
    </row>
    <row r="4" spans="1:28" ht="16.2" thickBot="1">
      <c r="A4" s="138"/>
      <c r="B4" s="139">
        <v>44866</v>
      </c>
      <c r="C4" s="146" t="s">
        <v>415</v>
      </c>
      <c r="D4" s="138"/>
      <c r="E4" s="145"/>
      <c r="F4" s="144"/>
      <c r="G4" s="143">
        <f>Oct!G2</f>
        <v>17422.709999999995</v>
      </c>
      <c r="H4" s="155"/>
      <c r="I4" s="127">
        <f>IF(Table314[[#This Row],[CODE]]=1, Table314[ [#This Row],[Account Deposit Amount] ]-Table314[ [#This Row],[Account Withdrawl Amount] ], )</f>
        <v>0</v>
      </c>
      <c r="J4" s="142">
        <f>IF(Table314[[#This Row],[CODE]]=2, Table314[ [#This Row],[Account Deposit Amount] ]-Table314[ [#This Row],[Account Withdrawl Amount] ], )</f>
        <v>0</v>
      </c>
      <c r="K4" s="142">
        <f>IF(Table314[[#This Row],[CODE]]=3, Table314[ [#This Row],[Account Deposit Amount] ]-Table314[ [#This Row],[Account Withdrawl Amount] ], )</f>
        <v>0</v>
      </c>
      <c r="L4" s="141">
        <f>IF(Table314[[#This Row],[CODE]]=4, Table314[ [#This Row],[Account Deposit Amount] ]-Table314[ [#This Row],[Account Withdrawl Amount] ], )</f>
        <v>0</v>
      </c>
      <c r="M4" s="141">
        <f>IF(Table314[[#This Row],[CODE]]=5, Table314[ [#This Row],[Account Deposit Amount] ]-Table314[ [#This Row],[Account Withdrawl Amount] ], )</f>
        <v>0</v>
      </c>
      <c r="N4" s="141">
        <f>IF(Table314[[#This Row],[CODE]]=6, Table314[ [#This Row],[Account Deposit Amount] ]-Table314[ [#This Row],[Account Withdrawl Amount] ], )</f>
        <v>0</v>
      </c>
      <c r="O4" s="141">
        <f>IF(Table314[[#This Row],[CODE]]=11, Table314[ [#This Row],[Account Deposit Amount] ]-Table314[ [#This Row],[Account Withdrawl Amount] ], )</f>
        <v>0</v>
      </c>
      <c r="P4" s="141">
        <f>IF(Table314[[#This Row],[CODE]]=12, Table314[ [#This Row],[Account Deposit Amount] ]-Table314[ [#This Row],[Account Withdrawl Amount] ], )</f>
        <v>0</v>
      </c>
      <c r="Q4" s="141">
        <f>IF(Table314[[#This Row],[CODE]]=13, Table314[ [#This Row],[Account Deposit Amount] ]-Table314[ [#This Row],[Account Withdrawl Amount] ], )</f>
        <v>0</v>
      </c>
      <c r="R4" s="141">
        <f>IF(Table314[[#This Row],[CODE]]=14, Table314[ [#This Row],[Account Deposit Amount] ]-Table314[ [#This Row],[Account Withdrawl Amount] ], )</f>
        <v>0</v>
      </c>
      <c r="S4" s="141">
        <f>IF(Table314[[#This Row],[CODE]]=15, Table314[ [#This Row],[Account Deposit Amount] ]-Table314[ [#This Row],[Account Withdrawl Amount] ], )</f>
        <v>0</v>
      </c>
      <c r="T4" s="141">
        <f>IF(Table314[[#This Row],[CODE]]=16, Table314[ [#This Row],[Account Deposit Amount] ]-Table314[ [#This Row],[Account Withdrawl Amount] ], )</f>
        <v>0</v>
      </c>
      <c r="U4" s="141">
        <f>IF(Table314[[#This Row],[CODE]]=17, Table314[ [#This Row],[Account Deposit Amount] ]-Table314[ [#This Row],[Account Withdrawl Amount] ], )</f>
        <v>0</v>
      </c>
      <c r="V4" s="168">
        <f>IF(Table314[[#This Row],[CODE]]=18, Table314[ [#This Row],[Account Deposit Amount] ]-Table312[ [#This Row],[Account Withdrawl Amount] ], )</f>
        <v>0</v>
      </c>
    </row>
    <row r="5" spans="1:28" ht="16.2" thickBot="1">
      <c r="A5" s="150" t="s">
        <v>241</v>
      </c>
      <c r="B5" s="151">
        <v>44869</v>
      </c>
      <c r="C5" s="150" t="s">
        <v>201</v>
      </c>
      <c r="D5" s="138" t="s">
        <v>67</v>
      </c>
      <c r="E5" s="150"/>
      <c r="F5" s="150">
        <v>165.36</v>
      </c>
      <c r="G5" s="134">
        <f t="shared" ref="G5:G36" si="2">G4+E5-F5</f>
        <v>17257.349999999995</v>
      </c>
      <c r="H5" s="138">
        <v>12</v>
      </c>
      <c r="I5" s="127">
        <f>IF(Table314[[#This Row],[CODE]]=1, Table314[ [#This Row],[Account Deposit Amount] ]-Table314[ [#This Row],[Account Withdrawl Amount] ], )</f>
        <v>0</v>
      </c>
      <c r="J5" s="137">
        <f>IF(Table314[[#This Row],[CODE]]=2, Table314[ [#This Row],[Account Deposit Amount] ]-Table314[ [#This Row],[Account Withdrawl Amount] ], )</f>
        <v>0</v>
      </c>
      <c r="K5" s="137">
        <f>IF(Table314[[#This Row],[CODE]]=3, Table314[ [#This Row],[Account Deposit Amount] ]-Table314[ [#This Row],[Account Withdrawl Amount] ], )</f>
        <v>0</v>
      </c>
      <c r="L5" s="136">
        <f>IF(Table314[[#This Row],[CODE]]=4, Table314[ [#This Row],[Account Deposit Amount] ]-Table314[ [#This Row],[Account Withdrawl Amount] ], )</f>
        <v>0</v>
      </c>
      <c r="M5" s="136">
        <f>IF(Table314[[#This Row],[CODE]]=5, Table314[ [#This Row],[Account Deposit Amount] ]-Table314[ [#This Row],[Account Withdrawl Amount] ], )</f>
        <v>0</v>
      </c>
      <c r="N5" s="136">
        <f>IF(Table314[[#This Row],[CODE]]=6, Table314[ [#This Row],[Account Deposit Amount] ]-Table314[ [#This Row],[Account Withdrawl Amount] ], )</f>
        <v>0</v>
      </c>
      <c r="O5" s="136">
        <f>IF(Table314[[#This Row],[CODE]]=11, Table314[ [#This Row],[Account Deposit Amount] ]-Table314[ [#This Row],[Account Withdrawl Amount] ], )</f>
        <v>0</v>
      </c>
      <c r="P5" s="136">
        <f>IF(Table314[[#This Row],[CODE]]=12, Table314[ [#This Row],[Account Deposit Amount] ]-Table314[ [#This Row],[Account Withdrawl Amount] ], )</f>
        <v>-165.36</v>
      </c>
      <c r="Q5" s="136">
        <f>IF(Table314[[#This Row],[CODE]]=13, Table314[ [#This Row],[Account Deposit Amount] ]-Table314[ [#This Row],[Account Withdrawl Amount] ], )</f>
        <v>0</v>
      </c>
      <c r="R5" s="136">
        <f>IF(Table314[[#This Row],[CODE]]=14, Table314[ [#This Row],[Account Deposit Amount] ]-Table314[ [#This Row],[Account Withdrawl Amount] ], )</f>
        <v>0</v>
      </c>
      <c r="S5" s="136">
        <f>IF(Table314[[#This Row],[CODE]]=15, Table314[ [#This Row],[Account Deposit Amount] ]-Table314[ [#This Row],[Account Withdrawl Amount] ], )</f>
        <v>0</v>
      </c>
      <c r="T5" s="136">
        <f>IF(Table314[[#This Row],[CODE]]=16, Table314[ [#This Row],[Account Deposit Amount] ]-Table314[ [#This Row],[Account Withdrawl Amount] ], )</f>
        <v>0</v>
      </c>
      <c r="U5" s="135">
        <f>IF(Table314[[#This Row],[CODE]]=17, Table314[ [#This Row],[Account Deposit Amount] ]-Table314[ [#This Row],[Account Withdrawl Amount] ], )</f>
        <v>0</v>
      </c>
      <c r="V5" s="169">
        <f>IF(Table314[[#This Row],[CODE]]=18, Table314[ [#This Row],[Account Deposit Amount] ]-Table312[ [#This Row],[Account Withdrawl Amount] ], )</f>
        <v>0</v>
      </c>
    </row>
    <row r="6" spans="1:28" ht="16.2" thickBot="1">
      <c r="A6" s="150" t="s">
        <v>241</v>
      </c>
      <c r="B6" s="151">
        <v>44869</v>
      </c>
      <c r="C6" s="150" t="s">
        <v>201</v>
      </c>
      <c r="D6" s="132" t="s">
        <v>67</v>
      </c>
      <c r="E6" s="150"/>
      <c r="F6" s="150">
        <v>43.73</v>
      </c>
      <c r="G6" s="134">
        <f t="shared" si="2"/>
        <v>17213.619999999995</v>
      </c>
      <c r="H6" s="130">
        <v>12</v>
      </c>
      <c r="I6" s="127">
        <f>IF(Table314[[#This Row],[CODE]]=1, Table314[ [#This Row],[Account Deposit Amount] ]-Table314[ [#This Row],[Account Withdrawl Amount] ], )</f>
        <v>0</v>
      </c>
      <c r="J6" s="129">
        <f>IF(Table314[[#This Row],[CODE]]=2, Table314[ [#This Row],[Account Deposit Amount] ]-Table314[ [#This Row],[Account Withdrawl Amount] ], )</f>
        <v>0</v>
      </c>
      <c r="K6" s="129">
        <f>IF(Table314[[#This Row],[CODE]]=3, Table314[ [#This Row],[Account Deposit Amount] ]-Table314[ [#This Row],[Account Withdrawl Amount] ], )</f>
        <v>0</v>
      </c>
      <c r="L6" s="128">
        <f>IF(Table314[[#This Row],[CODE]]=4, Table314[ [#This Row],[Account Deposit Amount] ]-Table314[ [#This Row],[Account Withdrawl Amount] ], )</f>
        <v>0</v>
      </c>
      <c r="M6" s="128">
        <f>IF(Table314[[#This Row],[CODE]]=5, Table314[ [#This Row],[Account Deposit Amount] ]-Table314[ [#This Row],[Account Withdrawl Amount] ], )</f>
        <v>0</v>
      </c>
      <c r="N6" s="128">
        <f>IF(Table314[[#This Row],[CODE]]=6, Table314[ [#This Row],[Account Deposit Amount] ]-Table314[ [#This Row],[Account Withdrawl Amount] ], )</f>
        <v>0</v>
      </c>
      <c r="O6" s="128">
        <f>IF(Table314[[#This Row],[CODE]]=11, Table314[ [#This Row],[Account Deposit Amount] ]-Table314[ [#This Row],[Account Withdrawl Amount] ], )</f>
        <v>0</v>
      </c>
      <c r="P6" s="128">
        <f>IF(Table314[[#This Row],[CODE]]=12, Table314[ [#This Row],[Account Deposit Amount] ]-Table314[ [#This Row],[Account Withdrawl Amount] ], )</f>
        <v>-43.73</v>
      </c>
      <c r="Q6" s="128">
        <f>IF(Table314[[#This Row],[CODE]]=13, Table314[ [#This Row],[Account Deposit Amount] ]-Table314[ [#This Row],[Account Withdrawl Amount] ], )</f>
        <v>0</v>
      </c>
      <c r="R6" s="128">
        <f>IF(Table314[[#This Row],[CODE]]=14, Table314[ [#This Row],[Account Deposit Amount] ]-Table314[ [#This Row],[Account Withdrawl Amount] ], )</f>
        <v>0</v>
      </c>
      <c r="S6" s="128">
        <f>IF(Table314[[#This Row],[CODE]]=15, Table314[ [#This Row],[Account Deposit Amount] ]-Table314[ [#This Row],[Account Withdrawl Amount] ], )</f>
        <v>0</v>
      </c>
      <c r="T6" s="128">
        <f>IF(Table314[[#This Row],[CODE]]=16, Table314[ [#This Row],[Account Deposit Amount] ]-Table314[ [#This Row],[Account Withdrawl Amount] ], )</f>
        <v>0</v>
      </c>
      <c r="U6" s="127">
        <f>IF(Table314[[#This Row],[CODE]]=17, Table314[ [#This Row],[Account Deposit Amount] ]-Table314[ [#This Row],[Account Withdrawl Amount] ], )</f>
        <v>0</v>
      </c>
      <c r="V6" s="166">
        <f>IF(Table314[[#This Row],[CODE]]=18, Table314[ [#This Row],[Account Deposit Amount] ]-Table312[ [#This Row],[Account Withdrawl Amount] ], )</f>
        <v>0</v>
      </c>
    </row>
    <row r="7" spans="1:28" ht="25.2" thickBot="1">
      <c r="A7" s="150" t="s">
        <v>241</v>
      </c>
      <c r="B7" s="151">
        <v>44877</v>
      </c>
      <c r="C7" s="150" t="s">
        <v>416</v>
      </c>
      <c r="D7" s="132" t="s">
        <v>417</v>
      </c>
      <c r="E7" s="150"/>
      <c r="F7" s="150">
        <v>14.61</v>
      </c>
      <c r="G7" s="134">
        <f t="shared" si="2"/>
        <v>17199.009999999995</v>
      </c>
      <c r="H7" s="130">
        <v>16</v>
      </c>
      <c r="I7" s="127">
        <f>IF(Table314[[#This Row],[CODE]]=1, Table314[ [#This Row],[Account Deposit Amount] ]-Table314[ [#This Row],[Account Withdrawl Amount] ], )</f>
        <v>0</v>
      </c>
      <c r="J7" s="129">
        <f>IF(Table314[[#This Row],[CODE]]=2, Table314[ [#This Row],[Account Deposit Amount] ]-Table314[ [#This Row],[Account Withdrawl Amount] ], )</f>
        <v>0</v>
      </c>
      <c r="K7" s="129">
        <f>IF(Table314[[#This Row],[CODE]]=3, Table314[ [#This Row],[Account Deposit Amount] ]-Table314[ [#This Row],[Account Withdrawl Amount] ], )</f>
        <v>0</v>
      </c>
      <c r="L7" s="128">
        <f>IF(Table314[[#This Row],[CODE]]=4, Table314[ [#This Row],[Account Deposit Amount] ]-Table314[ [#This Row],[Account Withdrawl Amount] ], )</f>
        <v>0</v>
      </c>
      <c r="M7" s="128">
        <f>IF(Table314[[#This Row],[CODE]]=5, Table314[ [#This Row],[Account Deposit Amount] ]-Table314[ [#This Row],[Account Withdrawl Amount] ], )</f>
        <v>0</v>
      </c>
      <c r="N7" s="128">
        <f>IF(Table314[[#This Row],[CODE]]=6, Table314[ [#This Row],[Account Deposit Amount] ]-Table314[ [#This Row],[Account Withdrawl Amount] ], )</f>
        <v>0</v>
      </c>
      <c r="O7" s="128">
        <f>IF(Table314[[#This Row],[CODE]]=11, Table314[ [#This Row],[Account Deposit Amount] ]-Table314[ [#This Row],[Account Withdrawl Amount] ], )</f>
        <v>0</v>
      </c>
      <c r="P7" s="128">
        <f>IF(Table314[[#This Row],[CODE]]=12, Table314[ [#This Row],[Account Deposit Amount] ]-Table314[ [#This Row],[Account Withdrawl Amount] ], )</f>
        <v>0</v>
      </c>
      <c r="Q7" s="128">
        <f>IF(Table314[[#This Row],[CODE]]=13, Table314[ [#This Row],[Account Deposit Amount] ]-Table314[ [#This Row],[Account Withdrawl Amount] ], )</f>
        <v>0</v>
      </c>
      <c r="R7" s="128">
        <f>IF(Table314[[#This Row],[CODE]]=14, Table314[ [#This Row],[Account Deposit Amount] ]-Table314[ [#This Row],[Account Withdrawl Amount] ], )</f>
        <v>0</v>
      </c>
      <c r="S7" s="128">
        <f>IF(Table314[[#This Row],[CODE]]=15, Table314[ [#This Row],[Account Deposit Amount] ]-Table314[ [#This Row],[Account Withdrawl Amount] ], )</f>
        <v>0</v>
      </c>
      <c r="T7" s="128">
        <f>IF(Table314[[#This Row],[CODE]]=16, Table314[ [#This Row],[Account Deposit Amount] ]-Table314[ [#This Row],[Account Withdrawl Amount] ], )</f>
        <v>-14.61</v>
      </c>
      <c r="U7" s="127">
        <f>IF(Table314[[#This Row],[CODE]]=17, Table314[ [#This Row],[Account Deposit Amount] ]-Table314[ [#This Row],[Account Withdrawl Amount] ], )</f>
        <v>0</v>
      </c>
      <c r="V7" s="166">
        <f>IF(Table314[[#This Row],[CODE]]=18, Table314[ [#This Row],[Account Deposit Amount] ]-Table312[ [#This Row],[Account Withdrawl Amount] ], )</f>
        <v>0</v>
      </c>
    </row>
    <row r="8" spans="1:28" ht="16.2" thickBot="1">
      <c r="A8" s="150" t="s">
        <v>241</v>
      </c>
      <c r="B8" s="151">
        <v>44879</v>
      </c>
      <c r="C8" s="150" t="s">
        <v>418</v>
      </c>
      <c r="D8" s="132" t="s">
        <v>419</v>
      </c>
      <c r="E8" s="150"/>
      <c r="F8" s="150">
        <v>41.76</v>
      </c>
      <c r="G8" s="134">
        <f t="shared" si="2"/>
        <v>17157.249999999996</v>
      </c>
      <c r="H8" s="130">
        <v>16</v>
      </c>
      <c r="I8" s="127">
        <f>IF(Table314[[#This Row],[CODE]]=1, Table314[ [#This Row],[Account Deposit Amount] ]-Table314[ [#This Row],[Account Withdrawl Amount] ], )</f>
        <v>0</v>
      </c>
      <c r="J8" s="129">
        <f>IF(Table314[[#This Row],[CODE]]=2, Table314[ [#This Row],[Account Deposit Amount] ]-Table314[ [#This Row],[Account Withdrawl Amount] ], )</f>
        <v>0</v>
      </c>
      <c r="K8" s="129">
        <f>IF(Table314[[#This Row],[CODE]]=3, Table314[ [#This Row],[Account Deposit Amount] ]-Table314[ [#This Row],[Account Withdrawl Amount] ], )</f>
        <v>0</v>
      </c>
      <c r="L8" s="128">
        <f>IF(Table314[[#This Row],[CODE]]=4, Table314[ [#This Row],[Account Deposit Amount] ]-Table314[ [#This Row],[Account Withdrawl Amount] ], )</f>
        <v>0</v>
      </c>
      <c r="M8" s="128">
        <f>IF(Table314[[#This Row],[CODE]]=5, Table314[ [#This Row],[Account Deposit Amount] ]-Table314[ [#This Row],[Account Withdrawl Amount] ], )</f>
        <v>0</v>
      </c>
      <c r="N8" s="128">
        <f>IF(Table314[[#This Row],[CODE]]=6, Table314[ [#This Row],[Account Deposit Amount] ]-Table314[ [#This Row],[Account Withdrawl Amount] ], )</f>
        <v>0</v>
      </c>
      <c r="O8" s="128">
        <f>IF(Table314[[#This Row],[CODE]]=11, Table314[ [#This Row],[Account Deposit Amount] ]-Table314[ [#This Row],[Account Withdrawl Amount] ], )</f>
        <v>0</v>
      </c>
      <c r="P8" s="128">
        <f>IF(Table314[[#This Row],[CODE]]=12, Table314[ [#This Row],[Account Deposit Amount] ]-Table314[ [#This Row],[Account Withdrawl Amount] ], )</f>
        <v>0</v>
      </c>
      <c r="Q8" s="128">
        <f>IF(Table314[[#This Row],[CODE]]=13, Table314[ [#This Row],[Account Deposit Amount] ]-Table314[ [#This Row],[Account Withdrawl Amount] ], )</f>
        <v>0</v>
      </c>
      <c r="R8" s="128">
        <f>IF(Table314[[#This Row],[CODE]]=14, Table314[ [#This Row],[Account Deposit Amount] ]-Table314[ [#This Row],[Account Withdrawl Amount] ], )</f>
        <v>0</v>
      </c>
      <c r="S8" s="128">
        <f>IF(Table314[[#This Row],[CODE]]=15, Table314[ [#This Row],[Account Deposit Amount] ]-Table314[ [#This Row],[Account Withdrawl Amount] ], )</f>
        <v>0</v>
      </c>
      <c r="T8" s="128">
        <f>IF(Table314[[#This Row],[CODE]]=16, Table314[ [#This Row],[Account Deposit Amount] ]-Table314[ [#This Row],[Account Withdrawl Amount] ], )</f>
        <v>-41.76</v>
      </c>
      <c r="U8" s="127">
        <f>IF(Table314[[#This Row],[CODE]]=17, Table314[ [#This Row],[Account Deposit Amount] ]-Table314[ [#This Row],[Account Withdrawl Amount] ], )</f>
        <v>0</v>
      </c>
      <c r="V8" s="166">
        <f>IF(Table314[[#This Row],[CODE]]=18, Table314[ [#This Row],[Account Deposit Amount] ]-Table312[ [#This Row],[Account Withdrawl Amount] ], )</f>
        <v>0</v>
      </c>
    </row>
    <row r="9" spans="1:28" ht="16.2" thickBot="1">
      <c r="A9" s="150" t="s">
        <v>241</v>
      </c>
      <c r="B9" s="151">
        <v>44879</v>
      </c>
      <c r="C9" s="150" t="s">
        <v>228</v>
      </c>
      <c r="D9" s="132" t="s">
        <v>419</v>
      </c>
      <c r="E9" s="150"/>
      <c r="F9" s="150">
        <v>17.98</v>
      </c>
      <c r="G9" s="134">
        <f t="shared" si="2"/>
        <v>17139.269999999997</v>
      </c>
      <c r="H9" s="156">
        <v>16</v>
      </c>
      <c r="I9" s="127">
        <f>IF(Table314[[#This Row],[CODE]]=1, Table314[ [#This Row],[Account Deposit Amount] ]-Table314[ [#This Row],[Account Withdrawl Amount] ], )</f>
        <v>0</v>
      </c>
      <c r="J9" s="129">
        <f>IF(Table314[[#This Row],[CODE]]=2, Table314[ [#This Row],[Account Deposit Amount] ]-Table314[ [#This Row],[Account Withdrawl Amount] ], )</f>
        <v>0</v>
      </c>
      <c r="K9" s="129">
        <f>IF(Table314[[#This Row],[CODE]]=3, Table314[ [#This Row],[Account Deposit Amount] ]-Table314[ [#This Row],[Account Withdrawl Amount] ], )</f>
        <v>0</v>
      </c>
      <c r="L9" s="128">
        <f>IF(Table314[[#This Row],[CODE]]=4, Table314[ [#This Row],[Account Deposit Amount] ]-Table314[ [#This Row],[Account Withdrawl Amount] ], )</f>
        <v>0</v>
      </c>
      <c r="M9" s="128">
        <f>IF(Table314[[#This Row],[CODE]]=5, Table314[ [#This Row],[Account Deposit Amount] ]-Table314[ [#This Row],[Account Withdrawl Amount] ], )</f>
        <v>0</v>
      </c>
      <c r="N9" s="128">
        <f>IF(Table314[[#This Row],[CODE]]=6, Table314[ [#This Row],[Account Deposit Amount] ]-Table314[ [#This Row],[Account Withdrawl Amount] ], )</f>
        <v>0</v>
      </c>
      <c r="O9" s="128">
        <f>IF(Table314[[#This Row],[CODE]]=11, Table314[ [#This Row],[Account Deposit Amount] ]-Table314[ [#This Row],[Account Withdrawl Amount] ], )</f>
        <v>0</v>
      </c>
      <c r="P9" s="128">
        <f>IF(Table314[[#This Row],[CODE]]=12, Table314[ [#This Row],[Account Deposit Amount] ]-Table314[ [#This Row],[Account Withdrawl Amount] ], )</f>
        <v>0</v>
      </c>
      <c r="Q9" s="128">
        <f>IF(Table314[[#This Row],[CODE]]=13, Table314[ [#This Row],[Account Deposit Amount] ]-Table314[ [#This Row],[Account Withdrawl Amount] ], )</f>
        <v>0</v>
      </c>
      <c r="R9" s="128">
        <f>IF(Table314[[#This Row],[CODE]]=14, Table314[ [#This Row],[Account Deposit Amount] ]-Table314[ [#This Row],[Account Withdrawl Amount] ], )</f>
        <v>0</v>
      </c>
      <c r="S9" s="128">
        <f>IF(Table314[[#This Row],[CODE]]=15, Table314[ [#This Row],[Account Deposit Amount] ]-Table314[ [#This Row],[Account Withdrawl Amount] ], )</f>
        <v>0</v>
      </c>
      <c r="T9" s="128">
        <f>IF(Table314[[#This Row],[CODE]]=16, Table314[ [#This Row],[Account Deposit Amount] ]-Table314[ [#This Row],[Account Withdrawl Amount] ], )</f>
        <v>-17.98</v>
      </c>
      <c r="U9" s="127">
        <f>IF(Table314[[#This Row],[CODE]]=17, Table314[ [#This Row],[Account Deposit Amount] ]-Table314[ [#This Row],[Account Withdrawl Amount] ], )</f>
        <v>0</v>
      </c>
      <c r="V9" s="166">
        <f>IF(Table314[[#This Row],[CODE]]=18, Table314[ [#This Row],[Account Deposit Amount] ]-Table312[ [#This Row],[Account Withdrawl Amount] ], )</f>
        <v>0</v>
      </c>
    </row>
    <row r="10" spans="1:28" ht="16.2" thickBot="1">
      <c r="A10" s="150" t="s">
        <v>241</v>
      </c>
      <c r="B10" s="151">
        <v>44883</v>
      </c>
      <c r="C10" s="150" t="s">
        <v>201</v>
      </c>
      <c r="D10" s="132" t="s">
        <v>67</v>
      </c>
      <c r="E10" s="150"/>
      <c r="F10" s="150">
        <v>55.12</v>
      </c>
      <c r="G10" s="134">
        <f t="shared" si="2"/>
        <v>17084.149999999998</v>
      </c>
      <c r="H10" s="130">
        <v>12</v>
      </c>
      <c r="I10" s="127">
        <f>IF(Table314[[#This Row],[CODE]]=1, Table314[ [#This Row],[Account Deposit Amount] ]-Table314[ [#This Row],[Account Withdrawl Amount] ], )</f>
        <v>0</v>
      </c>
      <c r="J10" s="129">
        <f>IF(Table314[[#This Row],[CODE]]=2, Table314[ [#This Row],[Account Deposit Amount] ]-Table314[ [#This Row],[Account Withdrawl Amount] ], )</f>
        <v>0</v>
      </c>
      <c r="K10" s="129">
        <f>IF(Table314[[#This Row],[CODE]]=3, Table314[ [#This Row],[Account Deposit Amount] ]-Table314[ [#This Row],[Account Withdrawl Amount] ], )</f>
        <v>0</v>
      </c>
      <c r="L10" s="128">
        <f>IF(Table314[[#This Row],[CODE]]=4, Table314[ [#This Row],[Account Deposit Amount] ]-Table314[ [#This Row],[Account Withdrawl Amount] ], )</f>
        <v>0</v>
      </c>
      <c r="M10" s="128">
        <f>IF(Table314[[#This Row],[CODE]]=5, Table314[ [#This Row],[Account Deposit Amount] ]-Table314[ [#This Row],[Account Withdrawl Amount] ], )</f>
        <v>0</v>
      </c>
      <c r="N10" s="128">
        <f>IF(Table314[[#This Row],[CODE]]=6, Table314[ [#This Row],[Account Deposit Amount] ]-Table314[ [#This Row],[Account Withdrawl Amount] ], )</f>
        <v>0</v>
      </c>
      <c r="O10" s="128">
        <f>IF(Table314[[#This Row],[CODE]]=11, Table314[ [#This Row],[Account Deposit Amount] ]-Table314[ [#This Row],[Account Withdrawl Amount] ], )</f>
        <v>0</v>
      </c>
      <c r="P10" s="128">
        <f>IF(Table314[[#This Row],[CODE]]=12, Table314[ [#This Row],[Account Deposit Amount] ]-Table314[ [#This Row],[Account Withdrawl Amount] ], )</f>
        <v>-55.12</v>
      </c>
      <c r="Q10" s="128">
        <f>IF(Table314[[#This Row],[CODE]]=13, Table314[ [#This Row],[Account Deposit Amount] ]-Table314[ [#This Row],[Account Withdrawl Amount] ], )</f>
        <v>0</v>
      </c>
      <c r="R10" s="128">
        <f>IF(Table314[[#This Row],[CODE]]=14, Table314[ [#This Row],[Account Deposit Amount] ]-Table314[ [#This Row],[Account Withdrawl Amount] ], )</f>
        <v>0</v>
      </c>
      <c r="S10" s="128">
        <f>IF(Table314[[#This Row],[CODE]]=15, Table314[ [#This Row],[Account Deposit Amount] ]-Table314[ [#This Row],[Account Withdrawl Amount] ], )</f>
        <v>0</v>
      </c>
      <c r="T10" s="128">
        <f>IF(Table314[[#This Row],[CODE]]=16, Table314[ [#This Row],[Account Deposit Amount] ]-Table314[ [#This Row],[Account Withdrawl Amount] ], )</f>
        <v>0</v>
      </c>
      <c r="U10" s="127">
        <f>IF(Table314[[#This Row],[CODE]]=17, Table314[ [#This Row],[Account Deposit Amount] ]-Table314[ [#This Row],[Account Withdrawl Amount] ], )</f>
        <v>0</v>
      </c>
      <c r="V10" s="166">
        <f>IF(Table314[[#This Row],[CODE]]=18, Table314[ [#This Row],[Account Deposit Amount] ]-Table312[ [#This Row],[Account Withdrawl Amount] ], )</f>
        <v>0</v>
      </c>
    </row>
    <row r="11" spans="1:28" ht="25.2" thickBot="1">
      <c r="A11" s="150" t="s">
        <v>420</v>
      </c>
      <c r="B11" s="151">
        <v>44893</v>
      </c>
      <c r="C11" s="150" t="s">
        <v>396</v>
      </c>
      <c r="D11" s="132" t="s">
        <v>421</v>
      </c>
      <c r="E11" s="150"/>
      <c r="F11" s="150">
        <v>6.63</v>
      </c>
      <c r="G11" s="134">
        <f t="shared" si="2"/>
        <v>17077.519999999997</v>
      </c>
      <c r="H11" s="130">
        <v>13</v>
      </c>
      <c r="I11" s="127">
        <f>IF(Table314[[#This Row],[CODE]]=1, Table314[ [#This Row],[Account Deposit Amount] ]-Table314[ [#This Row],[Account Withdrawl Amount] ], )</f>
        <v>0</v>
      </c>
      <c r="J11" s="129">
        <f>IF(Table314[[#This Row],[CODE]]=2, Table314[ [#This Row],[Account Deposit Amount] ]-Table314[ [#This Row],[Account Withdrawl Amount] ], )</f>
        <v>0</v>
      </c>
      <c r="K11" s="129">
        <f>IF(Table314[[#This Row],[CODE]]=3, Table314[ [#This Row],[Account Deposit Amount] ]-Table314[ [#This Row],[Account Withdrawl Amount] ], )</f>
        <v>0</v>
      </c>
      <c r="L11" s="128">
        <f>IF(Table314[[#This Row],[CODE]]=4, Table314[ [#This Row],[Account Deposit Amount] ]-Table314[ [#This Row],[Account Withdrawl Amount] ], )</f>
        <v>0</v>
      </c>
      <c r="M11" s="128">
        <f>IF(Table314[[#This Row],[CODE]]=5, Table314[ [#This Row],[Account Deposit Amount] ]-Table314[ [#This Row],[Account Withdrawl Amount] ], )</f>
        <v>0</v>
      </c>
      <c r="N11" s="128">
        <f>IF(Table314[[#This Row],[CODE]]=6, Table314[ [#This Row],[Account Deposit Amount] ]-Table314[ [#This Row],[Account Withdrawl Amount] ], )</f>
        <v>0</v>
      </c>
      <c r="O11" s="128">
        <f>IF(Table314[[#This Row],[CODE]]=11, Table314[ [#This Row],[Account Deposit Amount] ]-Table314[ [#This Row],[Account Withdrawl Amount] ], )</f>
        <v>0</v>
      </c>
      <c r="P11" s="128">
        <f>IF(Table314[[#This Row],[CODE]]=12, Table314[ [#This Row],[Account Deposit Amount] ]-Table314[ [#This Row],[Account Withdrawl Amount] ], )</f>
        <v>0</v>
      </c>
      <c r="Q11" s="128">
        <f>IF(Table314[[#This Row],[CODE]]=13, Table314[ [#This Row],[Account Deposit Amount] ]-Table314[ [#This Row],[Account Withdrawl Amount] ], )</f>
        <v>-6.63</v>
      </c>
      <c r="R11" s="128">
        <f>IF(Table314[[#This Row],[CODE]]=14, Table314[ [#This Row],[Account Deposit Amount] ]-Table314[ [#This Row],[Account Withdrawl Amount] ], )</f>
        <v>0</v>
      </c>
      <c r="S11" s="128">
        <f>IF(Table314[[#This Row],[CODE]]=15, Table314[ [#This Row],[Account Deposit Amount] ]-Table314[ [#This Row],[Account Withdrawl Amount] ], )</f>
        <v>0</v>
      </c>
      <c r="T11" s="128">
        <f>IF(Table314[[#This Row],[CODE]]=16, Table314[ [#This Row],[Account Deposit Amount] ]-Table314[ [#This Row],[Account Withdrawl Amount] ], )</f>
        <v>0</v>
      </c>
      <c r="U11" s="127">
        <f>IF(Table314[[#This Row],[CODE]]=17, Table314[ [#This Row],[Account Deposit Amount] ]-Table314[ [#This Row],[Account Withdrawl Amount] ], )</f>
        <v>0</v>
      </c>
      <c r="V11" s="166">
        <f>IF(Table314[[#This Row],[CODE]]=18, Table314[ [#This Row],[Account Deposit Amount] ]-Table312[ [#This Row],[Account Withdrawl Amount] ], )</f>
        <v>0</v>
      </c>
    </row>
    <row r="12" spans="1:28" ht="37.200000000000003" thickBot="1">
      <c r="A12" s="150" t="s">
        <v>241</v>
      </c>
      <c r="B12" s="151">
        <v>44895</v>
      </c>
      <c r="C12" s="150" t="s">
        <v>244</v>
      </c>
      <c r="D12" s="132" t="s">
        <v>422</v>
      </c>
      <c r="E12" s="150"/>
      <c r="F12" s="150">
        <v>220.31</v>
      </c>
      <c r="G12" s="134">
        <f t="shared" si="2"/>
        <v>16857.209999999995</v>
      </c>
      <c r="H12" s="130">
        <v>16</v>
      </c>
      <c r="I12" s="127">
        <f>IF(Table314[[#This Row],[CODE]]=1, Table314[ [#This Row],[Account Deposit Amount] ]-Table314[ [#This Row],[Account Withdrawl Amount] ], )</f>
        <v>0</v>
      </c>
      <c r="J12" s="129">
        <f>IF(Table314[[#This Row],[CODE]]=2, Table314[ [#This Row],[Account Deposit Amount] ]-Table314[ [#This Row],[Account Withdrawl Amount] ], )</f>
        <v>0</v>
      </c>
      <c r="K12" s="129">
        <f>IF(Table314[[#This Row],[CODE]]=3, Table314[ [#This Row],[Account Deposit Amount] ]-Table314[ [#This Row],[Account Withdrawl Amount] ], )</f>
        <v>0</v>
      </c>
      <c r="L12" s="128">
        <f>IF(Table314[[#This Row],[CODE]]=4, Table314[ [#This Row],[Account Deposit Amount] ]-Table314[ [#This Row],[Account Withdrawl Amount] ], )</f>
        <v>0</v>
      </c>
      <c r="M12" s="128">
        <f>IF(Table314[[#This Row],[CODE]]=5, Table314[ [#This Row],[Account Deposit Amount] ]-Table314[ [#This Row],[Account Withdrawl Amount] ], )</f>
        <v>0</v>
      </c>
      <c r="N12" s="128">
        <f>IF(Table314[[#This Row],[CODE]]=6, Table314[ [#This Row],[Account Deposit Amount] ]-Table314[ [#This Row],[Account Withdrawl Amount] ], )</f>
        <v>0</v>
      </c>
      <c r="O12" s="128">
        <f>IF(Table314[[#This Row],[CODE]]=11, Table314[ [#This Row],[Account Deposit Amount] ]-Table314[ [#This Row],[Account Withdrawl Amount] ], )</f>
        <v>0</v>
      </c>
      <c r="P12" s="128">
        <f>IF(Table314[[#This Row],[CODE]]=12, Table314[ [#This Row],[Account Deposit Amount] ]-Table314[ [#This Row],[Account Withdrawl Amount] ], )</f>
        <v>0</v>
      </c>
      <c r="Q12" s="128">
        <f>IF(Table314[[#This Row],[CODE]]=13, Table314[ [#This Row],[Account Deposit Amount] ]-Table314[ [#This Row],[Account Withdrawl Amount] ], )</f>
        <v>0</v>
      </c>
      <c r="R12" s="128">
        <f>IF(Table314[[#This Row],[CODE]]=14, Table314[ [#This Row],[Account Deposit Amount] ]-Table314[ [#This Row],[Account Withdrawl Amount] ], )</f>
        <v>0</v>
      </c>
      <c r="S12" s="128">
        <f>IF(Table314[[#This Row],[CODE]]=15, Table314[ [#This Row],[Account Deposit Amount] ]-Table314[ [#This Row],[Account Withdrawl Amount] ], )</f>
        <v>0</v>
      </c>
      <c r="T12" s="128">
        <f>IF(Table314[[#This Row],[CODE]]=16, Table314[ [#This Row],[Account Deposit Amount] ]-Table314[ [#This Row],[Account Withdrawl Amount] ], )</f>
        <v>-220.31</v>
      </c>
      <c r="U12" s="127">
        <f>IF(Table314[[#This Row],[CODE]]=17, Table314[ [#This Row],[Account Deposit Amount] ]-Table314[ [#This Row],[Account Withdrawl Amount] ], )</f>
        <v>0</v>
      </c>
      <c r="V12" s="166">
        <f>IF(Table314[[#This Row],[CODE]]=18, Table314[ [#This Row],[Account Deposit Amount] ]-Table312[ [#This Row],[Account Withdrawl Amount] ], )</f>
        <v>0</v>
      </c>
    </row>
    <row r="13" spans="1:28" ht="16.2" thickBot="1">
      <c r="A13" s="130"/>
      <c r="B13" s="133"/>
      <c r="C13" s="130"/>
      <c r="D13" s="132"/>
      <c r="E13" s="128"/>
      <c r="F13" s="128"/>
      <c r="G13" s="134">
        <f t="shared" si="2"/>
        <v>16857.209999999995</v>
      </c>
      <c r="H13" s="130"/>
      <c r="I13" s="127">
        <f>IF(Table314[[#This Row],[CODE]]=1, Table314[ [#This Row],[Account Deposit Amount] ]-Table314[ [#This Row],[Account Withdrawl Amount] ], )</f>
        <v>0</v>
      </c>
      <c r="J13" s="129">
        <f>IF(Table314[[#This Row],[CODE]]=2, Table314[ [#This Row],[Account Deposit Amount] ]-Table314[ [#This Row],[Account Withdrawl Amount] ], )</f>
        <v>0</v>
      </c>
      <c r="K13" s="129">
        <f>IF(Table314[[#This Row],[CODE]]=3, Table314[ [#This Row],[Account Deposit Amount] ]-Table314[ [#This Row],[Account Withdrawl Amount] ], )</f>
        <v>0</v>
      </c>
      <c r="L13" s="128">
        <f>IF(Table314[[#This Row],[CODE]]=4, Table314[ [#This Row],[Account Deposit Amount] ]-Table314[ [#This Row],[Account Withdrawl Amount] ], )</f>
        <v>0</v>
      </c>
      <c r="M13" s="128">
        <f>IF(Table314[[#This Row],[CODE]]=5, Table314[ [#This Row],[Account Deposit Amount] ]-Table314[ [#This Row],[Account Withdrawl Amount] ], )</f>
        <v>0</v>
      </c>
      <c r="N13" s="128">
        <f>IF(Table314[[#This Row],[CODE]]=6, Table314[ [#This Row],[Account Deposit Amount] ]-Table314[ [#This Row],[Account Withdrawl Amount] ], )</f>
        <v>0</v>
      </c>
      <c r="O13" s="128">
        <f>IF(Table314[[#This Row],[CODE]]=11, Table314[ [#This Row],[Account Deposit Amount] ]-Table314[ [#This Row],[Account Withdrawl Amount] ], )</f>
        <v>0</v>
      </c>
      <c r="P13" s="128">
        <f>IF(Table314[[#This Row],[CODE]]=12, Table314[ [#This Row],[Account Deposit Amount] ]-Table314[ [#This Row],[Account Withdrawl Amount] ], )</f>
        <v>0</v>
      </c>
      <c r="Q13" s="128">
        <f>IF(Table314[[#This Row],[CODE]]=13, Table314[ [#This Row],[Account Deposit Amount] ]-Table314[ [#This Row],[Account Withdrawl Amount] ], )</f>
        <v>0</v>
      </c>
      <c r="R13" s="128">
        <f>IF(Table314[[#This Row],[CODE]]=14, Table314[ [#This Row],[Account Deposit Amount] ]-Table314[ [#This Row],[Account Withdrawl Amount] ], )</f>
        <v>0</v>
      </c>
      <c r="S13" s="128">
        <f>IF(Table314[[#This Row],[CODE]]=15, Table314[ [#This Row],[Account Deposit Amount] ]-Table314[ [#This Row],[Account Withdrawl Amount] ], )</f>
        <v>0</v>
      </c>
      <c r="T13" s="128">
        <f>IF(Table314[[#This Row],[CODE]]=16, Table314[ [#This Row],[Account Deposit Amount] ]-Table314[ [#This Row],[Account Withdrawl Amount] ], )</f>
        <v>0</v>
      </c>
      <c r="U13" s="127">
        <f>IF(Table314[[#This Row],[CODE]]=17, Table314[ [#This Row],[Account Deposit Amount] ]-Table314[ [#This Row],[Account Withdrawl Amount] ], )</f>
        <v>0</v>
      </c>
      <c r="V13" s="166">
        <f>IF(Table314[[#This Row],[CODE]]=18, Table314[ [#This Row],[Account Deposit Amount] ]-Table312[ [#This Row],[Account Withdrawl Amount] ], )</f>
        <v>0</v>
      </c>
    </row>
    <row r="14" spans="1:28" ht="16.2" thickBot="1">
      <c r="A14" s="130"/>
      <c r="B14" s="133"/>
      <c r="C14" s="130"/>
      <c r="D14" s="132"/>
      <c r="E14" s="128"/>
      <c r="F14" s="128"/>
      <c r="G14" s="134">
        <f t="shared" si="2"/>
        <v>16857.209999999995</v>
      </c>
      <c r="H14" s="130"/>
      <c r="I14" s="127">
        <f>IF(Table314[[#This Row],[CODE]]=1, Table314[ [#This Row],[Account Deposit Amount] ]-Table314[ [#This Row],[Account Withdrawl Amount] ], )</f>
        <v>0</v>
      </c>
      <c r="J14" s="129">
        <f>IF(Table314[[#This Row],[CODE]]=2, Table314[ [#This Row],[Account Deposit Amount] ]-Table314[ [#This Row],[Account Withdrawl Amount] ], )</f>
        <v>0</v>
      </c>
      <c r="K14" s="129">
        <f>IF(Table314[[#This Row],[CODE]]=3, Table314[ [#This Row],[Account Deposit Amount] ]-Table314[ [#This Row],[Account Withdrawl Amount] ], )</f>
        <v>0</v>
      </c>
      <c r="L14" s="128">
        <f>IF(Table314[[#This Row],[CODE]]=4, Table314[ [#This Row],[Account Deposit Amount] ]-Table314[ [#This Row],[Account Withdrawl Amount] ], )</f>
        <v>0</v>
      </c>
      <c r="M14" s="128">
        <f>IF(Table314[[#This Row],[CODE]]=5, Table314[ [#This Row],[Account Deposit Amount] ]-Table314[ [#This Row],[Account Withdrawl Amount] ], )</f>
        <v>0</v>
      </c>
      <c r="N14" s="128">
        <f>IF(Table314[[#This Row],[CODE]]=6, Table314[ [#This Row],[Account Deposit Amount] ]-Table314[ [#This Row],[Account Withdrawl Amount] ], )</f>
        <v>0</v>
      </c>
      <c r="O14" s="128">
        <f>IF(Table314[[#This Row],[CODE]]=11, Table314[ [#This Row],[Account Deposit Amount] ]-Table314[ [#This Row],[Account Withdrawl Amount] ], )</f>
        <v>0</v>
      </c>
      <c r="P14" s="128">
        <f>IF(Table314[[#This Row],[CODE]]=12, Table314[ [#This Row],[Account Deposit Amount] ]-Table314[ [#This Row],[Account Withdrawl Amount] ], )</f>
        <v>0</v>
      </c>
      <c r="Q14" s="128">
        <f>IF(Table314[[#This Row],[CODE]]=13, Table314[ [#This Row],[Account Deposit Amount] ]-Table314[ [#This Row],[Account Withdrawl Amount] ], )</f>
        <v>0</v>
      </c>
      <c r="R14" s="128">
        <f>IF(Table314[[#This Row],[CODE]]=14, Table314[ [#This Row],[Account Deposit Amount] ]-Table314[ [#This Row],[Account Withdrawl Amount] ], )</f>
        <v>0</v>
      </c>
      <c r="S14" s="128">
        <f>IF(Table314[[#This Row],[CODE]]=15, Table314[ [#This Row],[Account Deposit Amount] ]-Table314[ [#This Row],[Account Withdrawl Amount] ], )</f>
        <v>0</v>
      </c>
      <c r="T14" s="128">
        <f>IF(Table314[[#This Row],[CODE]]=16, Table314[ [#This Row],[Account Deposit Amount] ]-Table314[ [#This Row],[Account Withdrawl Amount] ], )</f>
        <v>0</v>
      </c>
      <c r="U14" s="127">
        <f>IF(Table314[[#This Row],[CODE]]=17, Table314[ [#This Row],[Account Deposit Amount] ]-Table314[ [#This Row],[Account Withdrawl Amount] ], )</f>
        <v>0</v>
      </c>
      <c r="V14" s="166">
        <f>IF(Table314[[#This Row],[CODE]]=18, Table314[ [#This Row],[Account Deposit Amount] ]-Table312[ [#This Row],[Account Withdrawl Amount] ], )</f>
        <v>0</v>
      </c>
    </row>
    <row r="15" spans="1:28" ht="16.2" thickBot="1">
      <c r="A15" s="130"/>
      <c r="B15" s="133"/>
      <c r="C15" s="130"/>
      <c r="D15" s="132"/>
      <c r="E15" s="128"/>
      <c r="F15" s="128"/>
      <c r="G15" s="134">
        <f t="shared" si="2"/>
        <v>16857.209999999995</v>
      </c>
      <c r="H15" s="130"/>
      <c r="I15" s="127">
        <f>IF(Table314[[#This Row],[CODE]]=1, Table314[ [#This Row],[Account Deposit Amount] ]-Table314[ [#This Row],[Account Withdrawl Amount] ], )</f>
        <v>0</v>
      </c>
      <c r="J15" s="129">
        <f>IF(Table314[[#This Row],[CODE]]=2, Table314[ [#This Row],[Account Deposit Amount] ]-Table314[ [#This Row],[Account Withdrawl Amount] ], )</f>
        <v>0</v>
      </c>
      <c r="K15" s="129">
        <f>IF(Table314[[#This Row],[CODE]]=3, Table314[ [#This Row],[Account Deposit Amount] ]-Table314[ [#This Row],[Account Withdrawl Amount] ], )</f>
        <v>0</v>
      </c>
      <c r="L15" s="128">
        <f>IF(Table314[[#This Row],[CODE]]=4, Table314[ [#This Row],[Account Deposit Amount] ]-Table314[ [#This Row],[Account Withdrawl Amount] ], )</f>
        <v>0</v>
      </c>
      <c r="M15" s="128">
        <f>IF(Table314[[#This Row],[CODE]]=5, Table314[ [#This Row],[Account Deposit Amount] ]-Table314[ [#This Row],[Account Withdrawl Amount] ], )</f>
        <v>0</v>
      </c>
      <c r="N15" s="128">
        <f>IF(Table314[[#This Row],[CODE]]=6, Table314[ [#This Row],[Account Deposit Amount] ]-Table314[ [#This Row],[Account Withdrawl Amount] ], )</f>
        <v>0</v>
      </c>
      <c r="O15" s="128">
        <f>IF(Table314[[#This Row],[CODE]]=11, Table314[ [#This Row],[Account Deposit Amount] ]-Table314[ [#This Row],[Account Withdrawl Amount] ], )</f>
        <v>0</v>
      </c>
      <c r="P15" s="128">
        <f>IF(Table314[[#This Row],[CODE]]=12, Table314[ [#This Row],[Account Deposit Amount] ]-Table314[ [#This Row],[Account Withdrawl Amount] ], )</f>
        <v>0</v>
      </c>
      <c r="Q15" s="128">
        <f>IF(Table314[[#This Row],[CODE]]=13, Table314[ [#This Row],[Account Deposit Amount] ]-Table314[ [#This Row],[Account Withdrawl Amount] ], )</f>
        <v>0</v>
      </c>
      <c r="R15" s="128">
        <f>IF(Table314[[#This Row],[CODE]]=14, Table314[ [#This Row],[Account Deposit Amount] ]-Table314[ [#This Row],[Account Withdrawl Amount] ], )</f>
        <v>0</v>
      </c>
      <c r="S15" s="128">
        <f>IF(Table314[[#This Row],[CODE]]=15, Table314[ [#This Row],[Account Deposit Amount] ]-Table314[ [#This Row],[Account Withdrawl Amount] ], )</f>
        <v>0</v>
      </c>
      <c r="T15" s="128">
        <f>IF(Table314[[#This Row],[CODE]]=16, Table314[ [#This Row],[Account Deposit Amount] ]-Table314[ [#This Row],[Account Withdrawl Amount] ], )</f>
        <v>0</v>
      </c>
      <c r="U15" s="127">
        <f>IF(Table314[[#This Row],[CODE]]=17, Table314[ [#This Row],[Account Deposit Amount] ]-Table314[ [#This Row],[Account Withdrawl Amount] ], )</f>
        <v>0</v>
      </c>
      <c r="V15" s="166">
        <f>IF(Table314[[#This Row],[CODE]]=18, Table314[ [#This Row],[Account Deposit Amount] ]-Table312[ [#This Row],[Account Withdrawl Amount] ], )</f>
        <v>0</v>
      </c>
    </row>
    <row r="16" spans="1:28" ht="16.2" thickBot="1">
      <c r="A16" s="130"/>
      <c r="B16" s="133"/>
      <c r="C16" s="130"/>
      <c r="D16" s="132"/>
      <c r="E16" s="128"/>
      <c r="F16" s="128"/>
      <c r="G16" s="134">
        <f t="shared" si="2"/>
        <v>16857.209999999995</v>
      </c>
      <c r="H16" s="130"/>
      <c r="I16" s="127">
        <f>IF(Table314[[#This Row],[CODE]]=1, Table314[ [#This Row],[Account Deposit Amount] ]-Table314[ [#This Row],[Account Withdrawl Amount] ], )</f>
        <v>0</v>
      </c>
      <c r="J16" s="129">
        <f>IF(Table314[[#This Row],[CODE]]=2, Table314[ [#This Row],[Account Deposit Amount] ]-Table314[ [#This Row],[Account Withdrawl Amount] ], )</f>
        <v>0</v>
      </c>
      <c r="K16" s="129">
        <f>IF(Table314[[#This Row],[CODE]]=3, Table314[ [#This Row],[Account Deposit Amount] ]-Table314[ [#This Row],[Account Withdrawl Amount] ], )</f>
        <v>0</v>
      </c>
      <c r="L16" s="128">
        <f>IF(Table314[[#This Row],[CODE]]=4, Table314[ [#This Row],[Account Deposit Amount] ]-Table314[ [#This Row],[Account Withdrawl Amount] ], )</f>
        <v>0</v>
      </c>
      <c r="M16" s="128">
        <f>IF(Table314[[#This Row],[CODE]]=5, Table314[ [#This Row],[Account Deposit Amount] ]-Table314[ [#This Row],[Account Withdrawl Amount] ], )</f>
        <v>0</v>
      </c>
      <c r="N16" s="128">
        <f>IF(Table314[[#This Row],[CODE]]=6, Table314[ [#This Row],[Account Deposit Amount] ]-Table314[ [#This Row],[Account Withdrawl Amount] ], )</f>
        <v>0</v>
      </c>
      <c r="O16" s="128">
        <f>IF(Table314[[#This Row],[CODE]]=11, Table314[ [#This Row],[Account Deposit Amount] ]-Table314[ [#This Row],[Account Withdrawl Amount] ], )</f>
        <v>0</v>
      </c>
      <c r="P16" s="128">
        <f>IF(Table314[[#This Row],[CODE]]=12, Table314[ [#This Row],[Account Deposit Amount] ]-Table314[ [#This Row],[Account Withdrawl Amount] ], )</f>
        <v>0</v>
      </c>
      <c r="Q16" s="128">
        <f>IF(Table314[[#This Row],[CODE]]=13, Table314[ [#This Row],[Account Deposit Amount] ]-Table314[ [#This Row],[Account Withdrawl Amount] ], )</f>
        <v>0</v>
      </c>
      <c r="R16" s="128">
        <f>IF(Table314[[#This Row],[CODE]]=14, Table314[ [#This Row],[Account Deposit Amount] ]-Table314[ [#This Row],[Account Withdrawl Amount] ], )</f>
        <v>0</v>
      </c>
      <c r="S16" s="128">
        <f>IF(Table314[[#This Row],[CODE]]=15, Table314[ [#This Row],[Account Deposit Amount] ]-Table314[ [#This Row],[Account Withdrawl Amount] ], )</f>
        <v>0</v>
      </c>
      <c r="T16" s="128">
        <f>IF(Table314[[#This Row],[CODE]]=16, Table314[ [#This Row],[Account Deposit Amount] ]-Table314[ [#This Row],[Account Withdrawl Amount] ], )</f>
        <v>0</v>
      </c>
      <c r="U16" s="127">
        <f>IF(Table314[[#This Row],[CODE]]=17, Table314[ [#This Row],[Account Deposit Amount] ]-Table314[ [#This Row],[Account Withdrawl Amount] ], )</f>
        <v>0</v>
      </c>
      <c r="V16" s="166">
        <f>IF(Table314[[#This Row],[CODE]]=18, Table314[ [#This Row],[Account Deposit Amount] ]-Table312[ [#This Row],[Account Withdrawl Amount] ], )</f>
        <v>0</v>
      </c>
    </row>
    <row r="17" spans="1:22" ht="16.2" thickBot="1">
      <c r="A17" s="130"/>
      <c r="B17" s="133"/>
      <c r="C17" s="130"/>
      <c r="D17" s="132"/>
      <c r="E17" s="128"/>
      <c r="F17" s="128"/>
      <c r="G17" s="134">
        <f t="shared" si="2"/>
        <v>16857.209999999995</v>
      </c>
      <c r="H17" s="130"/>
      <c r="I17" s="127">
        <f>IF(Table314[[#This Row],[CODE]]=1, Table314[ [#This Row],[Account Deposit Amount] ]-Table314[ [#This Row],[Account Withdrawl Amount] ], )</f>
        <v>0</v>
      </c>
      <c r="J17" s="129">
        <f>IF(Table314[[#This Row],[CODE]]=2, Table314[ [#This Row],[Account Deposit Amount] ]-Table314[ [#This Row],[Account Withdrawl Amount] ], )</f>
        <v>0</v>
      </c>
      <c r="K17" s="129">
        <f>IF(Table314[[#This Row],[CODE]]=3, Table314[ [#This Row],[Account Deposit Amount] ]-Table314[ [#This Row],[Account Withdrawl Amount] ], )</f>
        <v>0</v>
      </c>
      <c r="L17" s="128">
        <f>IF(Table314[[#This Row],[CODE]]=4, Table314[ [#This Row],[Account Deposit Amount] ]-Table314[ [#This Row],[Account Withdrawl Amount] ], )</f>
        <v>0</v>
      </c>
      <c r="M17" s="128">
        <f>IF(Table314[[#This Row],[CODE]]=5, Table314[ [#This Row],[Account Deposit Amount] ]-Table314[ [#This Row],[Account Withdrawl Amount] ], )</f>
        <v>0</v>
      </c>
      <c r="N17" s="128">
        <f>IF(Table314[[#This Row],[CODE]]=6, Table314[ [#This Row],[Account Deposit Amount] ]-Table314[ [#This Row],[Account Withdrawl Amount] ], )</f>
        <v>0</v>
      </c>
      <c r="O17" s="128">
        <f>IF(Table314[[#This Row],[CODE]]=11, Table314[ [#This Row],[Account Deposit Amount] ]-Table314[ [#This Row],[Account Withdrawl Amount] ], )</f>
        <v>0</v>
      </c>
      <c r="P17" s="128">
        <f>IF(Table314[[#This Row],[CODE]]=12, Table314[ [#This Row],[Account Deposit Amount] ]-Table314[ [#This Row],[Account Withdrawl Amount] ], )</f>
        <v>0</v>
      </c>
      <c r="Q17" s="128">
        <f>IF(Table314[[#This Row],[CODE]]=13, Table314[ [#This Row],[Account Deposit Amount] ]-Table314[ [#This Row],[Account Withdrawl Amount] ], )</f>
        <v>0</v>
      </c>
      <c r="R17" s="128">
        <f>IF(Table314[[#This Row],[CODE]]=14, Table314[ [#This Row],[Account Deposit Amount] ]-Table314[ [#This Row],[Account Withdrawl Amount] ], )</f>
        <v>0</v>
      </c>
      <c r="S17" s="128">
        <f>IF(Table314[[#This Row],[CODE]]=15, Table314[ [#This Row],[Account Deposit Amount] ]-Table314[ [#This Row],[Account Withdrawl Amount] ], )</f>
        <v>0</v>
      </c>
      <c r="T17" s="128">
        <f>IF(Table314[[#This Row],[CODE]]=16, Table314[ [#This Row],[Account Deposit Amount] ]-Table314[ [#This Row],[Account Withdrawl Amount] ], )</f>
        <v>0</v>
      </c>
      <c r="U17" s="127">
        <f>IF(Table314[[#This Row],[CODE]]=17, Table314[ [#This Row],[Account Deposit Amount] ]-Table314[ [#This Row],[Account Withdrawl Amount] ], )</f>
        <v>0</v>
      </c>
      <c r="V17" s="166">
        <f>IF(Table314[[#This Row],[CODE]]=18, Table314[ [#This Row],[Account Deposit Amount] ]-Table312[ [#This Row],[Account Withdrawl Amount] ], )</f>
        <v>0</v>
      </c>
    </row>
    <row r="18" spans="1:22" ht="16.2" thickBot="1">
      <c r="A18" s="130"/>
      <c r="B18" s="133"/>
      <c r="C18" s="130"/>
      <c r="D18" s="132"/>
      <c r="E18" s="128"/>
      <c r="F18" s="128"/>
      <c r="G18" s="134">
        <f t="shared" si="2"/>
        <v>16857.209999999995</v>
      </c>
      <c r="H18" s="130"/>
      <c r="I18" s="127">
        <f>IF(Table314[[#This Row],[CODE]]=1, Table314[ [#This Row],[Account Deposit Amount] ]-Table314[ [#This Row],[Account Withdrawl Amount] ], )</f>
        <v>0</v>
      </c>
      <c r="J18" s="129">
        <f>IF(Table314[[#This Row],[CODE]]=2, Table314[ [#This Row],[Account Deposit Amount] ]-Table314[ [#This Row],[Account Withdrawl Amount] ], )</f>
        <v>0</v>
      </c>
      <c r="K18" s="129">
        <f>IF(Table314[[#This Row],[CODE]]=3, Table314[ [#This Row],[Account Deposit Amount] ]-Table314[ [#This Row],[Account Withdrawl Amount] ], )</f>
        <v>0</v>
      </c>
      <c r="L18" s="128">
        <f>IF(Table314[[#This Row],[CODE]]=4, Table314[ [#This Row],[Account Deposit Amount] ]-Table314[ [#This Row],[Account Withdrawl Amount] ], )</f>
        <v>0</v>
      </c>
      <c r="M18" s="128">
        <f>IF(Table314[[#This Row],[CODE]]=5, Table314[ [#This Row],[Account Deposit Amount] ]-Table314[ [#This Row],[Account Withdrawl Amount] ], )</f>
        <v>0</v>
      </c>
      <c r="N18" s="128">
        <f>IF(Table314[[#This Row],[CODE]]=6, Table314[ [#This Row],[Account Deposit Amount] ]-Table314[ [#This Row],[Account Withdrawl Amount] ], )</f>
        <v>0</v>
      </c>
      <c r="O18" s="128">
        <f>IF(Table314[[#This Row],[CODE]]=11, Table314[ [#This Row],[Account Deposit Amount] ]-Table314[ [#This Row],[Account Withdrawl Amount] ], )</f>
        <v>0</v>
      </c>
      <c r="P18" s="128">
        <f>IF(Table314[[#This Row],[CODE]]=12, Table314[ [#This Row],[Account Deposit Amount] ]-Table314[ [#This Row],[Account Withdrawl Amount] ], )</f>
        <v>0</v>
      </c>
      <c r="Q18" s="128">
        <f>IF(Table314[[#This Row],[CODE]]=13, Table314[ [#This Row],[Account Deposit Amount] ]-Table314[ [#This Row],[Account Withdrawl Amount] ], )</f>
        <v>0</v>
      </c>
      <c r="R18" s="128">
        <f>IF(Table314[[#This Row],[CODE]]=14, Table314[ [#This Row],[Account Deposit Amount] ]-Table314[ [#This Row],[Account Withdrawl Amount] ], )</f>
        <v>0</v>
      </c>
      <c r="S18" s="128">
        <f>IF(Table314[[#This Row],[CODE]]=15, Table314[ [#This Row],[Account Deposit Amount] ]-Table314[ [#This Row],[Account Withdrawl Amount] ], )</f>
        <v>0</v>
      </c>
      <c r="T18" s="128">
        <f>IF(Table314[[#This Row],[CODE]]=16, Table314[ [#This Row],[Account Deposit Amount] ]-Table314[ [#This Row],[Account Withdrawl Amount] ], )</f>
        <v>0</v>
      </c>
      <c r="U18" s="127">
        <f>IF(Table314[[#This Row],[CODE]]=17, Table314[ [#This Row],[Account Deposit Amount] ]-Table314[ [#This Row],[Account Withdrawl Amount] ], )</f>
        <v>0</v>
      </c>
      <c r="V18" s="166">
        <f>IF(Table314[[#This Row],[CODE]]=18, Table314[ [#This Row],[Account Deposit Amount] ]-Table312[ [#This Row],[Account Withdrawl Amount] ], )</f>
        <v>0</v>
      </c>
    </row>
    <row r="19" spans="1:22" ht="16.2" thickBot="1">
      <c r="A19" s="130"/>
      <c r="B19" s="133"/>
      <c r="C19" s="130"/>
      <c r="D19" s="132"/>
      <c r="E19" s="128"/>
      <c r="F19" s="128"/>
      <c r="G19" s="134">
        <f t="shared" si="2"/>
        <v>16857.209999999995</v>
      </c>
      <c r="H19" s="130"/>
      <c r="I19" s="127">
        <f>IF(Table314[[#This Row],[CODE]]=1, Table314[ [#This Row],[Account Deposit Amount] ]-Table314[ [#This Row],[Account Withdrawl Amount] ], )</f>
        <v>0</v>
      </c>
      <c r="J19" s="129">
        <f>IF(Table314[[#This Row],[CODE]]=2, Table314[ [#This Row],[Account Deposit Amount] ]-Table314[ [#This Row],[Account Withdrawl Amount] ], )</f>
        <v>0</v>
      </c>
      <c r="K19" s="129">
        <f>IF(Table314[[#This Row],[CODE]]=3, Table314[ [#This Row],[Account Deposit Amount] ]-Table314[ [#This Row],[Account Withdrawl Amount] ], )</f>
        <v>0</v>
      </c>
      <c r="L19" s="128">
        <f>IF(Table314[[#This Row],[CODE]]=4, Table314[ [#This Row],[Account Deposit Amount] ]-Table314[ [#This Row],[Account Withdrawl Amount] ], )</f>
        <v>0</v>
      </c>
      <c r="M19" s="128">
        <f>IF(Table314[[#This Row],[CODE]]=5, Table314[ [#This Row],[Account Deposit Amount] ]-Table314[ [#This Row],[Account Withdrawl Amount] ], )</f>
        <v>0</v>
      </c>
      <c r="N19" s="128">
        <f>IF(Table314[[#This Row],[CODE]]=6, Table314[ [#This Row],[Account Deposit Amount] ]-Table314[ [#This Row],[Account Withdrawl Amount] ], )</f>
        <v>0</v>
      </c>
      <c r="O19" s="128">
        <f>IF(Table314[[#This Row],[CODE]]=11, Table314[ [#This Row],[Account Deposit Amount] ]-Table314[ [#This Row],[Account Withdrawl Amount] ], )</f>
        <v>0</v>
      </c>
      <c r="P19" s="128">
        <f>IF(Table314[[#This Row],[CODE]]=12, Table314[ [#This Row],[Account Deposit Amount] ]-Table314[ [#This Row],[Account Withdrawl Amount] ], )</f>
        <v>0</v>
      </c>
      <c r="Q19" s="128">
        <f>IF(Table314[[#This Row],[CODE]]=13, Table314[ [#This Row],[Account Deposit Amount] ]-Table314[ [#This Row],[Account Withdrawl Amount] ], )</f>
        <v>0</v>
      </c>
      <c r="R19" s="128">
        <f>IF(Table314[[#This Row],[CODE]]=14, Table314[ [#This Row],[Account Deposit Amount] ]-Table314[ [#This Row],[Account Withdrawl Amount] ], )</f>
        <v>0</v>
      </c>
      <c r="S19" s="128">
        <f>IF(Table314[[#This Row],[CODE]]=15, Table314[ [#This Row],[Account Deposit Amount] ]-Table314[ [#This Row],[Account Withdrawl Amount] ], )</f>
        <v>0</v>
      </c>
      <c r="T19" s="128">
        <f>IF(Table314[[#This Row],[CODE]]=16, Table314[ [#This Row],[Account Deposit Amount] ]-Table314[ [#This Row],[Account Withdrawl Amount] ], )</f>
        <v>0</v>
      </c>
      <c r="U19" s="127">
        <f>IF(Table314[[#This Row],[CODE]]=17, Table314[ [#This Row],[Account Deposit Amount] ]-Table314[ [#This Row],[Account Withdrawl Amount] ], )</f>
        <v>0</v>
      </c>
      <c r="V19" s="166">
        <f>IF(Table314[[#This Row],[CODE]]=18, Table314[ [#This Row],[Account Deposit Amount] ]-Table312[ [#This Row],[Account Withdrawl Amount] ], )</f>
        <v>0</v>
      </c>
    </row>
    <row r="20" spans="1:22" ht="16.2" thickBot="1">
      <c r="A20" s="130"/>
      <c r="B20" s="133"/>
      <c r="C20" s="130"/>
      <c r="D20" s="132"/>
      <c r="E20" s="128"/>
      <c r="F20" s="128"/>
      <c r="G20" s="134">
        <f t="shared" si="2"/>
        <v>16857.209999999995</v>
      </c>
      <c r="H20" s="130"/>
      <c r="I20" s="127">
        <f>IF(Table314[[#This Row],[CODE]]=1, Table314[ [#This Row],[Account Deposit Amount] ]-Table314[ [#This Row],[Account Withdrawl Amount] ], )</f>
        <v>0</v>
      </c>
      <c r="J20" s="129">
        <f>IF(Table314[[#This Row],[CODE]]=2, Table314[ [#This Row],[Account Deposit Amount] ]-Table314[ [#This Row],[Account Withdrawl Amount] ], )</f>
        <v>0</v>
      </c>
      <c r="K20" s="129">
        <f>IF(Table314[[#This Row],[CODE]]=3, Table314[ [#This Row],[Account Deposit Amount] ]-Table314[ [#This Row],[Account Withdrawl Amount] ], )</f>
        <v>0</v>
      </c>
      <c r="L20" s="128">
        <f>IF(Table314[[#This Row],[CODE]]=4, Table314[ [#This Row],[Account Deposit Amount] ]-Table314[ [#This Row],[Account Withdrawl Amount] ], )</f>
        <v>0</v>
      </c>
      <c r="M20" s="128">
        <f>IF(Table314[[#This Row],[CODE]]=5, Table314[ [#This Row],[Account Deposit Amount] ]-Table314[ [#This Row],[Account Withdrawl Amount] ], )</f>
        <v>0</v>
      </c>
      <c r="N20" s="128">
        <f>IF(Table314[[#This Row],[CODE]]=6, Table314[ [#This Row],[Account Deposit Amount] ]-Table314[ [#This Row],[Account Withdrawl Amount] ], )</f>
        <v>0</v>
      </c>
      <c r="O20" s="128">
        <f>IF(Table314[[#This Row],[CODE]]=11, Table314[ [#This Row],[Account Deposit Amount] ]-Table314[ [#This Row],[Account Withdrawl Amount] ], )</f>
        <v>0</v>
      </c>
      <c r="P20" s="128">
        <f>IF(Table314[[#This Row],[CODE]]=12, Table314[ [#This Row],[Account Deposit Amount] ]-Table314[ [#This Row],[Account Withdrawl Amount] ], )</f>
        <v>0</v>
      </c>
      <c r="Q20" s="128">
        <f>IF(Table314[[#This Row],[CODE]]=13, Table314[ [#This Row],[Account Deposit Amount] ]-Table314[ [#This Row],[Account Withdrawl Amount] ], )</f>
        <v>0</v>
      </c>
      <c r="R20" s="128">
        <f>IF(Table314[[#This Row],[CODE]]=14, Table314[ [#This Row],[Account Deposit Amount] ]-Table314[ [#This Row],[Account Withdrawl Amount] ], )</f>
        <v>0</v>
      </c>
      <c r="S20" s="128">
        <f>IF(Table314[[#This Row],[CODE]]=15, Table314[ [#This Row],[Account Deposit Amount] ]-Table314[ [#This Row],[Account Withdrawl Amount] ], )</f>
        <v>0</v>
      </c>
      <c r="T20" s="128">
        <f>IF(Table314[[#This Row],[CODE]]=16, Table314[ [#This Row],[Account Deposit Amount] ]-Table314[ [#This Row],[Account Withdrawl Amount] ], )</f>
        <v>0</v>
      </c>
      <c r="U20" s="127">
        <f>IF(Table314[[#This Row],[CODE]]=17, Table314[ [#This Row],[Account Deposit Amount] ]-Table314[ [#This Row],[Account Withdrawl Amount] ], )</f>
        <v>0</v>
      </c>
      <c r="V20" s="166">
        <f>IF(Table314[[#This Row],[CODE]]=18, Table314[ [#This Row],[Account Deposit Amount] ]-Table312[ [#This Row],[Account Withdrawl Amount] ], )</f>
        <v>0</v>
      </c>
    </row>
    <row r="21" spans="1:22" ht="16.2" thickBot="1">
      <c r="A21" s="130"/>
      <c r="B21" s="133"/>
      <c r="C21" s="130"/>
      <c r="D21" s="132"/>
      <c r="E21" s="128"/>
      <c r="F21" s="128"/>
      <c r="G21" s="134">
        <f t="shared" si="2"/>
        <v>16857.209999999995</v>
      </c>
      <c r="H21" s="130"/>
      <c r="I21" s="127">
        <f>IF(Table314[[#This Row],[CODE]]=1, Table314[ [#This Row],[Account Deposit Amount] ]-Table314[ [#This Row],[Account Withdrawl Amount] ], )</f>
        <v>0</v>
      </c>
      <c r="J21" s="129">
        <f>IF(Table314[[#This Row],[CODE]]=2, Table314[ [#This Row],[Account Deposit Amount] ]-Table314[ [#This Row],[Account Withdrawl Amount] ], )</f>
        <v>0</v>
      </c>
      <c r="K21" s="129">
        <f>IF(Table314[[#This Row],[CODE]]=3, Table314[ [#This Row],[Account Deposit Amount] ]-Table314[ [#This Row],[Account Withdrawl Amount] ], )</f>
        <v>0</v>
      </c>
      <c r="L21" s="128">
        <f>IF(Table314[[#This Row],[CODE]]=4, Table314[ [#This Row],[Account Deposit Amount] ]-Table314[ [#This Row],[Account Withdrawl Amount] ], )</f>
        <v>0</v>
      </c>
      <c r="M21" s="128">
        <f>IF(Table314[[#This Row],[CODE]]=5, Table314[ [#This Row],[Account Deposit Amount] ]-Table314[ [#This Row],[Account Withdrawl Amount] ], )</f>
        <v>0</v>
      </c>
      <c r="N21" s="128">
        <f>IF(Table314[[#This Row],[CODE]]=6, Table314[ [#This Row],[Account Deposit Amount] ]-Table314[ [#This Row],[Account Withdrawl Amount] ], )</f>
        <v>0</v>
      </c>
      <c r="O21" s="128">
        <f>IF(Table314[[#This Row],[CODE]]=11, Table314[ [#This Row],[Account Deposit Amount] ]-Table314[ [#This Row],[Account Withdrawl Amount] ], )</f>
        <v>0</v>
      </c>
      <c r="P21" s="128">
        <f>IF(Table314[[#This Row],[CODE]]=12, Table314[ [#This Row],[Account Deposit Amount] ]-Table314[ [#This Row],[Account Withdrawl Amount] ], )</f>
        <v>0</v>
      </c>
      <c r="Q21" s="128">
        <f>IF(Table314[[#This Row],[CODE]]=13, Table314[ [#This Row],[Account Deposit Amount] ]-Table314[ [#This Row],[Account Withdrawl Amount] ], )</f>
        <v>0</v>
      </c>
      <c r="R21" s="128">
        <f>IF(Table314[[#This Row],[CODE]]=14, Table314[ [#This Row],[Account Deposit Amount] ]-Table314[ [#This Row],[Account Withdrawl Amount] ], )</f>
        <v>0</v>
      </c>
      <c r="S21" s="128">
        <f>IF(Table314[[#This Row],[CODE]]=15, Table314[ [#This Row],[Account Deposit Amount] ]-Table314[ [#This Row],[Account Withdrawl Amount] ], )</f>
        <v>0</v>
      </c>
      <c r="T21" s="128">
        <f>IF(Table314[[#This Row],[CODE]]=16, Table314[ [#This Row],[Account Deposit Amount] ]-Table314[ [#This Row],[Account Withdrawl Amount] ], )</f>
        <v>0</v>
      </c>
      <c r="U21" s="127">
        <f>IF(Table314[[#This Row],[CODE]]=17, Table314[ [#This Row],[Account Deposit Amount] ]-Table314[ [#This Row],[Account Withdrawl Amount] ], )</f>
        <v>0</v>
      </c>
      <c r="V21" s="166">
        <f>IF(Table314[[#This Row],[CODE]]=18, Table314[ [#This Row],[Account Deposit Amount] ]-Table312[ [#This Row],[Account Withdrawl Amount] ], )</f>
        <v>0</v>
      </c>
    </row>
    <row r="22" spans="1:22" ht="16.2" thickBot="1">
      <c r="A22" s="130"/>
      <c r="B22" s="133"/>
      <c r="C22" s="130"/>
      <c r="D22" s="132"/>
      <c r="E22" s="128"/>
      <c r="F22" s="128"/>
      <c r="G22" s="134">
        <f t="shared" si="2"/>
        <v>16857.209999999995</v>
      </c>
      <c r="H22" s="130"/>
      <c r="I22" s="127">
        <f>IF(Table314[[#This Row],[CODE]]=1, Table314[ [#This Row],[Account Deposit Amount] ]-Table314[ [#This Row],[Account Withdrawl Amount] ], )</f>
        <v>0</v>
      </c>
      <c r="J22" s="129">
        <f>IF(Table314[[#This Row],[CODE]]=2, Table314[ [#This Row],[Account Deposit Amount] ]-Table314[ [#This Row],[Account Withdrawl Amount] ], )</f>
        <v>0</v>
      </c>
      <c r="K22" s="129">
        <f>IF(Table314[[#This Row],[CODE]]=3, Table314[ [#This Row],[Account Deposit Amount] ]-Table314[ [#This Row],[Account Withdrawl Amount] ], )</f>
        <v>0</v>
      </c>
      <c r="L22" s="128">
        <f>IF(Table314[[#This Row],[CODE]]=4, Table314[ [#This Row],[Account Deposit Amount] ]-Table314[ [#This Row],[Account Withdrawl Amount] ], )</f>
        <v>0</v>
      </c>
      <c r="M22" s="128">
        <f>IF(Table314[[#This Row],[CODE]]=5, Table314[ [#This Row],[Account Deposit Amount] ]-Table314[ [#This Row],[Account Withdrawl Amount] ], )</f>
        <v>0</v>
      </c>
      <c r="N22" s="128">
        <f>IF(Table314[[#This Row],[CODE]]=6, Table314[ [#This Row],[Account Deposit Amount] ]-Table314[ [#This Row],[Account Withdrawl Amount] ], )</f>
        <v>0</v>
      </c>
      <c r="O22" s="128">
        <f>IF(Table314[[#This Row],[CODE]]=11, Table314[ [#This Row],[Account Deposit Amount] ]-Table314[ [#This Row],[Account Withdrawl Amount] ], )</f>
        <v>0</v>
      </c>
      <c r="P22" s="128">
        <f>IF(Table314[[#This Row],[CODE]]=12, Table314[ [#This Row],[Account Deposit Amount] ]-Table314[ [#This Row],[Account Withdrawl Amount] ], )</f>
        <v>0</v>
      </c>
      <c r="Q22" s="128">
        <f>IF(Table314[[#This Row],[CODE]]=13, Table314[ [#This Row],[Account Deposit Amount] ]-Table314[ [#This Row],[Account Withdrawl Amount] ], )</f>
        <v>0</v>
      </c>
      <c r="R22" s="128">
        <f>IF(Table314[[#This Row],[CODE]]=14, Table314[ [#This Row],[Account Deposit Amount] ]-Table314[ [#This Row],[Account Withdrawl Amount] ], )</f>
        <v>0</v>
      </c>
      <c r="S22" s="128">
        <f>IF(Table314[[#This Row],[CODE]]=15, Table314[ [#This Row],[Account Deposit Amount] ]-Table314[ [#This Row],[Account Withdrawl Amount] ], )</f>
        <v>0</v>
      </c>
      <c r="T22" s="128">
        <f>IF(Table314[[#This Row],[CODE]]=16, Table314[ [#This Row],[Account Deposit Amount] ]-Table314[ [#This Row],[Account Withdrawl Amount] ], )</f>
        <v>0</v>
      </c>
      <c r="U22" s="127">
        <f>IF(Table314[[#This Row],[CODE]]=17, Table314[ [#This Row],[Account Deposit Amount] ]-Table314[ [#This Row],[Account Withdrawl Amount] ], )</f>
        <v>0</v>
      </c>
      <c r="V22" s="166">
        <f>IF(Table314[[#This Row],[CODE]]=18, Table314[ [#This Row],[Account Deposit Amount] ]-Table312[ [#This Row],[Account Withdrawl Amount] ], )</f>
        <v>0</v>
      </c>
    </row>
    <row r="23" spans="1:22" ht="16.2" thickBot="1">
      <c r="A23" s="130"/>
      <c r="B23" s="133"/>
      <c r="C23" s="130"/>
      <c r="D23" s="132"/>
      <c r="E23" s="128"/>
      <c r="F23" s="128"/>
      <c r="G23" s="134">
        <f t="shared" si="2"/>
        <v>16857.209999999995</v>
      </c>
      <c r="H23" s="130"/>
      <c r="I23" s="127">
        <f>IF(Table314[[#This Row],[CODE]]=1, Table314[ [#This Row],[Account Deposit Amount] ]-Table314[ [#This Row],[Account Withdrawl Amount] ], )</f>
        <v>0</v>
      </c>
      <c r="J23" s="129">
        <f>IF(Table314[[#This Row],[CODE]]=2, Table314[ [#This Row],[Account Deposit Amount] ]-Table314[ [#This Row],[Account Withdrawl Amount] ], )</f>
        <v>0</v>
      </c>
      <c r="K23" s="129">
        <f>IF(Table314[[#This Row],[CODE]]=3, Table314[ [#This Row],[Account Deposit Amount] ]-Table314[ [#This Row],[Account Withdrawl Amount] ], )</f>
        <v>0</v>
      </c>
      <c r="L23" s="128">
        <f>IF(Table314[[#This Row],[CODE]]=4, Table314[ [#This Row],[Account Deposit Amount] ]-Table314[ [#This Row],[Account Withdrawl Amount] ], )</f>
        <v>0</v>
      </c>
      <c r="M23" s="128">
        <f>IF(Table314[[#This Row],[CODE]]=5, Table314[ [#This Row],[Account Deposit Amount] ]-Table314[ [#This Row],[Account Withdrawl Amount] ], )</f>
        <v>0</v>
      </c>
      <c r="N23" s="128">
        <f>IF(Table314[[#This Row],[CODE]]=6, Table314[ [#This Row],[Account Deposit Amount] ]-Table314[ [#This Row],[Account Withdrawl Amount] ], )</f>
        <v>0</v>
      </c>
      <c r="O23" s="128">
        <f>IF(Table314[[#This Row],[CODE]]=11, Table314[ [#This Row],[Account Deposit Amount] ]-Table314[ [#This Row],[Account Withdrawl Amount] ], )</f>
        <v>0</v>
      </c>
      <c r="P23" s="128">
        <f>IF(Table314[[#This Row],[CODE]]=12, Table314[ [#This Row],[Account Deposit Amount] ]-Table314[ [#This Row],[Account Withdrawl Amount] ], )</f>
        <v>0</v>
      </c>
      <c r="Q23" s="128">
        <f>IF(Table314[[#This Row],[CODE]]=13, Table314[ [#This Row],[Account Deposit Amount] ]-Table314[ [#This Row],[Account Withdrawl Amount] ], )</f>
        <v>0</v>
      </c>
      <c r="R23" s="128">
        <f>IF(Table314[[#This Row],[CODE]]=14, Table314[ [#This Row],[Account Deposit Amount] ]-Table314[ [#This Row],[Account Withdrawl Amount] ], )</f>
        <v>0</v>
      </c>
      <c r="S23" s="128">
        <f>IF(Table314[[#This Row],[CODE]]=15, Table314[ [#This Row],[Account Deposit Amount] ]-Table314[ [#This Row],[Account Withdrawl Amount] ], )</f>
        <v>0</v>
      </c>
      <c r="T23" s="128">
        <f>IF(Table314[[#This Row],[CODE]]=16, Table314[ [#This Row],[Account Deposit Amount] ]-Table314[ [#This Row],[Account Withdrawl Amount] ], )</f>
        <v>0</v>
      </c>
      <c r="U23" s="127">
        <f>IF(Table314[[#This Row],[CODE]]=17, Table314[ [#This Row],[Account Deposit Amount] ]-Table314[ [#This Row],[Account Withdrawl Amount] ], )</f>
        <v>0</v>
      </c>
      <c r="V23" s="166">
        <f>IF(Table314[[#This Row],[CODE]]=18, Table314[ [#This Row],[Account Deposit Amount] ]-Table312[ [#This Row],[Account Withdrawl Amount] ], )</f>
        <v>0</v>
      </c>
    </row>
    <row r="24" spans="1:22" ht="16.2" thickBot="1">
      <c r="A24" s="130"/>
      <c r="B24" s="133"/>
      <c r="C24" s="130"/>
      <c r="D24" s="132"/>
      <c r="E24" s="128"/>
      <c r="F24" s="128"/>
      <c r="G24" s="134">
        <f t="shared" si="2"/>
        <v>16857.209999999995</v>
      </c>
      <c r="H24" s="130"/>
      <c r="I24" s="127">
        <f>IF(Table314[[#This Row],[CODE]]=1, Table314[ [#This Row],[Account Deposit Amount] ]-Table314[ [#This Row],[Account Withdrawl Amount] ], )</f>
        <v>0</v>
      </c>
      <c r="J24" s="129">
        <f>IF(Table314[[#This Row],[CODE]]=2, Table314[ [#This Row],[Account Deposit Amount] ]-Table314[ [#This Row],[Account Withdrawl Amount] ], )</f>
        <v>0</v>
      </c>
      <c r="K24" s="129">
        <f>IF(Table314[[#This Row],[CODE]]=3, Table314[ [#This Row],[Account Deposit Amount] ]-Table314[ [#This Row],[Account Withdrawl Amount] ], )</f>
        <v>0</v>
      </c>
      <c r="L24" s="128">
        <f>IF(Table314[[#This Row],[CODE]]=4, Table314[ [#This Row],[Account Deposit Amount] ]-Table314[ [#This Row],[Account Withdrawl Amount] ], )</f>
        <v>0</v>
      </c>
      <c r="M24" s="128">
        <f>IF(Table314[[#This Row],[CODE]]=5, Table314[ [#This Row],[Account Deposit Amount] ]-Table314[ [#This Row],[Account Withdrawl Amount] ], )</f>
        <v>0</v>
      </c>
      <c r="N24" s="128">
        <f>IF(Table314[[#This Row],[CODE]]=6, Table314[ [#This Row],[Account Deposit Amount] ]-Table314[ [#This Row],[Account Withdrawl Amount] ], )</f>
        <v>0</v>
      </c>
      <c r="O24" s="128">
        <f>IF(Table314[[#This Row],[CODE]]=11, Table314[ [#This Row],[Account Deposit Amount] ]-Table314[ [#This Row],[Account Withdrawl Amount] ], )</f>
        <v>0</v>
      </c>
      <c r="P24" s="128">
        <f>IF(Table314[[#This Row],[CODE]]=12, Table314[ [#This Row],[Account Deposit Amount] ]-Table314[ [#This Row],[Account Withdrawl Amount] ], )</f>
        <v>0</v>
      </c>
      <c r="Q24" s="128">
        <f>IF(Table314[[#This Row],[CODE]]=13, Table314[ [#This Row],[Account Deposit Amount] ]-Table314[ [#This Row],[Account Withdrawl Amount] ], )</f>
        <v>0</v>
      </c>
      <c r="R24" s="128">
        <f>IF(Table314[[#This Row],[CODE]]=14, Table314[ [#This Row],[Account Deposit Amount] ]-Table314[ [#This Row],[Account Withdrawl Amount] ], )</f>
        <v>0</v>
      </c>
      <c r="S24" s="128">
        <f>IF(Table314[[#This Row],[CODE]]=15, Table314[ [#This Row],[Account Deposit Amount] ]-Table314[ [#This Row],[Account Withdrawl Amount] ], )</f>
        <v>0</v>
      </c>
      <c r="T24" s="128">
        <f>IF(Table314[[#This Row],[CODE]]=16, Table314[ [#This Row],[Account Deposit Amount] ]-Table314[ [#This Row],[Account Withdrawl Amount] ], )</f>
        <v>0</v>
      </c>
      <c r="U24" s="127">
        <f>IF(Table314[[#This Row],[CODE]]=17, Table314[ [#This Row],[Account Deposit Amount] ]-Table314[ [#This Row],[Account Withdrawl Amount] ], )</f>
        <v>0</v>
      </c>
      <c r="V24" s="166">
        <f>IF(Table314[[#This Row],[CODE]]=18, Table314[ [#This Row],[Account Deposit Amount] ]-Table312[ [#This Row],[Account Withdrawl Amount] ], )</f>
        <v>0</v>
      </c>
    </row>
    <row r="25" spans="1:22" ht="16.2" thickBot="1">
      <c r="A25" s="130"/>
      <c r="B25" s="133"/>
      <c r="C25" s="130"/>
      <c r="D25" s="132"/>
      <c r="E25" s="128"/>
      <c r="F25" s="128"/>
      <c r="G25" s="134">
        <f t="shared" si="2"/>
        <v>16857.209999999995</v>
      </c>
      <c r="H25" s="130"/>
      <c r="I25" s="127">
        <f>IF(Table314[[#This Row],[CODE]]=1, Table314[ [#This Row],[Account Deposit Amount] ]-Table314[ [#This Row],[Account Withdrawl Amount] ], )</f>
        <v>0</v>
      </c>
      <c r="J25" s="129">
        <f>IF(Table314[[#This Row],[CODE]]=2, Table314[ [#This Row],[Account Deposit Amount] ]-Table314[ [#This Row],[Account Withdrawl Amount] ], )</f>
        <v>0</v>
      </c>
      <c r="K25" s="129">
        <f>IF(Table314[[#This Row],[CODE]]=3, Table314[ [#This Row],[Account Deposit Amount] ]-Table314[ [#This Row],[Account Withdrawl Amount] ], )</f>
        <v>0</v>
      </c>
      <c r="L25" s="128">
        <f>IF(Table314[[#This Row],[CODE]]=4, Table314[ [#This Row],[Account Deposit Amount] ]-Table314[ [#This Row],[Account Withdrawl Amount] ], )</f>
        <v>0</v>
      </c>
      <c r="M25" s="128">
        <f>IF(Table314[[#This Row],[CODE]]=5, Table314[ [#This Row],[Account Deposit Amount] ]-Table314[ [#This Row],[Account Withdrawl Amount] ], )</f>
        <v>0</v>
      </c>
      <c r="N25" s="128">
        <f>IF(Table314[[#This Row],[CODE]]=6, Table314[ [#This Row],[Account Deposit Amount] ]-Table314[ [#This Row],[Account Withdrawl Amount] ], )</f>
        <v>0</v>
      </c>
      <c r="O25" s="128">
        <f>IF(Table314[[#This Row],[CODE]]=11, Table314[ [#This Row],[Account Deposit Amount] ]-Table314[ [#This Row],[Account Withdrawl Amount] ], )</f>
        <v>0</v>
      </c>
      <c r="P25" s="128">
        <f>IF(Table314[[#This Row],[CODE]]=12, Table314[ [#This Row],[Account Deposit Amount] ]-Table314[ [#This Row],[Account Withdrawl Amount] ], )</f>
        <v>0</v>
      </c>
      <c r="Q25" s="128">
        <f>IF(Table314[[#This Row],[CODE]]=13, Table314[ [#This Row],[Account Deposit Amount] ]-Table314[ [#This Row],[Account Withdrawl Amount] ], )</f>
        <v>0</v>
      </c>
      <c r="R25" s="128">
        <f>IF(Table314[[#This Row],[CODE]]=14, Table314[ [#This Row],[Account Deposit Amount] ]-Table314[ [#This Row],[Account Withdrawl Amount] ], )</f>
        <v>0</v>
      </c>
      <c r="S25" s="128">
        <f>IF(Table314[[#This Row],[CODE]]=15, Table314[ [#This Row],[Account Deposit Amount] ]-Table314[ [#This Row],[Account Withdrawl Amount] ], )</f>
        <v>0</v>
      </c>
      <c r="T25" s="128">
        <f>IF(Table314[[#This Row],[CODE]]=16, Table314[ [#This Row],[Account Deposit Amount] ]-Table314[ [#This Row],[Account Withdrawl Amount] ], )</f>
        <v>0</v>
      </c>
      <c r="U25" s="127">
        <f>IF(Table314[[#This Row],[CODE]]=17, Table314[ [#This Row],[Account Deposit Amount] ]-Table314[ [#This Row],[Account Withdrawl Amount] ], )</f>
        <v>0</v>
      </c>
      <c r="V25" s="166">
        <f>IF(Table314[[#This Row],[CODE]]=18, Table314[ [#This Row],[Account Deposit Amount] ]-Table312[ [#This Row],[Account Withdrawl Amount] ], )</f>
        <v>0</v>
      </c>
    </row>
    <row r="26" spans="1:22" ht="16.2" thickBot="1">
      <c r="A26" s="130"/>
      <c r="B26" s="133"/>
      <c r="C26" s="130"/>
      <c r="D26" s="132"/>
      <c r="E26" s="128"/>
      <c r="F26" s="128"/>
      <c r="G26" s="134">
        <f t="shared" si="2"/>
        <v>16857.209999999995</v>
      </c>
      <c r="H26" s="130"/>
      <c r="I26" s="127">
        <f>IF(Table314[[#This Row],[CODE]]=1, Table314[ [#This Row],[Account Deposit Amount] ]-Table314[ [#This Row],[Account Withdrawl Amount] ], )</f>
        <v>0</v>
      </c>
      <c r="J26" s="129">
        <f>IF(Table314[[#This Row],[CODE]]=2, Table314[ [#This Row],[Account Deposit Amount] ]-Table314[ [#This Row],[Account Withdrawl Amount] ], )</f>
        <v>0</v>
      </c>
      <c r="K26" s="129">
        <f>IF(Table314[[#This Row],[CODE]]=3, Table314[ [#This Row],[Account Deposit Amount] ]-Table314[ [#This Row],[Account Withdrawl Amount] ], )</f>
        <v>0</v>
      </c>
      <c r="L26" s="128">
        <f>IF(Table314[[#This Row],[CODE]]=4, Table314[ [#This Row],[Account Deposit Amount] ]-Table314[ [#This Row],[Account Withdrawl Amount] ], )</f>
        <v>0</v>
      </c>
      <c r="M26" s="128">
        <f>IF(Table314[[#This Row],[CODE]]=5, Table314[ [#This Row],[Account Deposit Amount] ]-Table314[ [#This Row],[Account Withdrawl Amount] ], )</f>
        <v>0</v>
      </c>
      <c r="N26" s="128">
        <f>IF(Table314[[#This Row],[CODE]]=6, Table314[ [#This Row],[Account Deposit Amount] ]-Table314[ [#This Row],[Account Withdrawl Amount] ], )</f>
        <v>0</v>
      </c>
      <c r="O26" s="128">
        <f>IF(Table314[[#This Row],[CODE]]=11, Table314[ [#This Row],[Account Deposit Amount] ]-Table314[ [#This Row],[Account Withdrawl Amount] ], )</f>
        <v>0</v>
      </c>
      <c r="P26" s="128">
        <f>IF(Table314[[#This Row],[CODE]]=12, Table314[ [#This Row],[Account Deposit Amount] ]-Table314[ [#This Row],[Account Withdrawl Amount] ], )</f>
        <v>0</v>
      </c>
      <c r="Q26" s="128">
        <f>IF(Table314[[#This Row],[CODE]]=13, Table314[ [#This Row],[Account Deposit Amount] ]-Table314[ [#This Row],[Account Withdrawl Amount] ], )</f>
        <v>0</v>
      </c>
      <c r="R26" s="128">
        <f>IF(Table314[[#This Row],[CODE]]=14, Table314[ [#This Row],[Account Deposit Amount] ]-Table314[ [#This Row],[Account Withdrawl Amount] ], )</f>
        <v>0</v>
      </c>
      <c r="S26" s="128">
        <f>IF(Table314[[#This Row],[CODE]]=15, Table314[ [#This Row],[Account Deposit Amount] ]-Table314[ [#This Row],[Account Withdrawl Amount] ], )</f>
        <v>0</v>
      </c>
      <c r="T26" s="128">
        <f>IF(Table314[[#This Row],[CODE]]=16, Table314[ [#This Row],[Account Deposit Amount] ]-Table314[ [#This Row],[Account Withdrawl Amount] ], )</f>
        <v>0</v>
      </c>
      <c r="U26" s="127">
        <f>IF(Table314[[#This Row],[CODE]]=17, Table314[ [#This Row],[Account Deposit Amount] ]-Table314[ [#This Row],[Account Withdrawl Amount] ], )</f>
        <v>0</v>
      </c>
      <c r="V26" s="166">
        <f>IF(Table314[[#This Row],[CODE]]=18, Table314[ [#This Row],[Account Deposit Amount] ]-Table312[ [#This Row],[Account Withdrawl Amount] ], )</f>
        <v>0</v>
      </c>
    </row>
    <row r="27" spans="1:22" ht="16.2" thickBot="1">
      <c r="A27" s="130"/>
      <c r="B27" s="133"/>
      <c r="C27" s="130"/>
      <c r="D27" s="132"/>
      <c r="E27" s="128"/>
      <c r="F27" s="128"/>
      <c r="G27" s="134">
        <f t="shared" si="2"/>
        <v>16857.209999999995</v>
      </c>
      <c r="H27" s="130"/>
      <c r="I27" s="127">
        <f>IF(Table314[[#This Row],[CODE]]=1, Table314[ [#This Row],[Account Deposit Amount] ]-Table314[ [#This Row],[Account Withdrawl Amount] ], )</f>
        <v>0</v>
      </c>
      <c r="J27" s="129">
        <f>IF(Table314[[#This Row],[CODE]]=2, Table314[ [#This Row],[Account Deposit Amount] ]-Table314[ [#This Row],[Account Withdrawl Amount] ], )</f>
        <v>0</v>
      </c>
      <c r="K27" s="129">
        <f>IF(Table314[[#This Row],[CODE]]=3, Table314[ [#This Row],[Account Deposit Amount] ]-Table314[ [#This Row],[Account Withdrawl Amount] ], )</f>
        <v>0</v>
      </c>
      <c r="L27" s="128">
        <f>IF(Table314[[#This Row],[CODE]]=4, Table314[ [#This Row],[Account Deposit Amount] ]-Table314[ [#This Row],[Account Withdrawl Amount] ], )</f>
        <v>0</v>
      </c>
      <c r="M27" s="128">
        <f>IF(Table314[[#This Row],[CODE]]=5, Table314[ [#This Row],[Account Deposit Amount] ]-Table314[ [#This Row],[Account Withdrawl Amount] ], )</f>
        <v>0</v>
      </c>
      <c r="N27" s="128">
        <f>IF(Table314[[#This Row],[CODE]]=6, Table314[ [#This Row],[Account Deposit Amount] ]-Table314[ [#This Row],[Account Withdrawl Amount] ], )</f>
        <v>0</v>
      </c>
      <c r="O27" s="128">
        <f>IF(Table314[[#This Row],[CODE]]=11, Table314[ [#This Row],[Account Deposit Amount] ]-Table314[ [#This Row],[Account Withdrawl Amount] ], )</f>
        <v>0</v>
      </c>
      <c r="P27" s="128">
        <f>IF(Table314[[#This Row],[CODE]]=12, Table314[ [#This Row],[Account Deposit Amount] ]-Table314[ [#This Row],[Account Withdrawl Amount] ], )</f>
        <v>0</v>
      </c>
      <c r="Q27" s="128">
        <f>IF(Table314[[#This Row],[CODE]]=13, Table314[ [#This Row],[Account Deposit Amount] ]-Table314[ [#This Row],[Account Withdrawl Amount] ], )</f>
        <v>0</v>
      </c>
      <c r="R27" s="128">
        <f>IF(Table314[[#This Row],[CODE]]=14, Table314[ [#This Row],[Account Deposit Amount] ]-Table314[ [#This Row],[Account Withdrawl Amount] ], )</f>
        <v>0</v>
      </c>
      <c r="S27" s="128">
        <f>IF(Table314[[#This Row],[CODE]]=15, Table314[ [#This Row],[Account Deposit Amount] ]-Table314[ [#This Row],[Account Withdrawl Amount] ], )</f>
        <v>0</v>
      </c>
      <c r="T27" s="128">
        <f>IF(Table314[[#This Row],[CODE]]=16, Table314[ [#This Row],[Account Deposit Amount] ]-Table314[ [#This Row],[Account Withdrawl Amount] ], )</f>
        <v>0</v>
      </c>
      <c r="U27" s="127">
        <f>IF(Table314[[#This Row],[CODE]]=17, Table314[ [#This Row],[Account Deposit Amount] ]-Table314[ [#This Row],[Account Withdrawl Amount] ], )</f>
        <v>0</v>
      </c>
      <c r="V27" s="166">
        <f>IF(Table314[[#This Row],[CODE]]=18, Table314[ [#This Row],[Account Deposit Amount] ]-Table312[ [#This Row],[Account Withdrawl Amount] ], )</f>
        <v>0</v>
      </c>
    </row>
    <row r="28" spans="1:22" ht="16.2" thickBot="1">
      <c r="A28" s="130"/>
      <c r="B28" s="133"/>
      <c r="C28" s="130"/>
      <c r="D28" s="132"/>
      <c r="E28" s="128"/>
      <c r="F28" s="128"/>
      <c r="G28" s="134">
        <f t="shared" si="2"/>
        <v>16857.209999999995</v>
      </c>
      <c r="H28" s="130"/>
      <c r="I28" s="127">
        <f>IF(Table314[[#This Row],[CODE]]=1, Table314[ [#This Row],[Account Deposit Amount] ]-Table314[ [#This Row],[Account Withdrawl Amount] ], )</f>
        <v>0</v>
      </c>
      <c r="J28" s="129">
        <f>IF(Table314[[#This Row],[CODE]]=2, Table314[ [#This Row],[Account Deposit Amount] ]-Table314[ [#This Row],[Account Withdrawl Amount] ], )</f>
        <v>0</v>
      </c>
      <c r="K28" s="129">
        <f>IF(Table314[[#This Row],[CODE]]=3, Table314[ [#This Row],[Account Deposit Amount] ]-Table314[ [#This Row],[Account Withdrawl Amount] ], )</f>
        <v>0</v>
      </c>
      <c r="L28" s="128">
        <f>IF(Table314[[#This Row],[CODE]]=4, Table314[ [#This Row],[Account Deposit Amount] ]-Table314[ [#This Row],[Account Withdrawl Amount] ], )</f>
        <v>0</v>
      </c>
      <c r="M28" s="128">
        <f>IF(Table314[[#This Row],[CODE]]=5, Table314[ [#This Row],[Account Deposit Amount] ]-Table314[ [#This Row],[Account Withdrawl Amount] ], )</f>
        <v>0</v>
      </c>
      <c r="N28" s="128">
        <f>IF(Table314[[#This Row],[CODE]]=6, Table314[ [#This Row],[Account Deposit Amount] ]-Table314[ [#This Row],[Account Withdrawl Amount] ], )</f>
        <v>0</v>
      </c>
      <c r="O28" s="128">
        <f>IF(Table314[[#This Row],[CODE]]=11, Table314[ [#This Row],[Account Deposit Amount] ]-Table314[ [#This Row],[Account Withdrawl Amount] ], )</f>
        <v>0</v>
      </c>
      <c r="P28" s="128">
        <f>IF(Table314[[#This Row],[CODE]]=12, Table314[ [#This Row],[Account Deposit Amount] ]-Table314[ [#This Row],[Account Withdrawl Amount] ], )</f>
        <v>0</v>
      </c>
      <c r="Q28" s="128">
        <f>IF(Table314[[#This Row],[CODE]]=13, Table314[ [#This Row],[Account Deposit Amount] ]-Table314[ [#This Row],[Account Withdrawl Amount] ], )</f>
        <v>0</v>
      </c>
      <c r="R28" s="128">
        <f>IF(Table314[[#This Row],[CODE]]=14, Table314[ [#This Row],[Account Deposit Amount] ]-Table314[ [#This Row],[Account Withdrawl Amount] ], )</f>
        <v>0</v>
      </c>
      <c r="S28" s="128">
        <f>IF(Table314[[#This Row],[CODE]]=15, Table314[ [#This Row],[Account Deposit Amount] ]-Table314[ [#This Row],[Account Withdrawl Amount] ], )</f>
        <v>0</v>
      </c>
      <c r="T28" s="128">
        <f>IF(Table314[[#This Row],[CODE]]=16, Table314[ [#This Row],[Account Deposit Amount] ]-Table314[ [#This Row],[Account Withdrawl Amount] ], )</f>
        <v>0</v>
      </c>
      <c r="U28" s="127">
        <f>IF(Table314[[#This Row],[CODE]]=17, Table314[ [#This Row],[Account Deposit Amount] ]-Table314[ [#This Row],[Account Withdrawl Amount] ], )</f>
        <v>0</v>
      </c>
      <c r="V28" s="166">
        <f>IF(Table314[[#This Row],[CODE]]=18, Table314[ [#This Row],[Account Deposit Amount] ]-Table312[ [#This Row],[Account Withdrawl Amount] ], )</f>
        <v>0</v>
      </c>
    </row>
    <row r="29" spans="1:22" ht="16.2" thickBot="1">
      <c r="A29" s="130"/>
      <c r="B29" s="133"/>
      <c r="C29" s="130"/>
      <c r="D29" s="132"/>
      <c r="E29" s="128"/>
      <c r="F29" s="128"/>
      <c r="G29" s="134">
        <f t="shared" si="2"/>
        <v>16857.209999999995</v>
      </c>
      <c r="H29" s="130"/>
      <c r="I29" s="127">
        <f>IF(Table314[[#This Row],[CODE]]=1, Table314[ [#This Row],[Account Deposit Amount] ]-Table314[ [#This Row],[Account Withdrawl Amount] ], )</f>
        <v>0</v>
      </c>
      <c r="J29" s="129">
        <f>IF(Table314[[#This Row],[CODE]]=2, Table314[ [#This Row],[Account Deposit Amount] ]-Table314[ [#This Row],[Account Withdrawl Amount] ], )</f>
        <v>0</v>
      </c>
      <c r="K29" s="129">
        <f>IF(Table314[[#This Row],[CODE]]=3, Table314[ [#This Row],[Account Deposit Amount] ]-Table314[ [#This Row],[Account Withdrawl Amount] ], )</f>
        <v>0</v>
      </c>
      <c r="L29" s="128">
        <f>IF(Table314[[#This Row],[CODE]]=4, Table314[ [#This Row],[Account Deposit Amount] ]-Table314[ [#This Row],[Account Withdrawl Amount] ], )</f>
        <v>0</v>
      </c>
      <c r="M29" s="128">
        <f>IF(Table314[[#This Row],[CODE]]=5, Table314[ [#This Row],[Account Deposit Amount] ]-Table314[ [#This Row],[Account Withdrawl Amount] ], )</f>
        <v>0</v>
      </c>
      <c r="N29" s="128">
        <f>IF(Table314[[#This Row],[CODE]]=6, Table314[ [#This Row],[Account Deposit Amount] ]-Table314[ [#This Row],[Account Withdrawl Amount] ], )</f>
        <v>0</v>
      </c>
      <c r="O29" s="128">
        <f>IF(Table314[[#This Row],[CODE]]=11, Table314[ [#This Row],[Account Deposit Amount] ]-Table314[ [#This Row],[Account Withdrawl Amount] ], )</f>
        <v>0</v>
      </c>
      <c r="P29" s="128">
        <f>IF(Table314[[#This Row],[CODE]]=12, Table314[ [#This Row],[Account Deposit Amount] ]-Table314[ [#This Row],[Account Withdrawl Amount] ], )</f>
        <v>0</v>
      </c>
      <c r="Q29" s="128">
        <f>IF(Table314[[#This Row],[CODE]]=13, Table314[ [#This Row],[Account Deposit Amount] ]-Table314[ [#This Row],[Account Withdrawl Amount] ], )</f>
        <v>0</v>
      </c>
      <c r="R29" s="128">
        <f>IF(Table314[[#This Row],[CODE]]=14, Table314[ [#This Row],[Account Deposit Amount] ]-Table314[ [#This Row],[Account Withdrawl Amount] ], )</f>
        <v>0</v>
      </c>
      <c r="S29" s="128">
        <f>IF(Table314[[#This Row],[CODE]]=15, Table314[ [#This Row],[Account Deposit Amount] ]-Table314[ [#This Row],[Account Withdrawl Amount] ], )</f>
        <v>0</v>
      </c>
      <c r="T29" s="128">
        <f>IF(Table314[[#This Row],[CODE]]=16, Table314[ [#This Row],[Account Deposit Amount] ]-Table314[ [#This Row],[Account Withdrawl Amount] ], )</f>
        <v>0</v>
      </c>
      <c r="U29" s="127">
        <f>IF(Table314[[#This Row],[CODE]]=17, Table314[ [#This Row],[Account Deposit Amount] ]-Table314[ [#This Row],[Account Withdrawl Amount] ], )</f>
        <v>0</v>
      </c>
      <c r="V29" s="166">
        <f>IF(Table314[[#This Row],[CODE]]=18, Table314[ [#This Row],[Account Deposit Amount] ]-Table312[ [#This Row],[Account Withdrawl Amount] ], )</f>
        <v>0</v>
      </c>
    </row>
    <row r="30" spans="1:22" ht="16.2" thickBot="1">
      <c r="A30" s="130"/>
      <c r="B30" s="133"/>
      <c r="C30" s="130"/>
      <c r="D30" s="132"/>
      <c r="E30" s="128"/>
      <c r="F30" s="128"/>
      <c r="G30" s="134">
        <f t="shared" si="2"/>
        <v>16857.209999999995</v>
      </c>
      <c r="H30" s="130"/>
      <c r="I30" s="127">
        <f>IF(Table314[[#This Row],[CODE]]=1, Table314[ [#This Row],[Account Deposit Amount] ]-Table314[ [#This Row],[Account Withdrawl Amount] ], )</f>
        <v>0</v>
      </c>
      <c r="J30" s="129">
        <f>IF(Table314[[#This Row],[CODE]]=2, Table314[ [#This Row],[Account Deposit Amount] ]-Table314[ [#This Row],[Account Withdrawl Amount] ], )</f>
        <v>0</v>
      </c>
      <c r="K30" s="129">
        <f>IF(Table314[[#This Row],[CODE]]=3, Table314[ [#This Row],[Account Deposit Amount] ]-Table314[ [#This Row],[Account Withdrawl Amount] ], )</f>
        <v>0</v>
      </c>
      <c r="L30" s="128">
        <f>IF(Table314[[#This Row],[CODE]]=4, Table314[ [#This Row],[Account Deposit Amount] ]-Table314[ [#This Row],[Account Withdrawl Amount] ], )</f>
        <v>0</v>
      </c>
      <c r="M30" s="128">
        <f>IF(Table314[[#This Row],[CODE]]=5, Table314[ [#This Row],[Account Deposit Amount] ]-Table314[ [#This Row],[Account Withdrawl Amount] ], )</f>
        <v>0</v>
      </c>
      <c r="N30" s="128">
        <f>IF(Table314[[#This Row],[CODE]]=6, Table314[ [#This Row],[Account Deposit Amount] ]-Table314[ [#This Row],[Account Withdrawl Amount] ], )</f>
        <v>0</v>
      </c>
      <c r="O30" s="128">
        <f>IF(Table314[[#This Row],[CODE]]=11, Table314[ [#This Row],[Account Deposit Amount] ]-Table314[ [#This Row],[Account Withdrawl Amount] ], )</f>
        <v>0</v>
      </c>
      <c r="P30" s="128">
        <f>IF(Table314[[#This Row],[CODE]]=12, Table314[ [#This Row],[Account Deposit Amount] ]-Table314[ [#This Row],[Account Withdrawl Amount] ], )</f>
        <v>0</v>
      </c>
      <c r="Q30" s="128">
        <f>IF(Table314[[#This Row],[CODE]]=13, Table314[ [#This Row],[Account Deposit Amount] ]-Table314[ [#This Row],[Account Withdrawl Amount] ], )</f>
        <v>0</v>
      </c>
      <c r="R30" s="128">
        <f>IF(Table314[[#This Row],[CODE]]=14, Table314[ [#This Row],[Account Deposit Amount] ]-Table314[ [#This Row],[Account Withdrawl Amount] ], )</f>
        <v>0</v>
      </c>
      <c r="S30" s="128">
        <f>IF(Table314[[#This Row],[CODE]]=15, Table314[ [#This Row],[Account Deposit Amount] ]-Table314[ [#This Row],[Account Withdrawl Amount] ], )</f>
        <v>0</v>
      </c>
      <c r="T30" s="128">
        <f>IF(Table314[[#This Row],[CODE]]=16, Table314[ [#This Row],[Account Deposit Amount] ]-Table314[ [#This Row],[Account Withdrawl Amount] ], )</f>
        <v>0</v>
      </c>
      <c r="U30" s="127">
        <f>IF(Table314[[#This Row],[CODE]]=17, Table314[ [#This Row],[Account Deposit Amount] ]-Table314[ [#This Row],[Account Withdrawl Amount] ], )</f>
        <v>0</v>
      </c>
      <c r="V30" s="166">
        <f>IF(Table314[[#This Row],[CODE]]=18, Table314[ [#This Row],[Account Deposit Amount] ]-Table312[ [#This Row],[Account Withdrawl Amount] ], )</f>
        <v>0</v>
      </c>
    </row>
    <row r="31" spans="1:22" ht="16.2" thickBot="1">
      <c r="A31" s="130"/>
      <c r="B31" s="133"/>
      <c r="C31" s="130"/>
      <c r="D31" s="132"/>
      <c r="E31" s="128"/>
      <c r="F31" s="128"/>
      <c r="G31" s="134">
        <f t="shared" si="2"/>
        <v>16857.209999999995</v>
      </c>
      <c r="H31" s="130"/>
      <c r="I31" s="127">
        <f>IF(Table314[[#This Row],[CODE]]=1, Table314[ [#This Row],[Account Deposit Amount] ]-Table314[ [#This Row],[Account Withdrawl Amount] ], )</f>
        <v>0</v>
      </c>
      <c r="J31" s="129">
        <f>IF(Table314[[#This Row],[CODE]]=2, Table314[ [#This Row],[Account Deposit Amount] ]-Table314[ [#This Row],[Account Withdrawl Amount] ], )</f>
        <v>0</v>
      </c>
      <c r="K31" s="129">
        <f>IF(Table314[[#This Row],[CODE]]=3, Table314[ [#This Row],[Account Deposit Amount] ]-Table314[ [#This Row],[Account Withdrawl Amount] ], )</f>
        <v>0</v>
      </c>
      <c r="L31" s="128">
        <f>IF(Table314[[#This Row],[CODE]]=4, Table314[ [#This Row],[Account Deposit Amount] ]-Table314[ [#This Row],[Account Withdrawl Amount] ], )</f>
        <v>0</v>
      </c>
      <c r="M31" s="128">
        <f>IF(Table314[[#This Row],[CODE]]=5, Table314[ [#This Row],[Account Deposit Amount] ]-Table314[ [#This Row],[Account Withdrawl Amount] ], )</f>
        <v>0</v>
      </c>
      <c r="N31" s="128">
        <f>IF(Table314[[#This Row],[CODE]]=6, Table314[ [#This Row],[Account Deposit Amount] ]-Table314[ [#This Row],[Account Withdrawl Amount] ], )</f>
        <v>0</v>
      </c>
      <c r="O31" s="128">
        <f>IF(Table314[[#This Row],[CODE]]=11, Table314[ [#This Row],[Account Deposit Amount] ]-Table314[ [#This Row],[Account Withdrawl Amount] ], )</f>
        <v>0</v>
      </c>
      <c r="P31" s="128">
        <f>IF(Table314[[#This Row],[CODE]]=12, Table314[ [#This Row],[Account Deposit Amount] ]-Table314[ [#This Row],[Account Withdrawl Amount] ], )</f>
        <v>0</v>
      </c>
      <c r="Q31" s="128">
        <f>IF(Table314[[#This Row],[CODE]]=13, Table314[ [#This Row],[Account Deposit Amount] ]-Table314[ [#This Row],[Account Withdrawl Amount] ], )</f>
        <v>0</v>
      </c>
      <c r="R31" s="128">
        <f>IF(Table314[[#This Row],[CODE]]=14, Table314[ [#This Row],[Account Deposit Amount] ]-Table314[ [#This Row],[Account Withdrawl Amount] ], )</f>
        <v>0</v>
      </c>
      <c r="S31" s="128">
        <f>IF(Table314[[#This Row],[CODE]]=15, Table314[ [#This Row],[Account Deposit Amount] ]-Table314[ [#This Row],[Account Withdrawl Amount] ], )</f>
        <v>0</v>
      </c>
      <c r="T31" s="128">
        <f>IF(Table314[[#This Row],[CODE]]=16, Table314[ [#This Row],[Account Deposit Amount] ]-Table314[ [#This Row],[Account Withdrawl Amount] ], )</f>
        <v>0</v>
      </c>
      <c r="U31" s="127">
        <f>IF(Table314[[#This Row],[CODE]]=17, Table314[ [#This Row],[Account Deposit Amount] ]-Table314[ [#This Row],[Account Withdrawl Amount] ], )</f>
        <v>0</v>
      </c>
      <c r="V31" s="166">
        <f>IF(Table314[[#This Row],[CODE]]=18, Table314[ [#This Row],[Account Deposit Amount] ]-Table312[ [#This Row],[Account Withdrawl Amount] ], )</f>
        <v>0</v>
      </c>
    </row>
    <row r="32" spans="1:22" ht="16.2" thickBot="1">
      <c r="A32" s="130"/>
      <c r="B32" s="133"/>
      <c r="C32" s="130"/>
      <c r="D32" s="132"/>
      <c r="E32" s="128"/>
      <c r="F32" s="128"/>
      <c r="G32" s="134">
        <f t="shared" si="2"/>
        <v>16857.209999999995</v>
      </c>
      <c r="H32" s="130"/>
      <c r="I32" s="127">
        <f>IF(Table314[[#This Row],[CODE]]=1, Table314[ [#This Row],[Account Deposit Amount] ]-Table314[ [#This Row],[Account Withdrawl Amount] ], )</f>
        <v>0</v>
      </c>
      <c r="J32" s="129">
        <f>IF(Table314[[#This Row],[CODE]]=2, Table314[ [#This Row],[Account Deposit Amount] ]-Table314[ [#This Row],[Account Withdrawl Amount] ], )</f>
        <v>0</v>
      </c>
      <c r="K32" s="129">
        <f>IF(Table314[[#This Row],[CODE]]=3, Table314[ [#This Row],[Account Deposit Amount] ]-Table314[ [#This Row],[Account Withdrawl Amount] ], )</f>
        <v>0</v>
      </c>
      <c r="L32" s="128">
        <f>IF(Table314[[#This Row],[CODE]]=4, Table314[ [#This Row],[Account Deposit Amount] ]-Table314[ [#This Row],[Account Withdrawl Amount] ], )</f>
        <v>0</v>
      </c>
      <c r="M32" s="128">
        <f>IF(Table314[[#This Row],[CODE]]=5, Table314[ [#This Row],[Account Deposit Amount] ]-Table314[ [#This Row],[Account Withdrawl Amount] ], )</f>
        <v>0</v>
      </c>
      <c r="N32" s="128">
        <f>IF(Table314[[#This Row],[CODE]]=6, Table314[ [#This Row],[Account Deposit Amount] ]-Table314[ [#This Row],[Account Withdrawl Amount] ], )</f>
        <v>0</v>
      </c>
      <c r="O32" s="128">
        <f>IF(Table314[[#This Row],[CODE]]=11, Table314[ [#This Row],[Account Deposit Amount] ]-Table314[ [#This Row],[Account Withdrawl Amount] ], )</f>
        <v>0</v>
      </c>
      <c r="P32" s="128">
        <f>IF(Table314[[#This Row],[CODE]]=12, Table314[ [#This Row],[Account Deposit Amount] ]-Table314[ [#This Row],[Account Withdrawl Amount] ], )</f>
        <v>0</v>
      </c>
      <c r="Q32" s="128">
        <f>IF(Table314[[#This Row],[CODE]]=13, Table314[ [#This Row],[Account Deposit Amount] ]-Table314[ [#This Row],[Account Withdrawl Amount] ], )</f>
        <v>0</v>
      </c>
      <c r="R32" s="128">
        <f>IF(Table314[[#This Row],[CODE]]=14, Table314[ [#This Row],[Account Deposit Amount] ]-Table314[ [#This Row],[Account Withdrawl Amount] ], )</f>
        <v>0</v>
      </c>
      <c r="S32" s="128">
        <f>IF(Table314[[#This Row],[CODE]]=15, Table314[ [#This Row],[Account Deposit Amount] ]-Table314[ [#This Row],[Account Withdrawl Amount] ], )</f>
        <v>0</v>
      </c>
      <c r="T32" s="128">
        <f>IF(Table314[[#This Row],[CODE]]=16, Table314[ [#This Row],[Account Deposit Amount] ]-Table314[ [#This Row],[Account Withdrawl Amount] ], )</f>
        <v>0</v>
      </c>
      <c r="U32" s="127">
        <f>IF(Table314[[#This Row],[CODE]]=17, Table314[ [#This Row],[Account Deposit Amount] ]-Table314[ [#This Row],[Account Withdrawl Amount] ], )</f>
        <v>0</v>
      </c>
      <c r="V32" s="166">
        <f>IF(Table314[[#This Row],[CODE]]=18, Table314[ [#This Row],[Account Deposit Amount] ]-Table312[ [#This Row],[Account Withdrawl Amount] ], )</f>
        <v>0</v>
      </c>
    </row>
    <row r="33" spans="1:22" ht="16.2" thickBot="1">
      <c r="A33" s="130"/>
      <c r="B33" s="133"/>
      <c r="C33" s="130"/>
      <c r="D33" s="132"/>
      <c r="E33" s="128"/>
      <c r="F33" s="128"/>
      <c r="G33" s="134">
        <f t="shared" si="2"/>
        <v>16857.209999999995</v>
      </c>
      <c r="H33" s="130"/>
      <c r="I33" s="127">
        <f>IF(Table314[[#This Row],[CODE]]=1, Table314[ [#This Row],[Account Deposit Amount] ]-Table314[ [#This Row],[Account Withdrawl Amount] ], )</f>
        <v>0</v>
      </c>
      <c r="J33" s="129">
        <f>IF(Table314[[#This Row],[CODE]]=2, Table314[ [#This Row],[Account Deposit Amount] ]-Table314[ [#This Row],[Account Withdrawl Amount] ], )</f>
        <v>0</v>
      </c>
      <c r="K33" s="129">
        <f>IF(Table314[[#This Row],[CODE]]=3, Table314[ [#This Row],[Account Deposit Amount] ]-Table314[ [#This Row],[Account Withdrawl Amount] ], )</f>
        <v>0</v>
      </c>
      <c r="L33" s="128">
        <f>IF(Table314[[#This Row],[CODE]]=4, Table314[ [#This Row],[Account Deposit Amount] ]-Table314[ [#This Row],[Account Withdrawl Amount] ], )</f>
        <v>0</v>
      </c>
      <c r="M33" s="128">
        <f>IF(Table314[[#This Row],[CODE]]=5, Table314[ [#This Row],[Account Deposit Amount] ]-Table314[ [#This Row],[Account Withdrawl Amount] ], )</f>
        <v>0</v>
      </c>
      <c r="N33" s="128">
        <f>IF(Table314[[#This Row],[CODE]]=6, Table314[ [#This Row],[Account Deposit Amount] ]-Table314[ [#This Row],[Account Withdrawl Amount] ], )</f>
        <v>0</v>
      </c>
      <c r="O33" s="128">
        <f>IF(Table314[[#This Row],[CODE]]=11, Table314[ [#This Row],[Account Deposit Amount] ]-Table314[ [#This Row],[Account Withdrawl Amount] ], )</f>
        <v>0</v>
      </c>
      <c r="P33" s="128">
        <f>IF(Table314[[#This Row],[CODE]]=12, Table314[ [#This Row],[Account Deposit Amount] ]-Table314[ [#This Row],[Account Withdrawl Amount] ], )</f>
        <v>0</v>
      </c>
      <c r="Q33" s="128">
        <f>IF(Table314[[#This Row],[CODE]]=13, Table314[ [#This Row],[Account Deposit Amount] ]-Table314[ [#This Row],[Account Withdrawl Amount] ], )</f>
        <v>0</v>
      </c>
      <c r="R33" s="128">
        <f>IF(Table314[[#This Row],[CODE]]=14, Table314[ [#This Row],[Account Deposit Amount] ]-Table314[ [#This Row],[Account Withdrawl Amount] ], )</f>
        <v>0</v>
      </c>
      <c r="S33" s="128">
        <f>IF(Table314[[#This Row],[CODE]]=15, Table314[ [#This Row],[Account Deposit Amount] ]-Table314[ [#This Row],[Account Withdrawl Amount] ], )</f>
        <v>0</v>
      </c>
      <c r="T33" s="128">
        <f>IF(Table314[[#This Row],[CODE]]=16, Table314[ [#This Row],[Account Deposit Amount] ]-Table314[ [#This Row],[Account Withdrawl Amount] ], )</f>
        <v>0</v>
      </c>
      <c r="U33" s="127">
        <f>IF(Table314[[#This Row],[CODE]]=17, Table314[ [#This Row],[Account Deposit Amount] ]-Table314[ [#This Row],[Account Withdrawl Amount] ], )</f>
        <v>0</v>
      </c>
      <c r="V33" s="166">
        <f>IF(Table314[[#This Row],[CODE]]=18, Table314[ [#This Row],[Account Deposit Amount] ]-Table312[ [#This Row],[Account Withdrawl Amount] ], )</f>
        <v>0</v>
      </c>
    </row>
    <row r="34" spans="1:22" ht="16.2" thickBot="1">
      <c r="A34" s="130"/>
      <c r="B34" s="133"/>
      <c r="C34" s="130"/>
      <c r="D34" s="132"/>
      <c r="E34" s="128"/>
      <c r="F34" s="128"/>
      <c r="G34" s="134">
        <f t="shared" si="2"/>
        <v>16857.209999999995</v>
      </c>
      <c r="H34" s="130"/>
      <c r="I34" s="127">
        <f>IF(Table314[[#This Row],[CODE]]=1, Table314[ [#This Row],[Account Deposit Amount] ]-Table314[ [#This Row],[Account Withdrawl Amount] ], )</f>
        <v>0</v>
      </c>
      <c r="J34" s="129">
        <f>IF(Table314[[#This Row],[CODE]]=2, Table314[ [#This Row],[Account Deposit Amount] ]-Table314[ [#This Row],[Account Withdrawl Amount] ], )</f>
        <v>0</v>
      </c>
      <c r="K34" s="129">
        <f>IF(Table314[[#This Row],[CODE]]=3, Table314[ [#This Row],[Account Deposit Amount] ]-Table314[ [#This Row],[Account Withdrawl Amount] ], )</f>
        <v>0</v>
      </c>
      <c r="L34" s="128">
        <f>IF(Table314[[#This Row],[CODE]]=4, Table314[ [#This Row],[Account Deposit Amount] ]-Table314[ [#This Row],[Account Withdrawl Amount] ], )</f>
        <v>0</v>
      </c>
      <c r="M34" s="128">
        <f>IF(Table314[[#This Row],[CODE]]=5, Table314[ [#This Row],[Account Deposit Amount] ]-Table314[ [#This Row],[Account Withdrawl Amount] ], )</f>
        <v>0</v>
      </c>
      <c r="N34" s="128">
        <f>IF(Table314[[#This Row],[CODE]]=6, Table314[ [#This Row],[Account Deposit Amount] ]-Table314[ [#This Row],[Account Withdrawl Amount] ], )</f>
        <v>0</v>
      </c>
      <c r="O34" s="128">
        <f>IF(Table314[[#This Row],[CODE]]=11, Table314[ [#This Row],[Account Deposit Amount] ]-Table314[ [#This Row],[Account Withdrawl Amount] ], )</f>
        <v>0</v>
      </c>
      <c r="P34" s="128">
        <f>IF(Table314[[#This Row],[CODE]]=12, Table314[ [#This Row],[Account Deposit Amount] ]-Table314[ [#This Row],[Account Withdrawl Amount] ], )</f>
        <v>0</v>
      </c>
      <c r="Q34" s="128">
        <f>IF(Table314[[#This Row],[CODE]]=13, Table314[ [#This Row],[Account Deposit Amount] ]-Table314[ [#This Row],[Account Withdrawl Amount] ], )</f>
        <v>0</v>
      </c>
      <c r="R34" s="128">
        <f>IF(Table314[[#This Row],[CODE]]=14, Table314[ [#This Row],[Account Deposit Amount] ]-Table314[ [#This Row],[Account Withdrawl Amount] ], )</f>
        <v>0</v>
      </c>
      <c r="S34" s="128">
        <f>IF(Table314[[#This Row],[CODE]]=15, Table314[ [#This Row],[Account Deposit Amount] ]-Table314[ [#This Row],[Account Withdrawl Amount] ], )</f>
        <v>0</v>
      </c>
      <c r="T34" s="128">
        <f>IF(Table314[[#This Row],[CODE]]=16, Table314[ [#This Row],[Account Deposit Amount] ]-Table314[ [#This Row],[Account Withdrawl Amount] ], )</f>
        <v>0</v>
      </c>
      <c r="U34" s="127">
        <f>IF(Table314[[#This Row],[CODE]]=17, Table314[ [#This Row],[Account Deposit Amount] ]-Table314[ [#This Row],[Account Withdrawl Amount] ], )</f>
        <v>0</v>
      </c>
      <c r="V34" s="166">
        <f>IF(Table314[[#This Row],[CODE]]=18, Table314[ [#This Row],[Account Deposit Amount] ]-Table312[ [#This Row],[Account Withdrawl Amount] ], )</f>
        <v>0</v>
      </c>
    </row>
    <row r="35" spans="1:22" ht="16.2" thickBot="1">
      <c r="A35" s="130"/>
      <c r="B35" s="133"/>
      <c r="C35" s="130"/>
      <c r="D35" s="132"/>
      <c r="E35" s="128"/>
      <c r="F35" s="128"/>
      <c r="G35" s="134">
        <f t="shared" si="2"/>
        <v>16857.209999999995</v>
      </c>
      <c r="H35" s="130"/>
      <c r="I35" s="127">
        <f>IF(Table314[[#This Row],[CODE]]=1, Table314[ [#This Row],[Account Deposit Amount] ]-Table314[ [#This Row],[Account Withdrawl Amount] ], )</f>
        <v>0</v>
      </c>
      <c r="J35" s="129">
        <f>IF(Table314[[#This Row],[CODE]]=2, Table314[ [#This Row],[Account Deposit Amount] ]-Table314[ [#This Row],[Account Withdrawl Amount] ], )</f>
        <v>0</v>
      </c>
      <c r="K35" s="129">
        <f>IF(Table314[[#This Row],[CODE]]=3, Table314[ [#This Row],[Account Deposit Amount] ]-Table314[ [#This Row],[Account Withdrawl Amount] ], )</f>
        <v>0</v>
      </c>
      <c r="L35" s="128">
        <f>IF(Table314[[#This Row],[CODE]]=4, Table314[ [#This Row],[Account Deposit Amount] ]-Table314[ [#This Row],[Account Withdrawl Amount] ], )</f>
        <v>0</v>
      </c>
      <c r="M35" s="128">
        <f>IF(Table314[[#This Row],[CODE]]=5, Table314[ [#This Row],[Account Deposit Amount] ]-Table314[ [#This Row],[Account Withdrawl Amount] ], )</f>
        <v>0</v>
      </c>
      <c r="N35" s="128">
        <f>IF(Table314[[#This Row],[CODE]]=6, Table314[ [#This Row],[Account Deposit Amount] ]-Table314[ [#This Row],[Account Withdrawl Amount] ], )</f>
        <v>0</v>
      </c>
      <c r="O35" s="128">
        <f>IF(Table314[[#This Row],[CODE]]=11, Table314[ [#This Row],[Account Deposit Amount] ]-Table314[ [#This Row],[Account Withdrawl Amount] ], )</f>
        <v>0</v>
      </c>
      <c r="P35" s="128">
        <f>IF(Table314[[#This Row],[CODE]]=12, Table314[ [#This Row],[Account Deposit Amount] ]-Table314[ [#This Row],[Account Withdrawl Amount] ], )</f>
        <v>0</v>
      </c>
      <c r="Q35" s="128">
        <f>IF(Table314[[#This Row],[CODE]]=13, Table314[ [#This Row],[Account Deposit Amount] ]-Table314[ [#This Row],[Account Withdrawl Amount] ], )</f>
        <v>0</v>
      </c>
      <c r="R35" s="128">
        <f>IF(Table314[[#This Row],[CODE]]=14, Table314[ [#This Row],[Account Deposit Amount] ]-Table314[ [#This Row],[Account Withdrawl Amount] ], )</f>
        <v>0</v>
      </c>
      <c r="S35" s="128">
        <f>IF(Table314[[#This Row],[CODE]]=15, Table314[ [#This Row],[Account Deposit Amount] ]-Table314[ [#This Row],[Account Withdrawl Amount] ], )</f>
        <v>0</v>
      </c>
      <c r="T35" s="128">
        <f>IF(Table314[[#This Row],[CODE]]=16, Table314[ [#This Row],[Account Deposit Amount] ]-Table314[ [#This Row],[Account Withdrawl Amount] ], )</f>
        <v>0</v>
      </c>
      <c r="U35" s="127">
        <f>IF(Table314[[#This Row],[CODE]]=17, Table314[ [#This Row],[Account Deposit Amount] ]-Table314[ [#This Row],[Account Withdrawl Amount] ], )</f>
        <v>0</v>
      </c>
      <c r="V35" s="166">
        <f>IF(Table314[[#This Row],[CODE]]=18, Table314[ [#This Row],[Account Deposit Amount] ]-Table312[ [#This Row],[Account Withdrawl Amount] ], )</f>
        <v>0</v>
      </c>
    </row>
    <row r="36" spans="1:22" ht="16.2" thickBot="1">
      <c r="A36" s="130"/>
      <c r="B36" s="133"/>
      <c r="C36" s="130"/>
      <c r="D36" s="132"/>
      <c r="E36" s="128"/>
      <c r="F36" s="128"/>
      <c r="G36" s="134">
        <f t="shared" si="2"/>
        <v>16857.209999999995</v>
      </c>
      <c r="H36" s="130"/>
      <c r="I36" s="127">
        <f>IF(Table314[[#This Row],[CODE]]=1, Table314[ [#This Row],[Account Deposit Amount] ]-Table314[ [#This Row],[Account Withdrawl Amount] ], )</f>
        <v>0</v>
      </c>
      <c r="J36" s="129">
        <f>IF(Table314[[#This Row],[CODE]]=2, Table314[ [#This Row],[Account Deposit Amount] ]-Table314[ [#This Row],[Account Withdrawl Amount] ], )</f>
        <v>0</v>
      </c>
      <c r="K36" s="129">
        <f>IF(Table314[[#This Row],[CODE]]=3, Table314[ [#This Row],[Account Deposit Amount] ]-Table314[ [#This Row],[Account Withdrawl Amount] ], )</f>
        <v>0</v>
      </c>
      <c r="L36" s="128">
        <f>IF(Table314[[#This Row],[CODE]]=4, Table314[ [#This Row],[Account Deposit Amount] ]-Table314[ [#This Row],[Account Withdrawl Amount] ], )</f>
        <v>0</v>
      </c>
      <c r="M36" s="128">
        <f>IF(Table314[[#This Row],[CODE]]=5, Table314[ [#This Row],[Account Deposit Amount] ]-Table314[ [#This Row],[Account Withdrawl Amount] ], )</f>
        <v>0</v>
      </c>
      <c r="N36" s="128">
        <f>IF(Table314[[#This Row],[CODE]]=6, Table314[ [#This Row],[Account Deposit Amount] ]-Table314[ [#This Row],[Account Withdrawl Amount] ], )</f>
        <v>0</v>
      </c>
      <c r="O36" s="128">
        <f>IF(Table314[[#This Row],[CODE]]=11, Table314[ [#This Row],[Account Deposit Amount] ]-Table314[ [#This Row],[Account Withdrawl Amount] ], )</f>
        <v>0</v>
      </c>
      <c r="P36" s="128">
        <f>IF(Table314[[#This Row],[CODE]]=12, Table314[ [#This Row],[Account Deposit Amount] ]-Table314[ [#This Row],[Account Withdrawl Amount] ], )</f>
        <v>0</v>
      </c>
      <c r="Q36" s="128">
        <f>IF(Table314[[#This Row],[CODE]]=13, Table314[ [#This Row],[Account Deposit Amount] ]-Table314[ [#This Row],[Account Withdrawl Amount] ], )</f>
        <v>0</v>
      </c>
      <c r="R36" s="128">
        <f>IF(Table314[[#This Row],[CODE]]=14, Table314[ [#This Row],[Account Deposit Amount] ]-Table314[ [#This Row],[Account Withdrawl Amount] ], )</f>
        <v>0</v>
      </c>
      <c r="S36" s="128">
        <f>IF(Table314[[#This Row],[CODE]]=15, Table314[ [#This Row],[Account Deposit Amount] ]-Table314[ [#This Row],[Account Withdrawl Amount] ], )</f>
        <v>0</v>
      </c>
      <c r="T36" s="128">
        <f>IF(Table314[[#This Row],[CODE]]=16, Table314[ [#This Row],[Account Deposit Amount] ]-Table314[ [#This Row],[Account Withdrawl Amount] ], )</f>
        <v>0</v>
      </c>
      <c r="U36" s="127">
        <f>IF(Table314[[#This Row],[CODE]]=17, Table314[ [#This Row],[Account Deposit Amount] ]-Table314[ [#This Row],[Account Withdrawl Amount] ], )</f>
        <v>0</v>
      </c>
      <c r="V36" s="166">
        <f>IF(Table314[[#This Row],[CODE]]=18, Table314[ [#This Row],[Account Deposit Amount] ]-Table312[ [#This Row],[Account Withdrawl Amount] ], )</f>
        <v>0</v>
      </c>
    </row>
    <row r="37" spans="1:22" ht="16.2" thickBot="1">
      <c r="A37" s="130"/>
      <c r="B37" s="133"/>
      <c r="C37" s="130"/>
      <c r="D37" s="132"/>
      <c r="E37" s="128"/>
      <c r="F37" s="128"/>
      <c r="G37" s="134">
        <f t="shared" ref="G37:G68" si="3">G36+E37-F37</f>
        <v>16857.209999999995</v>
      </c>
      <c r="H37" s="130"/>
      <c r="I37" s="127">
        <f>IF(Table314[[#This Row],[CODE]]=1, Table314[ [#This Row],[Account Deposit Amount] ]-Table314[ [#This Row],[Account Withdrawl Amount] ], )</f>
        <v>0</v>
      </c>
      <c r="J37" s="129">
        <f>IF(Table314[[#This Row],[CODE]]=2, Table314[ [#This Row],[Account Deposit Amount] ]-Table314[ [#This Row],[Account Withdrawl Amount] ], )</f>
        <v>0</v>
      </c>
      <c r="K37" s="129">
        <f>IF(Table314[[#This Row],[CODE]]=3, Table314[ [#This Row],[Account Deposit Amount] ]-Table314[ [#This Row],[Account Withdrawl Amount] ], )</f>
        <v>0</v>
      </c>
      <c r="L37" s="128">
        <f>IF(Table314[[#This Row],[CODE]]=4, Table314[ [#This Row],[Account Deposit Amount] ]-Table314[ [#This Row],[Account Withdrawl Amount] ], )</f>
        <v>0</v>
      </c>
      <c r="M37" s="128">
        <f>IF(Table314[[#This Row],[CODE]]=5, Table314[ [#This Row],[Account Deposit Amount] ]-Table314[ [#This Row],[Account Withdrawl Amount] ], )</f>
        <v>0</v>
      </c>
      <c r="N37" s="128">
        <f>IF(Table314[[#This Row],[CODE]]=6, Table314[ [#This Row],[Account Deposit Amount] ]-Table314[ [#This Row],[Account Withdrawl Amount] ], )</f>
        <v>0</v>
      </c>
      <c r="O37" s="128">
        <f>IF(Table314[[#This Row],[CODE]]=11, Table314[ [#This Row],[Account Deposit Amount] ]-Table314[ [#This Row],[Account Withdrawl Amount] ], )</f>
        <v>0</v>
      </c>
      <c r="P37" s="128">
        <f>IF(Table314[[#This Row],[CODE]]=12, Table314[ [#This Row],[Account Deposit Amount] ]-Table314[ [#This Row],[Account Withdrawl Amount] ], )</f>
        <v>0</v>
      </c>
      <c r="Q37" s="128">
        <f>IF(Table314[[#This Row],[CODE]]=13, Table314[ [#This Row],[Account Deposit Amount] ]-Table314[ [#This Row],[Account Withdrawl Amount] ], )</f>
        <v>0</v>
      </c>
      <c r="R37" s="128">
        <f>IF(Table314[[#This Row],[CODE]]=14, Table314[ [#This Row],[Account Deposit Amount] ]-Table314[ [#This Row],[Account Withdrawl Amount] ], )</f>
        <v>0</v>
      </c>
      <c r="S37" s="128">
        <f>IF(Table314[[#This Row],[CODE]]=15, Table314[ [#This Row],[Account Deposit Amount] ]-Table314[ [#This Row],[Account Withdrawl Amount] ], )</f>
        <v>0</v>
      </c>
      <c r="T37" s="128">
        <f>IF(Table314[[#This Row],[CODE]]=16, Table314[ [#This Row],[Account Deposit Amount] ]-Table314[ [#This Row],[Account Withdrawl Amount] ], )</f>
        <v>0</v>
      </c>
      <c r="U37" s="127">
        <f>IF(Table314[[#This Row],[CODE]]=17, Table314[ [#This Row],[Account Deposit Amount] ]-Table314[ [#This Row],[Account Withdrawl Amount] ], )</f>
        <v>0</v>
      </c>
      <c r="V37" s="166">
        <f>IF(Table314[[#This Row],[CODE]]=18, Table314[ [#This Row],[Account Deposit Amount] ]-Table312[ [#This Row],[Account Withdrawl Amount] ], )</f>
        <v>0</v>
      </c>
    </row>
    <row r="38" spans="1:22" ht="16.2" thickBot="1">
      <c r="A38" s="130"/>
      <c r="B38" s="133"/>
      <c r="C38" s="130"/>
      <c r="D38" s="132"/>
      <c r="E38" s="128"/>
      <c r="F38" s="128"/>
      <c r="G38" s="134">
        <f t="shared" si="3"/>
        <v>16857.209999999995</v>
      </c>
      <c r="H38" s="130"/>
      <c r="I38" s="127">
        <f>IF(Table314[[#This Row],[CODE]]=1, Table314[ [#This Row],[Account Deposit Amount] ]-Table314[ [#This Row],[Account Withdrawl Amount] ], )</f>
        <v>0</v>
      </c>
      <c r="J38" s="129">
        <f>IF(Table314[[#This Row],[CODE]]=2, Table314[ [#This Row],[Account Deposit Amount] ]-Table314[ [#This Row],[Account Withdrawl Amount] ], )</f>
        <v>0</v>
      </c>
      <c r="K38" s="129">
        <f>IF(Table314[[#This Row],[CODE]]=3, Table314[ [#This Row],[Account Deposit Amount] ]-Table314[ [#This Row],[Account Withdrawl Amount] ], )</f>
        <v>0</v>
      </c>
      <c r="L38" s="128">
        <f>IF(Table314[[#This Row],[CODE]]=4, Table314[ [#This Row],[Account Deposit Amount] ]-Table314[ [#This Row],[Account Withdrawl Amount] ], )</f>
        <v>0</v>
      </c>
      <c r="M38" s="128">
        <f>IF(Table314[[#This Row],[CODE]]=5, Table314[ [#This Row],[Account Deposit Amount] ]-Table314[ [#This Row],[Account Withdrawl Amount] ], )</f>
        <v>0</v>
      </c>
      <c r="N38" s="128">
        <f>IF(Table314[[#This Row],[CODE]]=6, Table314[ [#This Row],[Account Deposit Amount] ]-Table314[ [#This Row],[Account Withdrawl Amount] ], )</f>
        <v>0</v>
      </c>
      <c r="O38" s="128">
        <f>IF(Table314[[#This Row],[CODE]]=11, Table314[ [#This Row],[Account Deposit Amount] ]-Table314[ [#This Row],[Account Withdrawl Amount] ], )</f>
        <v>0</v>
      </c>
      <c r="P38" s="128">
        <f>IF(Table314[[#This Row],[CODE]]=12, Table314[ [#This Row],[Account Deposit Amount] ]-Table314[ [#This Row],[Account Withdrawl Amount] ], )</f>
        <v>0</v>
      </c>
      <c r="Q38" s="128">
        <f>IF(Table314[[#This Row],[CODE]]=13, Table314[ [#This Row],[Account Deposit Amount] ]-Table314[ [#This Row],[Account Withdrawl Amount] ], )</f>
        <v>0</v>
      </c>
      <c r="R38" s="128">
        <f>IF(Table314[[#This Row],[CODE]]=14, Table314[ [#This Row],[Account Deposit Amount] ]-Table314[ [#This Row],[Account Withdrawl Amount] ], )</f>
        <v>0</v>
      </c>
      <c r="S38" s="128">
        <f>IF(Table314[[#This Row],[CODE]]=15, Table314[ [#This Row],[Account Deposit Amount] ]-Table314[ [#This Row],[Account Withdrawl Amount] ], )</f>
        <v>0</v>
      </c>
      <c r="T38" s="128">
        <f>IF(Table314[[#This Row],[CODE]]=16, Table314[ [#This Row],[Account Deposit Amount] ]-Table314[ [#This Row],[Account Withdrawl Amount] ], )</f>
        <v>0</v>
      </c>
      <c r="U38" s="127">
        <f>IF(Table314[[#This Row],[CODE]]=17, Table314[ [#This Row],[Account Deposit Amount] ]-Table314[ [#This Row],[Account Withdrawl Amount] ], )</f>
        <v>0</v>
      </c>
      <c r="V38" s="166">
        <f>IF(Table314[[#This Row],[CODE]]=18, Table314[ [#This Row],[Account Deposit Amount] ]-Table312[ [#This Row],[Account Withdrawl Amount] ], )</f>
        <v>0</v>
      </c>
    </row>
    <row r="39" spans="1:22" ht="16.2" thickBot="1">
      <c r="A39" s="130"/>
      <c r="B39" s="133"/>
      <c r="C39" s="130"/>
      <c r="D39" s="132"/>
      <c r="E39" s="128"/>
      <c r="F39" s="128"/>
      <c r="G39" s="134">
        <f t="shared" si="3"/>
        <v>16857.209999999995</v>
      </c>
      <c r="H39" s="130"/>
      <c r="I39" s="127">
        <f>IF(Table314[[#This Row],[CODE]]=1, Table314[ [#This Row],[Account Deposit Amount] ]-Table314[ [#This Row],[Account Withdrawl Amount] ], )</f>
        <v>0</v>
      </c>
      <c r="J39" s="129">
        <f>IF(Table314[[#This Row],[CODE]]=2, Table314[ [#This Row],[Account Deposit Amount] ]-Table314[ [#This Row],[Account Withdrawl Amount] ], )</f>
        <v>0</v>
      </c>
      <c r="K39" s="129">
        <f>IF(Table314[[#This Row],[CODE]]=3, Table314[ [#This Row],[Account Deposit Amount] ]-Table314[ [#This Row],[Account Withdrawl Amount] ], )</f>
        <v>0</v>
      </c>
      <c r="L39" s="128">
        <f>IF(Table314[[#This Row],[CODE]]=4, Table314[ [#This Row],[Account Deposit Amount] ]-Table314[ [#This Row],[Account Withdrawl Amount] ], )</f>
        <v>0</v>
      </c>
      <c r="M39" s="128">
        <f>IF(Table314[[#This Row],[CODE]]=5, Table314[ [#This Row],[Account Deposit Amount] ]-Table314[ [#This Row],[Account Withdrawl Amount] ], )</f>
        <v>0</v>
      </c>
      <c r="N39" s="128">
        <f>IF(Table314[[#This Row],[CODE]]=6, Table314[ [#This Row],[Account Deposit Amount] ]-Table314[ [#This Row],[Account Withdrawl Amount] ], )</f>
        <v>0</v>
      </c>
      <c r="O39" s="128">
        <f>IF(Table314[[#This Row],[CODE]]=11, Table314[ [#This Row],[Account Deposit Amount] ]-Table314[ [#This Row],[Account Withdrawl Amount] ], )</f>
        <v>0</v>
      </c>
      <c r="P39" s="128">
        <f>IF(Table314[[#This Row],[CODE]]=12, Table314[ [#This Row],[Account Deposit Amount] ]-Table314[ [#This Row],[Account Withdrawl Amount] ], )</f>
        <v>0</v>
      </c>
      <c r="Q39" s="128">
        <f>IF(Table314[[#This Row],[CODE]]=13, Table314[ [#This Row],[Account Deposit Amount] ]-Table314[ [#This Row],[Account Withdrawl Amount] ], )</f>
        <v>0</v>
      </c>
      <c r="R39" s="128">
        <f>IF(Table314[[#This Row],[CODE]]=14, Table314[ [#This Row],[Account Deposit Amount] ]-Table314[ [#This Row],[Account Withdrawl Amount] ], )</f>
        <v>0</v>
      </c>
      <c r="S39" s="128">
        <f>IF(Table314[[#This Row],[CODE]]=15, Table314[ [#This Row],[Account Deposit Amount] ]-Table314[ [#This Row],[Account Withdrawl Amount] ], )</f>
        <v>0</v>
      </c>
      <c r="T39" s="128">
        <f>IF(Table314[[#This Row],[CODE]]=16, Table314[ [#This Row],[Account Deposit Amount] ]-Table314[ [#This Row],[Account Withdrawl Amount] ], )</f>
        <v>0</v>
      </c>
      <c r="U39" s="127">
        <f>IF(Table314[[#This Row],[CODE]]=17, Table314[ [#This Row],[Account Deposit Amount] ]-Table314[ [#This Row],[Account Withdrawl Amount] ], )</f>
        <v>0</v>
      </c>
      <c r="V39" s="166">
        <f>IF(Table314[[#This Row],[CODE]]=18, Table314[ [#This Row],[Account Deposit Amount] ]-Table312[ [#This Row],[Account Withdrawl Amount] ], )</f>
        <v>0</v>
      </c>
    </row>
    <row r="40" spans="1:22" ht="16.2" thickBot="1">
      <c r="A40" s="130"/>
      <c r="B40" s="133"/>
      <c r="C40" s="130"/>
      <c r="D40" s="132"/>
      <c r="E40" s="128"/>
      <c r="F40" s="128"/>
      <c r="G40" s="134">
        <f t="shared" si="3"/>
        <v>16857.209999999995</v>
      </c>
      <c r="H40" s="130"/>
      <c r="I40" s="127">
        <f>IF(Table314[[#This Row],[CODE]]=1, Table314[ [#This Row],[Account Deposit Amount] ]-Table314[ [#This Row],[Account Withdrawl Amount] ], )</f>
        <v>0</v>
      </c>
      <c r="J40" s="129">
        <f>IF(Table314[[#This Row],[CODE]]=2, Table314[ [#This Row],[Account Deposit Amount] ]-Table314[ [#This Row],[Account Withdrawl Amount] ], )</f>
        <v>0</v>
      </c>
      <c r="K40" s="129">
        <f>IF(Table314[[#This Row],[CODE]]=3, Table314[ [#This Row],[Account Deposit Amount] ]-Table314[ [#This Row],[Account Withdrawl Amount] ], )</f>
        <v>0</v>
      </c>
      <c r="L40" s="128">
        <f>IF(Table314[[#This Row],[CODE]]=4, Table314[ [#This Row],[Account Deposit Amount] ]-Table314[ [#This Row],[Account Withdrawl Amount] ], )</f>
        <v>0</v>
      </c>
      <c r="M40" s="128">
        <f>IF(Table314[[#This Row],[CODE]]=5, Table314[ [#This Row],[Account Deposit Amount] ]-Table314[ [#This Row],[Account Withdrawl Amount] ], )</f>
        <v>0</v>
      </c>
      <c r="N40" s="128">
        <f>IF(Table314[[#This Row],[CODE]]=6, Table314[ [#This Row],[Account Deposit Amount] ]-Table314[ [#This Row],[Account Withdrawl Amount] ], )</f>
        <v>0</v>
      </c>
      <c r="O40" s="128">
        <f>IF(Table314[[#This Row],[CODE]]=11, Table314[ [#This Row],[Account Deposit Amount] ]-Table314[ [#This Row],[Account Withdrawl Amount] ], )</f>
        <v>0</v>
      </c>
      <c r="P40" s="128">
        <f>IF(Table314[[#This Row],[CODE]]=12, Table314[ [#This Row],[Account Deposit Amount] ]-Table314[ [#This Row],[Account Withdrawl Amount] ], )</f>
        <v>0</v>
      </c>
      <c r="Q40" s="128">
        <f>IF(Table314[[#This Row],[CODE]]=13, Table314[ [#This Row],[Account Deposit Amount] ]-Table314[ [#This Row],[Account Withdrawl Amount] ], )</f>
        <v>0</v>
      </c>
      <c r="R40" s="128">
        <f>IF(Table314[[#This Row],[CODE]]=14, Table314[ [#This Row],[Account Deposit Amount] ]-Table314[ [#This Row],[Account Withdrawl Amount] ], )</f>
        <v>0</v>
      </c>
      <c r="S40" s="128">
        <f>IF(Table314[[#This Row],[CODE]]=15, Table314[ [#This Row],[Account Deposit Amount] ]-Table314[ [#This Row],[Account Withdrawl Amount] ], )</f>
        <v>0</v>
      </c>
      <c r="T40" s="128">
        <f>IF(Table314[[#This Row],[CODE]]=16, Table314[ [#This Row],[Account Deposit Amount] ]-Table314[ [#This Row],[Account Withdrawl Amount] ], )</f>
        <v>0</v>
      </c>
      <c r="U40" s="127">
        <f>IF(Table314[[#This Row],[CODE]]=17, Table314[ [#This Row],[Account Deposit Amount] ]-Table314[ [#This Row],[Account Withdrawl Amount] ], )</f>
        <v>0</v>
      </c>
      <c r="V40" s="166">
        <f>IF(Table314[[#This Row],[CODE]]=18, Table314[ [#This Row],[Account Deposit Amount] ]-Table312[ [#This Row],[Account Withdrawl Amount] ], )</f>
        <v>0</v>
      </c>
    </row>
    <row r="41" spans="1:22" ht="16.2" thickBot="1">
      <c r="A41" s="130"/>
      <c r="B41" s="133"/>
      <c r="C41" s="130"/>
      <c r="D41" s="132"/>
      <c r="E41" s="128"/>
      <c r="F41" s="128"/>
      <c r="G41" s="134">
        <f t="shared" si="3"/>
        <v>16857.209999999995</v>
      </c>
      <c r="H41" s="130"/>
      <c r="I41" s="127">
        <f>IF(Table314[[#This Row],[CODE]]=1, Table314[ [#This Row],[Account Deposit Amount] ]-Table314[ [#This Row],[Account Withdrawl Amount] ], )</f>
        <v>0</v>
      </c>
      <c r="J41" s="129">
        <f>IF(Table314[[#This Row],[CODE]]=2, Table314[ [#This Row],[Account Deposit Amount] ]-Table314[ [#This Row],[Account Withdrawl Amount] ], )</f>
        <v>0</v>
      </c>
      <c r="K41" s="129">
        <f>IF(Table314[[#This Row],[CODE]]=3, Table314[ [#This Row],[Account Deposit Amount] ]-Table314[ [#This Row],[Account Withdrawl Amount] ], )</f>
        <v>0</v>
      </c>
      <c r="L41" s="128">
        <f>IF(Table314[[#This Row],[CODE]]=4, Table314[ [#This Row],[Account Deposit Amount] ]-Table314[ [#This Row],[Account Withdrawl Amount] ], )</f>
        <v>0</v>
      </c>
      <c r="M41" s="128">
        <f>IF(Table314[[#This Row],[CODE]]=5, Table314[ [#This Row],[Account Deposit Amount] ]-Table314[ [#This Row],[Account Withdrawl Amount] ], )</f>
        <v>0</v>
      </c>
      <c r="N41" s="128">
        <f>IF(Table314[[#This Row],[CODE]]=6, Table314[ [#This Row],[Account Deposit Amount] ]-Table314[ [#This Row],[Account Withdrawl Amount] ], )</f>
        <v>0</v>
      </c>
      <c r="O41" s="128">
        <f>IF(Table314[[#This Row],[CODE]]=11, Table314[ [#This Row],[Account Deposit Amount] ]-Table314[ [#This Row],[Account Withdrawl Amount] ], )</f>
        <v>0</v>
      </c>
      <c r="P41" s="128">
        <f>IF(Table314[[#This Row],[CODE]]=12, Table314[ [#This Row],[Account Deposit Amount] ]-Table314[ [#This Row],[Account Withdrawl Amount] ], )</f>
        <v>0</v>
      </c>
      <c r="Q41" s="128">
        <f>IF(Table314[[#This Row],[CODE]]=13, Table314[ [#This Row],[Account Deposit Amount] ]-Table314[ [#This Row],[Account Withdrawl Amount] ], )</f>
        <v>0</v>
      </c>
      <c r="R41" s="128">
        <f>IF(Table314[[#This Row],[CODE]]=14, Table314[ [#This Row],[Account Deposit Amount] ]-Table314[ [#This Row],[Account Withdrawl Amount] ], )</f>
        <v>0</v>
      </c>
      <c r="S41" s="128">
        <f>IF(Table314[[#This Row],[CODE]]=15, Table314[ [#This Row],[Account Deposit Amount] ]-Table314[ [#This Row],[Account Withdrawl Amount] ], )</f>
        <v>0</v>
      </c>
      <c r="T41" s="128">
        <f>IF(Table314[[#This Row],[CODE]]=16, Table314[ [#This Row],[Account Deposit Amount] ]-Table314[ [#This Row],[Account Withdrawl Amount] ], )</f>
        <v>0</v>
      </c>
      <c r="U41" s="127">
        <f>IF(Table314[[#This Row],[CODE]]=17, Table314[ [#This Row],[Account Deposit Amount] ]-Table314[ [#This Row],[Account Withdrawl Amount] ], )</f>
        <v>0</v>
      </c>
      <c r="V41" s="166">
        <f>IF(Table314[[#This Row],[CODE]]=18, Table314[ [#This Row],[Account Deposit Amount] ]-Table312[ [#This Row],[Account Withdrawl Amount] ], )</f>
        <v>0</v>
      </c>
    </row>
    <row r="42" spans="1:22" ht="16.2" thickBot="1">
      <c r="A42" s="130"/>
      <c r="B42" s="133"/>
      <c r="C42" s="130"/>
      <c r="D42" s="132"/>
      <c r="E42" s="128"/>
      <c r="F42" s="128"/>
      <c r="G42" s="134">
        <f t="shared" si="3"/>
        <v>16857.209999999995</v>
      </c>
      <c r="H42" s="130"/>
      <c r="I42" s="127">
        <f>IF(Table314[[#This Row],[CODE]]=1, Table314[ [#This Row],[Account Deposit Amount] ]-Table314[ [#This Row],[Account Withdrawl Amount] ], )</f>
        <v>0</v>
      </c>
      <c r="J42" s="129">
        <f>IF(Table314[[#This Row],[CODE]]=2, Table314[ [#This Row],[Account Deposit Amount] ]-Table314[ [#This Row],[Account Withdrawl Amount] ], )</f>
        <v>0</v>
      </c>
      <c r="K42" s="129">
        <f>IF(Table314[[#This Row],[CODE]]=3, Table314[ [#This Row],[Account Deposit Amount] ]-Table314[ [#This Row],[Account Withdrawl Amount] ], )</f>
        <v>0</v>
      </c>
      <c r="L42" s="128">
        <f>IF(Table314[[#This Row],[CODE]]=4, Table314[ [#This Row],[Account Deposit Amount] ]-Table314[ [#This Row],[Account Withdrawl Amount] ], )</f>
        <v>0</v>
      </c>
      <c r="M42" s="128">
        <f>IF(Table314[[#This Row],[CODE]]=5, Table314[ [#This Row],[Account Deposit Amount] ]-Table314[ [#This Row],[Account Withdrawl Amount] ], )</f>
        <v>0</v>
      </c>
      <c r="N42" s="128">
        <f>IF(Table314[[#This Row],[CODE]]=6, Table314[ [#This Row],[Account Deposit Amount] ]-Table314[ [#This Row],[Account Withdrawl Amount] ], )</f>
        <v>0</v>
      </c>
      <c r="O42" s="128">
        <f>IF(Table314[[#This Row],[CODE]]=11, Table314[ [#This Row],[Account Deposit Amount] ]-Table314[ [#This Row],[Account Withdrawl Amount] ], )</f>
        <v>0</v>
      </c>
      <c r="P42" s="128">
        <f>IF(Table314[[#This Row],[CODE]]=12, Table314[ [#This Row],[Account Deposit Amount] ]-Table314[ [#This Row],[Account Withdrawl Amount] ], )</f>
        <v>0</v>
      </c>
      <c r="Q42" s="128">
        <f>IF(Table314[[#This Row],[CODE]]=13, Table314[ [#This Row],[Account Deposit Amount] ]-Table314[ [#This Row],[Account Withdrawl Amount] ], )</f>
        <v>0</v>
      </c>
      <c r="R42" s="128">
        <f>IF(Table314[[#This Row],[CODE]]=14, Table314[ [#This Row],[Account Deposit Amount] ]-Table314[ [#This Row],[Account Withdrawl Amount] ], )</f>
        <v>0</v>
      </c>
      <c r="S42" s="128">
        <f>IF(Table314[[#This Row],[CODE]]=15, Table314[ [#This Row],[Account Deposit Amount] ]-Table314[ [#This Row],[Account Withdrawl Amount] ], )</f>
        <v>0</v>
      </c>
      <c r="T42" s="128">
        <f>IF(Table314[[#This Row],[CODE]]=16, Table314[ [#This Row],[Account Deposit Amount] ]-Table314[ [#This Row],[Account Withdrawl Amount] ], )</f>
        <v>0</v>
      </c>
      <c r="U42" s="127">
        <f>IF(Table314[[#This Row],[CODE]]=17, Table314[ [#This Row],[Account Deposit Amount] ]-Table314[ [#This Row],[Account Withdrawl Amount] ], )</f>
        <v>0</v>
      </c>
      <c r="V42" s="166">
        <f>IF(Table314[[#This Row],[CODE]]=18, Table314[ [#This Row],[Account Deposit Amount] ]-Table312[ [#This Row],[Account Withdrawl Amount] ], )</f>
        <v>0</v>
      </c>
    </row>
    <row r="43" spans="1:22" ht="16.2" thickBot="1">
      <c r="A43" s="130"/>
      <c r="B43" s="133"/>
      <c r="C43" s="130"/>
      <c r="D43" s="132"/>
      <c r="E43" s="128"/>
      <c r="F43" s="128"/>
      <c r="G43" s="134">
        <f t="shared" si="3"/>
        <v>16857.209999999995</v>
      </c>
      <c r="H43" s="130"/>
      <c r="I43" s="127">
        <f>IF(Table314[[#This Row],[CODE]]=1, Table314[ [#This Row],[Account Deposit Amount] ]-Table314[ [#This Row],[Account Withdrawl Amount] ], )</f>
        <v>0</v>
      </c>
      <c r="J43" s="129">
        <f>IF(Table314[[#This Row],[CODE]]=2, Table314[ [#This Row],[Account Deposit Amount] ]-Table314[ [#This Row],[Account Withdrawl Amount] ], )</f>
        <v>0</v>
      </c>
      <c r="K43" s="129">
        <f>IF(Table314[[#This Row],[CODE]]=3, Table314[ [#This Row],[Account Deposit Amount] ]-Table314[ [#This Row],[Account Withdrawl Amount] ], )</f>
        <v>0</v>
      </c>
      <c r="L43" s="128">
        <f>IF(Table314[[#This Row],[CODE]]=4, Table314[ [#This Row],[Account Deposit Amount] ]-Table314[ [#This Row],[Account Withdrawl Amount] ], )</f>
        <v>0</v>
      </c>
      <c r="M43" s="128">
        <f>IF(Table314[[#This Row],[CODE]]=5, Table314[ [#This Row],[Account Deposit Amount] ]-Table314[ [#This Row],[Account Withdrawl Amount] ], )</f>
        <v>0</v>
      </c>
      <c r="N43" s="128">
        <f>IF(Table314[[#This Row],[CODE]]=6, Table314[ [#This Row],[Account Deposit Amount] ]-Table314[ [#This Row],[Account Withdrawl Amount] ], )</f>
        <v>0</v>
      </c>
      <c r="O43" s="128">
        <f>IF(Table314[[#This Row],[CODE]]=11, Table314[ [#This Row],[Account Deposit Amount] ]-Table314[ [#This Row],[Account Withdrawl Amount] ], )</f>
        <v>0</v>
      </c>
      <c r="P43" s="128">
        <f>IF(Table314[[#This Row],[CODE]]=12, Table314[ [#This Row],[Account Deposit Amount] ]-Table314[ [#This Row],[Account Withdrawl Amount] ], )</f>
        <v>0</v>
      </c>
      <c r="Q43" s="128">
        <f>IF(Table314[[#This Row],[CODE]]=13, Table314[ [#This Row],[Account Deposit Amount] ]-Table314[ [#This Row],[Account Withdrawl Amount] ], )</f>
        <v>0</v>
      </c>
      <c r="R43" s="128">
        <f>IF(Table314[[#This Row],[CODE]]=14, Table314[ [#This Row],[Account Deposit Amount] ]-Table314[ [#This Row],[Account Withdrawl Amount] ], )</f>
        <v>0</v>
      </c>
      <c r="S43" s="128">
        <f>IF(Table314[[#This Row],[CODE]]=15, Table314[ [#This Row],[Account Deposit Amount] ]-Table314[ [#This Row],[Account Withdrawl Amount] ], )</f>
        <v>0</v>
      </c>
      <c r="T43" s="128">
        <f>IF(Table314[[#This Row],[CODE]]=16, Table314[ [#This Row],[Account Deposit Amount] ]-Table314[ [#This Row],[Account Withdrawl Amount] ], )</f>
        <v>0</v>
      </c>
      <c r="U43" s="127">
        <f>IF(Table314[[#This Row],[CODE]]=17, Table314[ [#This Row],[Account Deposit Amount] ]-Table314[ [#This Row],[Account Withdrawl Amount] ], )</f>
        <v>0</v>
      </c>
      <c r="V43" s="166">
        <f>IF(Table314[[#This Row],[CODE]]=18, Table314[ [#This Row],[Account Deposit Amount] ]-Table312[ [#This Row],[Account Withdrawl Amount] ], )</f>
        <v>0</v>
      </c>
    </row>
    <row r="44" spans="1:22" ht="16.2" thickBot="1">
      <c r="A44" s="130"/>
      <c r="B44" s="133"/>
      <c r="C44" s="130"/>
      <c r="D44" s="132"/>
      <c r="E44" s="128"/>
      <c r="F44" s="128"/>
      <c r="G44" s="134">
        <f t="shared" si="3"/>
        <v>16857.209999999995</v>
      </c>
      <c r="H44" s="130"/>
      <c r="I44" s="127">
        <f>IF(Table314[[#This Row],[CODE]]=1, Table314[ [#This Row],[Account Deposit Amount] ]-Table314[ [#This Row],[Account Withdrawl Amount] ], )</f>
        <v>0</v>
      </c>
      <c r="J44" s="129">
        <f>IF(Table314[[#This Row],[CODE]]=2, Table314[ [#This Row],[Account Deposit Amount] ]-Table314[ [#This Row],[Account Withdrawl Amount] ], )</f>
        <v>0</v>
      </c>
      <c r="K44" s="129">
        <f>IF(Table314[[#This Row],[CODE]]=3, Table314[ [#This Row],[Account Deposit Amount] ]-Table314[ [#This Row],[Account Withdrawl Amount] ], )</f>
        <v>0</v>
      </c>
      <c r="L44" s="128">
        <f>IF(Table314[[#This Row],[CODE]]=4, Table314[ [#This Row],[Account Deposit Amount] ]-Table314[ [#This Row],[Account Withdrawl Amount] ], )</f>
        <v>0</v>
      </c>
      <c r="M44" s="128">
        <f>IF(Table314[[#This Row],[CODE]]=5, Table314[ [#This Row],[Account Deposit Amount] ]-Table314[ [#This Row],[Account Withdrawl Amount] ], )</f>
        <v>0</v>
      </c>
      <c r="N44" s="128">
        <f>IF(Table314[[#This Row],[CODE]]=6, Table314[ [#This Row],[Account Deposit Amount] ]-Table314[ [#This Row],[Account Withdrawl Amount] ], )</f>
        <v>0</v>
      </c>
      <c r="O44" s="128">
        <f>IF(Table314[[#This Row],[CODE]]=11, Table314[ [#This Row],[Account Deposit Amount] ]-Table314[ [#This Row],[Account Withdrawl Amount] ], )</f>
        <v>0</v>
      </c>
      <c r="P44" s="128">
        <f>IF(Table314[[#This Row],[CODE]]=12, Table314[ [#This Row],[Account Deposit Amount] ]-Table314[ [#This Row],[Account Withdrawl Amount] ], )</f>
        <v>0</v>
      </c>
      <c r="Q44" s="128">
        <f>IF(Table314[[#This Row],[CODE]]=13, Table314[ [#This Row],[Account Deposit Amount] ]-Table314[ [#This Row],[Account Withdrawl Amount] ], )</f>
        <v>0</v>
      </c>
      <c r="R44" s="128">
        <f>IF(Table314[[#This Row],[CODE]]=14, Table314[ [#This Row],[Account Deposit Amount] ]-Table314[ [#This Row],[Account Withdrawl Amount] ], )</f>
        <v>0</v>
      </c>
      <c r="S44" s="128">
        <f>IF(Table314[[#This Row],[CODE]]=15, Table314[ [#This Row],[Account Deposit Amount] ]-Table314[ [#This Row],[Account Withdrawl Amount] ], )</f>
        <v>0</v>
      </c>
      <c r="T44" s="128">
        <f>IF(Table314[[#This Row],[CODE]]=16, Table314[ [#This Row],[Account Deposit Amount] ]-Table314[ [#This Row],[Account Withdrawl Amount] ], )</f>
        <v>0</v>
      </c>
      <c r="U44" s="127">
        <f>IF(Table314[[#This Row],[CODE]]=17, Table314[ [#This Row],[Account Deposit Amount] ]-Table314[ [#This Row],[Account Withdrawl Amount] ], )</f>
        <v>0</v>
      </c>
      <c r="V44" s="166">
        <f>IF(Table314[[#This Row],[CODE]]=18, Table314[ [#This Row],[Account Deposit Amount] ]-Table312[ [#This Row],[Account Withdrawl Amount] ], )</f>
        <v>0</v>
      </c>
    </row>
    <row r="45" spans="1:22" ht="16.2" thickBot="1">
      <c r="A45" s="130"/>
      <c r="B45" s="133"/>
      <c r="C45" s="130"/>
      <c r="D45" s="132"/>
      <c r="E45" s="128"/>
      <c r="F45" s="128"/>
      <c r="G45" s="134">
        <f t="shared" si="3"/>
        <v>16857.209999999995</v>
      </c>
      <c r="H45" s="130"/>
      <c r="I45" s="127">
        <f>IF(Table314[[#This Row],[CODE]]=1, Table314[ [#This Row],[Account Deposit Amount] ]-Table314[ [#This Row],[Account Withdrawl Amount] ], )</f>
        <v>0</v>
      </c>
      <c r="J45" s="129">
        <f>IF(Table314[[#This Row],[CODE]]=2, Table314[ [#This Row],[Account Deposit Amount] ]-Table314[ [#This Row],[Account Withdrawl Amount] ], )</f>
        <v>0</v>
      </c>
      <c r="K45" s="129">
        <f>IF(Table314[[#This Row],[CODE]]=3, Table314[ [#This Row],[Account Deposit Amount] ]-Table314[ [#This Row],[Account Withdrawl Amount] ], )</f>
        <v>0</v>
      </c>
      <c r="L45" s="128">
        <f>IF(Table314[[#This Row],[CODE]]=4, Table314[ [#This Row],[Account Deposit Amount] ]-Table314[ [#This Row],[Account Withdrawl Amount] ], )</f>
        <v>0</v>
      </c>
      <c r="M45" s="128">
        <f>IF(Table314[[#This Row],[CODE]]=5, Table314[ [#This Row],[Account Deposit Amount] ]-Table314[ [#This Row],[Account Withdrawl Amount] ], )</f>
        <v>0</v>
      </c>
      <c r="N45" s="128">
        <f>IF(Table314[[#This Row],[CODE]]=6, Table314[ [#This Row],[Account Deposit Amount] ]-Table314[ [#This Row],[Account Withdrawl Amount] ], )</f>
        <v>0</v>
      </c>
      <c r="O45" s="128">
        <f>IF(Table314[[#This Row],[CODE]]=11, Table314[ [#This Row],[Account Deposit Amount] ]-Table314[ [#This Row],[Account Withdrawl Amount] ], )</f>
        <v>0</v>
      </c>
      <c r="P45" s="128">
        <f>IF(Table314[[#This Row],[CODE]]=12, Table314[ [#This Row],[Account Deposit Amount] ]-Table314[ [#This Row],[Account Withdrawl Amount] ], )</f>
        <v>0</v>
      </c>
      <c r="Q45" s="128">
        <f>IF(Table314[[#This Row],[CODE]]=13, Table314[ [#This Row],[Account Deposit Amount] ]-Table314[ [#This Row],[Account Withdrawl Amount] ], )</f>
        <v>0</v>
      </c>
      <c r="R45" s="128">
        <f>IF(Table314[[#This Row],[CODE]]=14, Table314[ [#This Row],[Account Deposit Amount] ]-Table314[ [#This Row],[Account Withdrawl Amount] ], )</f>
        <v>0</v>
      </c>
      <c r="S45" s="128">
        <f>IF(Table314[[#This Row],[CODE]]=15, Table314[ [#This Row],[Account Deposit Amount] ]-Table314[ [#This Row],[Account Withdrawl Amount] ], )</f>
        <v>0</v>
      </c>
      <c r="T45" s="128">
        <f>IF(Table314[[#This Row],[CODE]]=16, Table314[ [#This Row],[Account Deposit Amount] ]-Table314[ [#This Row],[Account Withdrawl Amount] ], )</f>
        <v>0</v>
      </c>
      <c r="U45" s="127">
        <f>IF(Table314[[#This Row],[CODE]]=17, Table314[ [#This Row],[Account Deposit Amount] ]-Table314[ [#This Row],[Account Withdrawl Amount] ], )</f>
        <v>0</v>
      </c>
      <c r="V45" s="166">
        <f>IF(Table314[[#This Row],[CODE]]=18, Table314[ [#This Row],[Account Deposit Amount] ]-Table312[ [#This Row],[Account Withdrawl Amount] ], )</f>
        <v>0</v>
      </c>
    </row>
    <row r="46" spans="1:22" ht="16.2" thickBot="1">
      <c r="A46" s="130"/>
      <c r="B46" s="133"/>
      <c r="C46" s="130"/>
      <c r="D46" s="132"/>
      <c r="E46" s="128"/>
      <c r="F46" s="128"/>
      <c r="G46" s="134">
        <f t="shared" si="3"/>
        <v>16857.209999999995</v>
      </c>
      <c r="H46" s="130"/>
      <c r="I46" s="127">
        <f>IF(Table314[[#This Row],[CODE]]=1, Table314[ [#This Row],[Account Deposit Amount] ]-Table314[ [#This Row],[Account Withdrawl Amount] ], )</f>
        <v>0</v>
      </c>
      <c r="J46" s="129">
        <f>IF(Table314[[#This Row],[CODE]]=2, Table314[ [#This Row],[Account Deposit Amount] ]-Table314[ [#This Row],[Account Withdrawl Amount] ], )</f>
        <v>0</v>
      </c>
      <c r="K46" s="129">
        <f>IF(Table314[[#This Row],[CODE]]=3, Table314[ [#This Row],[Account Deposit Amount] ]-Table314[ [#This Row],[Account Withdrawl Amount] ], )</f>
        <v>0</v>
      </c>
      <c r="L46" s="128">
        <f>IF(Table314[[#This Row],[CODE]]=4, Table314[ [#This Row],[Account Deposit Amount] ]-Table314[ [#This Row],[Account Withdrawl Amount] ], )</f>
        <v>0</v>
      </c>
      <c r="M46" s="128">
        <f>IF(Table314[[#This Row],[CODE]]=5, Table314[ [#This Row],[Account Deposit Amount] ]-Table314[ [#This Row],[Account Withdrawl Amount] ], )</f>
        <v>0</v>
      </c>
      <c r="N46" s="128">
        <f>IF(Table314[[#This Row],[CODE]]=6, Table314[ [#This Row],[Account Deposit Amount] ]-Table314[ [#This Row],[Account Withdrawl Amount] ], )</f>
        <v>0</v>
      </c>
      <c r="O46" s="128">
        <f>IF(Table314[[#This Row],[CODE]]=11, Table314[ [#This Row],[Account Deposit Amount] ]-Table314[ [#This Row],[Account Withdrawl Amount] ], )</f>
        <v>0</v>
      </c>
      <c r="P46" s="128">
        <f>IF(Table314[[#This Row],[CODE]]=12, Table314[ [#This Row],[Account Deposit Amount] ]-Table314[ [#This Row],[Account Withdrawl Amount] ], )</f>
        <v>0</v>
      </c>
      <c r="Q46" s="128">
        <f>IF(Table314[[#This Row],[CODE]]=13, Table314[ [#This Row],[Account Deposit Amount] ]-Table314[ [#This Row],[Account Withdrawl Amount] ], )</f>
        <v>0</v>
      </c>
      <c r="R46" s="128">
        <f>IF(Table314[[#This Row],[CODE]]=14, Table314[ [#This Row],[Account Deposit Amount] ]-Table314[ [#This Row],[Account Withdrawl Amount] ], )</f>
        <v>0</v>
      </c>
      <c r="S46" s="128">
        <f>IF(Table314[[#This Row],[CODE]]=15, Table314[ [#This Row],[Account Deposit Amount] ]-Table314[ [#This Row],[Account Withdrawl Amount] ], )</f>
        <v>0</v>
      </c>
      <c r="T46" s="128">
        <f>IF(Table314[[#This Row],[CODE]]=16, Table314[ [#This Row],[Account Deposit Amount] ]-Table314[ [#This Row],[Account Withdrawl Amount] ], )</f>
        <v>0</v>
      </c>
      <c r="U46" s="127">
        <f>IF(Table314[[#This Row],[CODE]]=17, Table314[ [#This Row],[Account Deposit Amount] ]-Table314[ [#This Row],[Account Withdrawl Amount] ], )</f>
        <v>0</v>
      </c>
      <c r="V46" s="166">
        <f>IF(Table314[[#This Row],[CODE]]=18, Table314[ [#This Row],[Account Deposit Amount] ]-Table312[ [#This Row],[Account Withdrawl Amount] ], )</f>
        <v>0</v>
      </c>
    </row>
    <row r="47" spans="1:22" ht="16.2" thickBot="1">
      <c r="A47" s="130"/>
      <c r="B47" s="133"/>
      <c r="C47" s="130"/>
      <c r="D47" s="132"/>
      <c r="E47" s="128"/>
      <c r="F47" s="128"/>
      <c r="G47" s="134">
        <f t="shared" si="3"/>
        <v>16857.209999999995</v>
      </c>
      <c r="H47" s="130"/>
      <c r="I47" s="127">
        <f>IF(Table314[[#This Row],[CODE]]=1, Table314[ [#This Row],[Account Deposit Amount] ]-Table314[ [#This Row],[Account Withdrawl Amount] ], )</f>
        <v>0</v>
      </c>
      <c r="J47" s="129">
        <f>IF(Table314[[#This Row],[CODE]]=2, Table314[ [#This Row],[Account Deposit Amount] ]-Table314[ [#This Row],[Account Withdrawl Amount] ], )</f>
        <v>0</v>
      </c>
      <c r="K47" s="129">
        <f>IF(Table314[[#This Row],[CODE]]=3, Table314[ [#This Row],[Account Deposit Amount] ]-Table314[ [#This Row],[Account Withdrawl Amount] ], )</f>
        <v>0</v>
      </c>
      <c r="L47" s="128">
        <f>IF(Table314[[#This Row],[CODE]]=4, Table314[ [#This Row],[Account Deposit Amount] ]-Table314[ [#This Row],[Account Withdrawl Amount] ], )</f>
        <v>0</v>
      </c>
      <c r="M47" s="128">
        <f>IF(Table314[[#This Row],[CODE]]=5, Table314[ [#This Row],[Account Deposit Amount] ]-Table314[ [#This Row],[Account Withdrawl Amount] ], )</f>
        <v>0</v>
      </c>
      <c r="N47" s="128">
        <f>IF(Table314[[#This Row],[CODE]]=6, Table314[ [#This Row],[Account Deposit Amount] ]-Table314[ [#This Row],[Account Withdrawl Amount] ], )</f>
        <v>0</v>
      </c>
      <c r="O47" s="128">
        <f>IF(Table314[[#This Row],[CODE]]=11, Table314[ [#This Row],[Account Deposit Amount] ]-Table314[ [#This Row],[Account Withdrawl Amount] ], )</f>
        <v>0</v>
      </c>
      <c r="P47" s="128">
        <f>IF(Table314[[#This Row],[CODE]]=12, Table314[ [#This Row],[Account Deposit Amount] ]-Table314[ [#This Row],[Account Withdrawl Amount] ], )</f>
        <v>0</v>
      </c>
      <c r="Q47" s="128">
        <f>IF(Table314[[#This Row],[CODE]]=13, Table314[ [#This Row],[Account Deposit Amount] ]-Table314[ [#This Row],[Account Withdrawl Amount] ], )</f>
        <v>0</v>
      </c>
      <c r="R47" s="128">
        <f>IF(Table314[[#This Row],[CODE]]=14, Table314[ [#This Row],[Account Deposit Amount] ]-Table314[ [#This Row],[Account Withdrawl Amount] ], )</f>
        <v>0</v>
      </c>
      <c r="S47" s="128">
        <f>IF(Table314[[#This Row],[CODE]]=15, Table314[ [#This Row],[Account Deposit Amount] ]-Table314[ [#This Row],[Account Withdrawl Amount] ], )</f>
        <v>0</v>
      </c>
      <c r="T47" s="128">
        <f>IF(Table314[[#This Row],[CODE]]=16, Table314[ [#This Row],[Account Deposit Amount] ]-Table314[ [#This Row],[Account Withdrawl Amount] ], )</f>
        <v>0</v>
      </c>
      <c r="U47" s="127">
        <f>IF(Table314[[#This Row],[CODE]]=17, Table314[ [#This Row],[Account Deposit Amount] ]-Table314[ [#This Row],[Account Withdrawl Amount] ], )</f>
        <v>0</v>
      </c>
      <c r="V47" s="166">
        <f>IF(Table314[[#This Row],[CODE]]=18, Table314[ [#This Row],[Account Deposit Amount] ]-Table312[ [#This Row],[Account Withdrawl Amount] ], )</f>
        <v>0</v>
      </c>
    </row>
    <row r="48" spans="1:22" ht="16.2" thickBot="1">
      <c r="A48" s="130"/>
      <c r="B48" s="133"/>
      <c r="C48" s="130"/>
      <c r="D48" s="132"/>
      <c r="E48" s="128"/>
      <c r="F48" s="128"/>
      <c r="G48" s="134">
        <f t="shared" si="3"/>
        <v>16857.209999999995</v>
      </c>
      <c r="H48" s="130"/>
      <c r="I48" s="127">
        <f>IF(Table314[[#This Row],[CODE]]=1, Table314[ [#This Row],[Account Deposit Amount] ]-Table314[ [#This Row],[Account Withdrawl Amount] ], )</f>
        <v>0</v>
      </c>
      <c r="J48" s="129">
        <f>IF(Table314[[#This Row],[CODE]]=2, Table314[ [#This Row],[Account Deposit Amount] ]-Table314[ [#This Row],[Account Withdrawl Amount] ], )</f>
        <v>0</v>
      </c>
      <c r="K48" s="129">
        <f>IF(Table314[[#This Row],[CODE]]=3, Table314[ [#This Row],[Account Deposit Amount] ]-Table314[ [#This Row],[Account Withdrawl Amount] ], )</f>
        <v>0</v>
      </c>
      <c r="L48" s="128">
        <f>IF(Table314[[#This Row],[CODE]]=4, Table314[ [#This Row],[Account Deposit Amount] ]-Table314[ [#This Row],[Account Withdrawl Amount] ], )</f>
        <v>0</v>
      </c>
      <c r="M48" s="128">
        <f>IF(Table314[[#This Row],[CODE]]=5, Table314[ [#This Row],[Account Deposit Amount] ]-Table314[ [#This Row],[Account Withdrawl Amount] ], )</f>
        <v>0</v>
      </c>
      <c r="N48" s="128">
        <f>IF(Table314[[#This Row],[CODE]]=6, Table314[ [#This Row],[Account Deposit Amount] ]-Table314[ [#This Row],[Account Withdrawl Amount] ], )</f>
        <v>0</v>
      </c>
      <c r="O48" s="128">
        <f>IF(Table314[[#This Row],[CODE]]=11, Table314[ [#This Row],[Account Deposit Amount] ]-Table314[ [#This Row],[Account Withdrawl Amount] ], )</f>
        <v>0</v>
      </c>
      <c r="P48" s="128">
        <f>IF(Table314[[#This Row],[CODE]]=12, Table314[ [#This Row],[Account Deposit Amount] ]-Table314[ [#This Row],[Account Withdrawl Amount] ], )</f>
        <v>0</v>
      </c>
      <c r="Q48" s="128">
        <f>IF(Table314[[#This Row],[CODE]]=13, Table314[ [#This Row],[Account Deposit Amount] ]-Table314[ [#This Row],[Account Withdrawl Amount] ], )</f>
        <v>0</v>
      </c>
      <c r="R48" s="128">
        <f>IF(Table314[[#This Row],[CODE]]=14, Table314[ [#This Row],[Account Deposit Amount] ]-Table314[ [#This Row],[Account Withdrawl Amount] ], )</f>
        <v>0</v>
      </c>
      <c r="S48" s="128">
        <f>IF(Table314[[#This Row],[CODE]]=15, Table314[ [#This Row],[Account Deposit Amount] ]-Table314[ [#This Row],[Account Withdrawl Amount] ], )</f>
        <v>0</v>
      </c>
      <c r="T48" s="128">
        <f>IF(Table314[[#This Row],[CODE]]=16, Table314[ [#This Row],[Account Deposit Amount] ]-Table314[ [#This Row],[Account Withdrawl Amount] ], )</f>
        <v>0</v>
      </c>
      <c r="U48" s="127">
        <f>IF(Table314[[#This Row],[CODE]]=17, Table314[ [#This Row],[Account Deposit Amount] ]-Table314[ [#This Row],[Account Withdrawl Amount] ], )</f>
        <v>0</v>
      </c>
      <c r="V48" s="166">
        <f>IF(Table314[[#This Row],[CODE]]=18, Table314[ [#This Row],[Account Deposit Amount] ]-Table312[ [#This Row],[Account Withdrawl Amount] ], )</f>
        <v>0</v>
      </c>
    </row>
    <row r="49" spans="1:22" ht="16.2" thickBot="1">
      <c r="A49" s="130"/>
      <c r="B49" s="133"/>
      <c r="C49" s="130"/>
      <c r="D49" s="132"/>
      <c r="E49" s="128"/>
      <c r="F49" s="128"/>
      <c r="G49" s="134">
        <f t="shared" si="3"/>
        <v>16857.209999999995</v>
      </c>
      <c r="H49" s="130"/>
      <c r="I49" s="127">
        <f>IF(Table314[[#This Row],[CODE]]=1, Table314[ [#This Row],[Account Deposit Amount] ]-Table314[ [#This Row],[Account Withdrawl Amount] ], )</f>
        <v>0</v>
      </c>
      <c r="J49" s="129">
        <f>IF(Table314[[#This Row],[CODE]]=2, Table314[ [#This Row],[Account Deposit Amount] ]-Table314[ [#This Row],[Account Withdrawl Amount] ], )</f>
        <v>0</v>
      </c>
      <c r="K49" s="129">
        <f>IF(Table314[[#This Row],[CODE]]=3, Table314[ [#This Row],[Account Deposit Amount] ]-Table314[ [#This Row],[Account Withdrawl Amount] ], )</f>
        <v>0</v>
      </c>
      <c r="L49" s="128">
        <f>IF(Table314[[#This Row],[CODE]]=4, Table314[ [#This Row],[Account Deposit Amount] ]-Table314[ [#This Row],[Account Withdrawl Amount] ], )</f>
        <v>0</v>
      </c>
      <c r="M49" s="128">
        <f>IF(Table314[[#This Row],[CODE]]=5, Table314[ [#This Row],[Account Deposit Amount] ]-Table314[ [#This Row],[Account Withdrawl Amount] ], )</f>
        <v>0</v>
      </c>
      <c r="N49" s="128">
        <f>IF(Table314[[#This Row],[CODE]]=6, Table314[ [#This Row],[Account Deposit Amount] ]-Table314[ [#This Row],[Account Withdrawl Amount] ], )</f>
        <v>0</v>
      </c>
      <c r="O49" s="128">
        <f>IF(Table314[[#This Row],[CODE]]=11, Table314[ [#This Row],[Account Deposit Amount] ]-Table314[ [#This Row],[Account Withdrawl Amount] ], )</f>
        <v>0</v>
      </c>
      <c r="P49" s="128">
        <f>IF(Table314[[#This Row],[CODE]]=12, Table314[ [#This Row],[Account Deposit Amount] ]-Table314[ [#This Row],[Account Withdrawl Amount] ], )</f>
        <v>0</v>
      </c>
      <c r="Q49" s="128">
        <f>IF(Table314[[#This Row],[CODE]]=13, Table314[ [#This Row],[Account Deposit Amount] ]-Table314[ [#This Row],[Account Withdrawl Amount] ], )</f>
        <v>0</v>
      </c>
      <c r="R49" s="128">
        <f>IF(Table314[[#This Row],[CODE]]=14, Table314[ [#This Row],[Account Deposit Amount] ]-Table314[ [#This Row],[Account Withdrawl Amount] ], )</f>
        <v>0</v>
      </c>
      <c r="S49" s="128">
        <f>IF(Table314[[#This Row],[CODE]]=15, Table314[ [#This Row],[Account Deposit Amount] ]-Table314[ [#This Row],[Account Withdrawl Amount] ], )</f>
        <v>0</v>
      </c>
      <c r="T49" s="128">
        <f>IF(Table314[[#This Row],[CODE]]=16, Table314[ [#This Row],[Account Deposit Amount] ]-Table314[ [#This Row],[Account Withdrawl Amount] ], )</f>
        <v>0</v>
      </c>
      <c r="U49" s="127">
        <f>IF(Table314[[#This Row],[CODE]]=17, Table314[ [#This Row],[Account Deposit Amount] ]-Table314[ [#This Row],[Account Withdrawl Amount] ], )</f>
        <v>0</v>
      </c>
      <c r="V49" s="166">
        <f>IF(Table314[[#This Row],[CODE]]=18, Table314[ [#This Row],[Account Deposit Amount] ]-Table312[ [#This Row],[Account Withdrawl Amount] ], )</f>
        <v>0</v>
      </c>
    </row>
    <row r="50" spans="1:22" ht="16.2" thickBot="1">
      <c r="A50" s="130"/>
      <c r="B50" s="133"/>
      <c r="C50" s="130"/>
      <c r="D50" s="132"/>
      <c r="E50" s="128"/>
      <c r="F50" s="128"/>
      <c r="G50" s="131">
        <f t="shared" si="3"/>
        <v>16857.209999999995</v>
      </c>
      <c r="H50" s="130"/>
      <c r="I50" s="127">
        <f>IF(Table314[[#This Row],[CODE]]=1, Table314[ [#This Row],[Account Deposit Amount] ]-Table314[ [#This Row],[Account Withdrawl Amount] ], )</f>
        <v>0</v>
      </c>
      <c r="J50" s="129">
        <f>IF(Table314[[#This Row],[CODE]]=2, Table314[ [#This Row],[Account Deposit Amount] ]-Table314[ [#This Row],[Account Withdrawl Amount] ], )</f>
        <v>0</v>
      </c>
      <c r="K50" s="129">
        <f>IF(Table314[[#This Row],[CODE]]=3, Table314[ [#This Row],[Account Deposit Amount] ]-Table314[ [#This Row],[Account Withdrawl Amount] ], )</f>
        <v>0</v>
      </c>
      <c r="L50" s="128">
        <f>IF(Table314[[#This Row],[CODE]]=4, Table314[ [#This Row],[Account Deposit Amount] ]-Table314[ [#This Row],[Account Withdrawl Amount] ], )</f>
        <v>0</v>
      </c>
      <c r="M50" s="128">
        <f>IF(Table314[[#This Row],[CODE]]=5, Table314[ [#This Row],[Account Deposit Amount] ]-Table314[ [#This Row],[Account Withdrawl Amount] ], )</f>
        <v>0</v>
      </c>
      <c r="N50" s="128">
        <f>IF(Table314[[#This Row],[CODE]]=6, Table314[ [#This Row],[Account Deposit Amount] ]-Table314[ [#This Row],[Account Withdrawl Amount] ], )</f>
        <v>0</v>
      </c>
      <c r="O50" s="128">
        <f>IF(Table314[[#This Row],[CODE]]=11, Table314[ [#This Row],[Account Deposit Amount] ]-Table314[ [#This Row],[Account Withdrawl Amount] ], )</f>
        <v>0</v>
      </c>
      <c r="P50" s="128">
        <f>IF(Table314[[#This Row],[CODE]]=12, Table314[ [#This Row],[Account Deposit Amount] ]-Table314[ [#This Row],[Account Withdrawl Amount] ], )</f>
        <v>0</v>
      </c>
      <c r="Q50" s="128">
        <f>IF(Table314[[#This Row],[CODE]]=13, Table314[ [#This Row],[Account Deposit Amount] ]-Table314[ [#This Row],[Account Withdrawl Amount] ], )</f>
        <v>0</v>
      </c>
      <c r="R50" s="128">
        <f>IF(Table314[[#This Row],[CODE]]=14, Table314[ [#This Row],[Account Deposit Amount] ]-Table314[ [#This Row],[Account Withdrawl Amount] ], )</f>
        <v>0</v>
      </c>
      <c r="S50" s="128">
        <f>IF(Table314[[#This Row],[CODE]]=15, Table314[ [#This Row],[Account Deposit Amount] ]-Table314[ [#This Row],[Account Withdrawl Amount] ], )</f>
        <v>0</v>
      </c>
      <c r="T50" s="128">
        <f>IF(Table314[[#This Row],[CODE]]=16, Table314[ [#This Row],[Account Deposit Amount] ]-Table314[ [#This Row],[Account Withdrawl Amount] ], )</f>
        <v>0</v>
      </c>
      <c r="U50" s="127">
        <f>IF(Table314[[#This Row],[CODE]]=17, Table314[ [#This Row],[Account Deposit Amount] ]-Table314[ [#This Row],[Account Withdrawl Amount] ], )</f>
        <v>0</v>
      </c>
      <c r="V50" s="166">
        <f>IF(Table314[[#This Row],[CODE]]=18, Table314[ [#This Row],[Account Deposit Amount] ]-Table312[ [#This Row],[Account Withdrawl Amount] ], )</f>
        <v>0</v>
      </c>
    </row>
    <row r="51" spans="1:22" ht="16.2" thickBot="1">
      <c r="A51" s="130"/>
      <c r="B51" s="133"/>
      <c r="C51" s="130"/>
      <c r="D51" s="132"/>
      <c r="E51" s="128"/>
      <c r="F51" s="128"/>
      <c r="G51" s="131">
        <f t="shared" si="3"/>
        <v>16857.209999999995</v>
      </c>
      <c r="H51" s="130"/>
      <c r="I51" s="127">
        <f>IF(Table314[[#This Row],[CODE]]=1, Table314[ [#This Row],[Account Deposit Amount] ]-Table314[ [#This Row],[Account Withdrawl Amount] ], )</f>
        <v>0</v>
      </c>
      <c r="J51" s="129">
        <f>IF(Table314[[#This Row],[CODE]]=2, Table314[ [#This Row],[Account Deposit Amount] ]-Table314[ [#This Row],[Account Withdrawl Amount] ], )</f>
        <v>0</v>
      </c>
      <c r="K51" s="129">
        <f>IF(Table314[[#This Row],[CODE]]=3, Table314[ [#This Row],[Account Deposit Amount] ]-Table314[ [#This Row],[Account Withdrawl Amount] ], )</f>
        <v>0</v>
      </c>
      <c r="L51" s="128">
        <f>IF(Table314[[#This Row],[CODE]]=4, Table314[ [#This Row],[Account Deposit Amount] ]-Table314[ [#This Row],[Account Withdrawl Amount] ], )</f>
        <v>0</v>
      </c>
      <c r="M51" s="128">
        <f>IF(Table314[[#This Row],[CODE]]=5, Table314[ [#This Row],[Account Deposit Amount] ]-Table314[ [#This Row],[Account Withdrawl Amount] ], )</f>
        <v>0</v>
      </c>
      <c r="N51" s="128">
        <f>IF(Table314[[#This Row],[CODE]]=6, Table314[ [#This Row],[Account Deposit Amount] ]-Table314[ [#This Row],[Account Withdrawl Amount] ], )</f>
        <v>0</v>
      </c>
      <c r="O51" s="128">
        <f>IF(Table314[[#This Row],[CODE]]=11, Table314[ [#This Row],[Account Deposit Amount] ]-Table314[ [#This Row],[Account Withdrawl Amount] ], )</f>
        <v>0</v>
      </c>
      <c r="P51" s="128">
        <f>IF(Table314[[#This Row],[CODE]]=12, Table314[ [#This Row],[Account Deposit Amount] ]-Table314[ [#This Row],[Account Withdrawl Amount] ], )</f>
        <v>0</v>
      </c>
      <c r="Q51" s="128">
        <f>IF(Table314[[#This Row],[CODE]]=13, Table314[ [#This Row],[Account Deposit Amount] ]-Table314[ [#This Row],[Account Withdrawl Amount] ], )</f>
        <v>0</v>
      </c>
      <c r="R51" s="128">
        <f>IF(Table314[[#This Row],[CODE]]=14, Table314[ [#This Row],[Account Deposit Amount] ]-Table314[ [#This Row],[Account Withdrawl Amount] ], )</f>
        <v>0</v>
      </c>
      <c r="S51" s="128">
        <f>IF(Table314[[#This Row],[CODE]]=15, Table314[ [#This Row],[Account Deposit Amount] ]-Table314[ [#This Row],[Account Withdrawl Amount] ], )</f>
        <v>0</v>
      </c>
      <c r="T51" s="128">
        <f>IF(Table314[[#This Row],[CODE]]=16, Table314[ [#This Row],[Account Deposit Amount] ]-Table314[ [#This Row],[Account Withdrawl Amount] ], )</f>
        <v>0</v>
      </c>
      <c r="U51" s="127">
        <f>IF(Table314[[#This Row],[CODE]]=17, Table314[ [#This Row],[Account Deposit Amount] ]-Table314[ [#This Row],[Account Withdrawl Amount] ], )</f>
        <v>0</v>
      </c>
      <c r="V51" s="166">
        <f>IF(Table314[[#This Row],[CODE]]=18, Table314[ [#This Row],[Account Deposit Amount] ]-Table312[ [#This Row],[Account Withdrawl Amount] ], )</f>
        <v>0</v>
      </c>
    </row>
    <row r="52" spans="1:22" ht="16.2" thickBot="1">
      <c r="A52" s="130"/>
      <c r="B52" s="133"/>
      <c r="C52" s="130"/>
      <c r="D52" s="132"/>
      <c r="E52" s="128"/>
      <c r="F52" s="128"/>
      <c r="G52" s="131">
        <f t="shared" si="3"/>
        <v>16857.209999999995</v>
      </c>
      <c r="H52" s="130"/>
      <c r="I52" s="127">
        <f>IF(Table314[[#This Row],[CODE]]=1, Table314[ [#This Row],[Account Deposit Amount] ]-Table314[ [#This Row],[Account Withdrawl Amount] ], )</f>
        <v>0</v>
      </c>
      <c r="J52" s="129">
        <f>IF(Table314[[#This Row],[CODE]]=2, Table314[ [#This Row],[Account Deposit Amount] ]-Table314[ [#This Row],[Account Withdrawl Amount] ], )</f>
        <v>0</v>
      </c>
      <c r="K52" s="129">
        <f>IF(Table314[[#This Row],[CODE]]=3, Table314[ [#This Row],[Account Deposit Amount] ]-Table314[ [#This Row],[Account Withdrawl Amount] ], )</f>
        <v>0</v>
      </c>
      <c r="L52" s="128">
        <f>IF(Table314[[#This Row],[CODE]]=4, Table314[ [#This Row],[Account Deposit Amount] ]-Table314[ [#This Row],[Account Withdrawl Amount] ], )</f>
        <v>0</v>
      </c>
      <c r="M52" s="128">
        <f>IF(Table314[[#This Row],[CODE]]=5, Table314[ [#This Row],[Account Deposit Amount] ]-Table314[ [#This Row],[Account Withdrawl Amount] ], )</f>
        <v>0</v>
      </c>
      <c r="N52" s="128">
        <f>IF(Table314[[#This Row],[CODE]]=6, Table314[ [#This Row],[Account Deposit Amount] ]-Table314[ [#This Row],[Account Withdrawl Amount] ], )</f>
        <v>0</v>
      </c>
      <c r="O52" s="128">
        <f>IF(Table314[[#This Row],[CODE]]=11, Table314[ [#This Row],[Account Deposit Amount] ]-Table314[ [#This Row],[Account Withdrawl Amount] ], )</f>
        <v>0</v>
      </c>
      <c r="P52" s="128">
        <f>IF(Table314[[#This Row],[CODE]]=12, Table314[ [#This Row],[Account Deposit Amount] ]-Table314[ [#This Row],[Account Withdrawl Amount] ], )</f>
        <v>0</v>
      </c>
      <c r="Q52" s="128">
        <f>IF(Table314[[#This Row],[CODE]]=13, Table314[ [#This Row],[Account Deposit Amount] ]-Table314[ [#This Row],[Account Withdrawl Amount] ], )</f>
        <v>0</v>
      </c>
      <c r="R52" s="128">
        <f>IF(Table314[[#This Row],[CODE]]=14, Table314[ [#This Row],[Account Deposit Amount] ]-Table314[ [#This Row],[Account Withdrawl Amount] ], )</f>
        <v>0</v>
      </c>
      <c r="S52" s="128">
        <f>IF(Table314[[#This Row],[CODE]]=15, Table314[ [#This Row],[Account Deposit Amount] ]-Table314[ [#This Row],[Account Withdrawl Amount] ], )</f>
        <v>0</v>
      </c>
      <c r="T52" s="128">
        <f>IF(Table314[[#This Row],[CODE]]=16, Table314[ [#This Row],[Account Deposit Amount] ]-Table314[ [#This Row],[Account Withdrawl Amount] ], )</f>
        <v>0</v>
      </c>
      <c r="U52" s="127">
        <f>IF(Table314[[#This Row],[CODE]]=17, Table314[ [#This Row],[Account Deposit Amount] ]-Table314[ [#This Row],[Account Withdrawl Amount] ], )</f>
        <v>0</v>
      </c>
      <c r="V52" s="166">
        <f>IF(Table314[[#This Row],[CODE]]=18, Table314[ [#This Row],[Account Deposit Amount] ]-Table312[ [#This Row],[Account Withdrawl Amount] ], )</f>
        <v>0</v>
      </c>
    </row>
    <row r="53" spans="1:22" ht="16.2" thickBot="1">
      <c r="A53" s="130"/>
      <c r="B53" s="133"/>
      <c r="C53" s="130"/>
      <c r="D53" s="132"/>
      <c r="E53" s="128"/>
      <c r="F53" s="128"/>
      <c r="G53" s="131">
        <f t="shared" si="3"/>
        <v>16857.209999999995</v>
      </c>
      <c r="H53" s="130"/>
      <c r="I53" s="127">
        <f>IF(Table314[[#This Row],[CODE]]=1, Table314[ [#This Row],[Account Deposit Amount] ]-Table314[ [#This Row],[Account Withdrawl Amount] ], )</f>
        <v>0</v>
      </c>
      <c r="J53" s="129">
        <f>IF(Table314[[#This Row],[CODE]]=2, Table314[ [#This Row],[Account Deposit Amount] ]-Table314[ [#This Row],[Account Withdrawl Amount] ], )</f>
        <v>0</v>
      </c>
      <c r="K53" s="129">
        <f>IF(Table314[[#This Row],[CODE]]=3, Table314[ [#This Row],[Account Deposit Amount] ]-Table314[ [#This Row],[Account Withdrawl Amount] ], )</f>
        <v>0</v>
      </c>
      <c r="L53" s="128">
        <f>IF(Table314[[#This Row],[CODE]]=4, Table314[ [#This Row],[Account Deposit Amount] ]-Table314[ [#This Row],[Account Withdrawl Amount] ], )</f>
        <v>0</v>
      </c>
      <c r="M53" s="128">
        <f>IF(Table314[[#This Row],[CODE]]=5, Table314[ [#This Row],[Account Deposit Amount] ]-Table314[ [#This Row],[Account Withdrawl Amount] ], )</f>
        <v>0</v>
      </c>
      <c r="N53" s="128">
        <f>IF(Table314[[#This Row],[CODE]]=6, Table314[ [#This Row],[Account Deposit Amount] ]-Table314[ [#This Row],[Account Withdrawl Amount] ], )</f>
        <v>0</v>
      </c>
      <c r="O53" s="128">
        <f>IF(Table314[[#This Row],[CODE]]=11, Table314[ [#This Row],[Account Deposit Amount] ]-Table314[ [#This Row],[Account Withdrawl Amount] ], )</f>
        <v>0</v>
      </c>
      <c r="P53" s="128">
        <f>IF(Table314[[#This Row],[CODE]]=12, Table314[ [#This Row],[Account Deposit Amount] ]-Table314[ [#This Row],[Account Withdrawl Amount] ], )</f>
        <v>0</v>
      </c>
      <c r="Q53" s="128">
        <f>IF(Table314[[#This Row],[CODE]]=13, Table314[ [#This Row],[Account Deposit Amount] ]-Table314[ [#This Row],[Account Withdrawl Amount] ], )</f>
        <v>0</v>
      </c>
      <c r="R53" s="128">
        <f>IF(Table314[[#This Row],[CODE]]=14, Table314[ [#This Row],[Account Deposit Amount] ]-Table314[ [#This Row],[Account Withdrawl Amount] ], )</f>
        <v>0</v>
      </c>
      <c r="S53" s="128">
        <f>IF(Table314[[#This Row],[CODE]]=15, Table314[ [#This Row],[Account Deposit Amount] ]-Table314[ [#This Row],[Account Withdrawl Amount] ], )</f>
        <v>0</v>
      </c>
      <c r="T53" s="128">
        <f>IF(Table314[[#This Row],[CODE]]=16, Table314[ [#This Row],[Account Deposit Amount] ]-Table314[ [#This Row],[Account Withdrawl Amount] ], )</f>
        <v>0</v>
      </c>
      <c r="U53" s="127">
        <f>IF(Table314[[#This Row],[CODE]]=17, Table314[ [#This Row],[Account Deposit Amount] ]-Table314[ [#This Row],[Account Withdrawl Amount] ], )</f>
        <v>0</v>
      </c>
      <c r="V53" s="166">
        <f>IF(Table314[[#This Row],[CODE]]=18, Table314[ [#This Row],[Account Deposit Amount] ]-Table312[ [#This Row],[Account Withdrawl Amount] ], )</f>
        <v>0</v>
      </c>
    </row>
    <row r="54" spans="1:22" ht="16.2" thickBot="1">
      <c r="A54" s="130"/>
      <c r="B54" s="133"/>
      <c r="C54" s="130"/>
      <c r="D54" s="132"/>
      <c r="E54" s="128"/>
      <c r="F54" s="128"/>
      <c r="G54" s="131">
        <f t="shared" si="3"/>
        <v>16857.209999999995</v>
      </c>
      <c r="H54" s="130"/>
      <c r="I54" s="127">
        <f>IF(Table314[[#This Row],[CODE]]=1, Table314[ [#This Row],[Account Deposit Amount] ]-Table314[ [#This Row],[Account Withdrawl Amount] ], )</f>
        <v>0</v>
      </c>
      <c r="J54" s="129">
        <f>IF(Table314[[#This Row],[CODE]]=2, Table314[ [#This Row],[Account Deposit Amount] ]-Table314[ [#This Row],[Account Withdrawl Amount] ], )</f>
        <v>0</v>
      </c>
      <c r="K54" s="129">
        <f>IF(Table314[[#This Row],[CODE]]=3, Table314[ [#This Row],[Account Deposit Amount] ]-Table314[ [#This Row],[Account Withdrawl Amount] ], )</f>
        <v>0</v>
      </c>
      <c r="L54" s="128">
        <f>IF(Table314[[#This Row],[CODE]]=4, Table314[ [#This Row],[Account Deposit Amount] ]-Table314[ [#This Row],[Account Withdrawl Amount] ], )</f>
        <v>0</v>
      </c>
      <c r="M54" s="128">
        <f>IF(Table314[[#This Row],[CODE]]=5, Table314[ [#This Row],[Account Deposit Amount] ]-Table314[ [#This Row],[Account Withdrawl Amount] ], )</f>
        <v>0</v>
      </c>
      <c r="N54" s="128">
        <f>IF(Table314[[#This Row],[CODE]]=6, Table314[ [#This Row],[Account Deposit Amount] ]-Table314[ [#This Row],[Account Withdrawl Amount] ], )</f>
        <v>0</v>
      </c>
      <c r="O54" s="128">
        <f>IF(Table314[[#This Row],[CODE]]=11, Table314[ [#This Row],[Account Deposit Amount] ]-Table314[ [#This Row],[Account Withdrawl Amount] ], )</f>
        <v>0</v>
      </c>
      <c r="P54" s="128">
        <f>IF(Table314[[#This Row],[CODE]]=12, Table314[ [#This Row],[Account Deposit Amount] ]-Table314[ [#This Row],[Account Withdrawl Amount] ], )</f>
        <v>0</v>
      </c>
      <c r="Q54" s="128">
        <f>IF(Table314[[#This Row],[CODE]]=13, Table314[ [#This Row],[Account Deposit Amount] ]-Table314[ [#This Row],[Account Withdrawl Amount] ], )</f>
        <v>0</v>
      </c>
      <c r="R54" s="128">
        <f>IF(Table314[[#This Row],[CODE]]=14, Table314[ [#This Row],[Account Deposit Amount] ]-Table314[ [#This Row],[Account Withdrawl Amount] ], )</f>
        <v>0</v>
      </c>
      <c r="S54" s="128">
        <f>IF(Table314[[#This Row],[CODE]]=15, Table314[ [#This Row],[Account Deposit Amount] ]-Table314[ [#This Row],[Account Withdrawl Amount] ], )</f>
        <v>0</v>
      </c>
      <c r="T54" s="128">
        <f>IF(Table314[[#This Row],[CODE]]=16, Table314[ [#This Row],[Account Deposit Amount] ]-Table314[ [#This Row],[Account Withdrawl Amount] ], )</f>
        <v>0</v>
      </c>
      <c r="U54" s="127">
        <f>IF(Table314[[#This Row],[CODE]]=17, Table314[ [#This Row],[Account Deposit Amount] ]-Table314[ [#This Row],[Account Withdrawl Amount] ], )</f>
        <v>0</v>
      </c>
      <c r="V54" s="166">
        <f>IF(Table314[[#This Row],[CODE]]=18, Table314[ [#This Row],[Account Deposit Amount] ]-Table312[ [#This Row],[Account Withdrawl Amount] ], )</f>
        <v>0</v>
      </c>
    </row>
    <row r="55" spans="1:22" ht="16.2" thickBot="1">
      <c r="A55" s="130"/>
      <c r="B55" s="133"/>
      <c r="C55" s="130"/>
      <c r="D55" s="132"/>
      <c r="E55" s="128"/>
      <c r="F55" s="128"/>
      <c r="G55" s="131">
        <f t="shared" si="3"/>
        <v>16857.209999999995</v>
      </c>
      <c r="H55" s="130"/>
      <c r="I55" s="127">
        <f>IF(Table314[[#This Row],[CODE]]=1, Table314[ [#This Row],[Account Deposit Amount] ]-Table314[ [#This Row],[Account Withdrawl Amount] ], )</f>
        <v>0</v>
      </c>
      <c r="J55" s="129">
        <f>IF(Table314[[#This Row],[CODE]]=2, Table314[ [#This Row],[Account Deposit Amount] ]-Table314[ [#This Row],[Account Withdrawl Amount] ], )</f>
        <v>0</v>
      </c>
      <c r="K55" s="129">
        <f>IF(Table314[[#This Row],[CODE]]=3, Table314[ [#This Row],[Account Deposit Amount] ]-Table314[ [#This Row],[Account Withdrawl Amount] ], )</f>
        <v>0</v>
      </c>
      <c r="L55" s="128">
        <f>IF(Table314[[#This Row],[CODE]]=4, Table314[ [#This Row],[Account Deposit Amount] ]-Table314[ [#This Row],[Account Withdrawl Amount] ], )</f>
        <v>0</v>
      </c>
      <c r="M55" s="128">
        <f>IF(Table314[[#This Row],[CODE]]=5, Table314[ [#This Row],[Account Deposit Amount] ]-Table314[ [#This Row],[Account Withdrawl Amount] ], )</f>
        <v>0</v>
      </c>
      <c r="N55" s="128">
        <f>IF(Table314[[#This Row],[CODE]]=6, Table314[ [#This Row],[Account Deposit Amount] ]-Table314[ [#This Row],[Account Withdrawl Amount] ], )</f>
        <v>0</v>
      </c>
      <c r="O55" s="128">
        <f>IF(Table314[[#This Row],[CODE]]=11, Table314[ [#This Row],[Account Deposit Amount] ]-Table314[ [#This Row],[Account Withdrawl Amount] ], )</f>
        <v>0</v>
      </c>
      <c r="P55" s="128">
        <f>IF(Table314[[#This Row],[CODE]]=12, Table314[ [#This Row],[Account Deposit Amount] ]-Table314[ [#This Row],[Account Withdrawl Amount] ], )</f>
        <v>0</v>
      </c>
      <c r="Q55" s="128">
        <f>IF(Table314[[#This Row],[CODE]]=13, Table314[ [#This Row],[Account Deposit Amount] ]-Table314[ [#This Row],[Account Withdrawl Amount] ], )</f>
        <v>0</v>
      </c>
      <c r="R55" s="128">
        <f>IF(Table314[[#This Row],[CODE]]=14, Table314[ [#This Row],[Account Deposit Amount] ]-Table314[ [#This Row],[Account Withdrawl Amount] ], )</f>
        <v>0</v>
      </c>
      <c r="S55" s="128">
        <f>IF(Table314[[#This Row],[CODE]]=15, Table314[ [#This Row],[Account Deposit Amount] ]-Table314[ [#This Row],[Account Withdrawl Amount] ], )</f>
        <v>0</v>
      </c>
      <c r="T55" s="128">
        <f>IF(Table314[[#This Row],[CODE]]=16, Table314[ [#This Row],[Account Deposit Amount] ]-Table314[ [#This Row],[Account Withdrawl Amount] ], )</f>
        <v>0</v>
      </c>
      <c r="U55" s="127">
        <f>IF(Table314[[#This Row],[CODE]]=17, Table314[ [#This Row],[Account Deposit Amount] ]-Table314[ [#This Row],[Account Withdrawl Amount] ], )</f>
        <v>0</v>
      </c>
      <c r="V55" s="166">
        <f>IF(Table314[[#This Row],[CODE]]=18, Table314[ [#This Row],[Account Deposit Amount] ]-Table312[ [#This Row],[Account Withdrawl Amount] ], )</f>
        <v>0</v>
      </c>
    </row>
    <row r="56" spans="1:22" ht="16.2" thickBot="1">
      <c r="A56" s="130"/>
      <c r="B56" s="133"/>
      <c r="C56" s="130"/>
      <c r="D56" s="132"/>
      <c r="E56" s="128"/>
      <c r="F56" s="128"/>
      <c r="G56" s="131">
        <f t="shared" si="3"/>
        <v>16857.209999999995</v>
      </c>
      <c r="H56" s="130"/>
      <c r="I56" s="127">
        <f>IF(Table314[[#This Row],[CODE]]=1, Table314[ [#This Row],[Account Deposit Amount] ]-Table314[ [#This Row],[Account Withdrawl Amount] ], )</f>
        <v>0</v>
      </c>
      <c r="J56" s="129">
        <f>IF(Table314[[#This Row],[CODE]]=2, Table314[ [#This Row],[Account Deposit Amount] ]-Table314[ [#This Row],[Account Withdrawl Amount] ], )</f>
        <v>0</v>
      </c>
      <c r="K56" s="129">
        <f>IF(Table314[[#This Row],[CODE]]=3, Table314[ [#This Row],[Account Deposit Amount] ]-Table314[ [#This Row],[Account Withdrawl Amount] ], )</f>
        <v>0</v>
      </c>
      <c r="L56" s="128">
        <f>IF(Table314[[#This Row],[CODE]]=4, Table314[ [#This Row],[Account Deposit Amount] ]-Table314[ [#This Row],[Account Withdrawl Amount] ], )</f>
        <v>0</v>
      </c>
      <c r="M56" s="128">
        <f>IF(Table314[[#This Row],[CODE]]=5, Table314[ [#This Row],[Account Deposit Amount] ]-Table314[ [#This Row],[Account Withdrawl Amount] ], )</f>
        <v>0</v>
      </c>
      <c r="N56" s="128">
        <f>IF(Table314[[#This Row],[CODE]]=6, Table314[ [#This Row],[Account Deposit Amount] ]-Table314[ [#This Row],[Account Withdrawl Amount] ], )</f>
        <v>0</v>
      </c>
      <c r="O56" s="128">
        <f>IF(Table314[[#This Row],[CODE]]=11, Table314[ [#This Row],[Account Deposit Amount] ]-Table314[ [#This Row],[Account Withdrawl Amount] ], )</f>
        <v>0</v>
      </c>
      <c r="P56" s="128">
        <f>IF(Table314[[#This Row],[CODE]]=12, Table314[ [#This Row],[Account Deposit Amount] ]-Table314[ [#This Row],[Account Withdrawl Amount] ], )</f>
        <v>0</v>
      </c>
      <c r="Q56" s="128">
        <f>IF(Table314[[#This Row],[CODE]]=13, Table314[ [#This Row],[Account Deposit Amount] ]-Table314[ [#This Row],[Account Withdrawl Amount] ], )</f>
        <v>0</v>
      </c>
      <c r="R56" s="128">
        <f>IF(Table314[[#This Row],[CODE]]=14, Table314[ [#This Row],[Account Deposit Amount] ]-Table314[ [#This Row],[Account Withdrawl Amount] ], )</f>
        <v>0</v>
      </c>
      <c r="S56" s="128">
        <f>IF(Table314[[#This Row],[CODE]]=15, Table314[ [#This Row],[Account Deposit Amount] ]-Table314[ [#This Row],[Account Withdrawl Amount] ], )</f>
        <v>0</v>
      </c>
      <c r="T56" s="128">
        <f>IF(Table314[[#This Row],[CODE]]=16, Table314[ [#This Row],[Account Deposit Amount] ]-Table314[ [#This Row],[Account Withdrawl Amount] ], )</f>
        <v>0</v>
      </c>
      <c r="U56" s="127">
        <f>IF(Table314[[#This Row],[CODE]]=17, Table314[ [#This Row],[Account Deposit Amount] ]-Table314[ [#This Row],[Account Withdrawl Amount] ], )</f>
        <v>0</v>
      </c>
      <c r="V56" s="166">
        <f>IF(Table314[[#This Row],[CODE]]=18, Table314[ [#This Row],[Account Deposit Amount] ]-Table312[ [#This Row],[Account Withdrawl Amount] ], )</f>
        <v>0</v>
      </c>
    </row>
    <row r="57" spans="1:22" ht="16.2" thickBot="1">
      <c r="A57" s="130"/>
      <c r="B57" s="133"/>
      <c r="C57" s="130"/>
      <c r="D57" s="132"/>
      <c r="E57" s="128"/>
      <c r="F57" s="128"/>
      <c r="G57" s="131">
        <f t="shared" si="3"/>
        <v>16857.209999999995</v>
      </c>
      <c r="H57" s="130"/>
      <c r="I57" s="127">
        <f>IF(Table314[[#This Row],[CODE]]=1, Table314[ [#This Row],[Account Deposit Amount] ]-Table314[ [#This Row],[Account Withdrawl Amount] ], )</f>
        <v>0</v>
      </c>
      <c r="J57" s="129">
        <f>IF(Table314[[#This Row],[CODE]]=2, Table314[ [#This Row],[Account Deposit Amount] ]-Table314[ [#This Row],[Account Withdrawl Amount] ], )</f>
        <v>0</v>
      </c>
      <c r="K57" s="129">
        <f>IF(Table314[[#This Row],[CODE]]=3, Table314[ [#This Row],[Account Deposit Amount] ]-Table314[ [#This Row],[Account Withdrawl Amount] ], )</f>
        <v>0</v>
      </c>
      <c r="L57" s="128">
        <f>IF(Table314[[#This Row],[CODE]]=4, Table314[ [#This Row],[Account Deposit Amount] ]-Table314[ [#This Row],[Account Withdrawl Amount] ], )</f>
        <v>0</v>
      </c>
      <c r="M57" s="128">
        <f>IF(Table314[[#This Row],[CODE]]=5, Table314[ [#This Row],[Account Deposit Amount] ]-Table314[ [#This Row],[Account Withdrawl Amount] ], )</f>
        <v>0</v>
      </c>
      <c r="N57" s="128">
        <f>IF(Table314[[#This Row],[CODE]]=6, Table314[ [#This Row],[Account Deposit Amount] ]-Table314[ [#This Row],[Account Withdrawl Amount] ], )</f>
        <v>0</v>
      </c>
      <c r="O57" s="128">
        <f>IF(Table314[[#This Row],[CODE]]=11, Table314[ [#This Row],[Account Deposit Amount] ]-Table314[ [#This Row],[Account Withdrawl Amount] ], )</f>
        <v>0</v>
      </c>
      <c r="P57" s="128">
        <f>IF(Table314[[#This Row],[CODE]]=12, Table314[ [#This Row],[Account Deposit Amount] ]-Table314[ [#This Row],[Account Withdrawl Amount] ], )</f>
        <v>0</v>
      </c>
      <c r="Q57" s="128">
        <f>IF(Table314[[#This Row],[CODE]]=13, Table314[ [#This Row],[Account Deposit Amount] ]-Table314[ [#This Row],[Account Withdrawl Amount] ], )</f>
        <v>0</v>
      </c>
      <c r="R57" s="128">
        <f>IF(Table314[[#This Row],[CODE]]=14, Table314[ [#This Row],[Account Deposit Amount] ]-Table314[ [#This Row],[Account Withdrawl Amount] ], )</f>
        <v>0</v>
      </c>
      <c r="S57" s="128">
        <f>IF(Table314[[#This Row],[CODE]]=15, Table314[ [#This Row],[Account Deposit Amount] ]-Table314[ [#This Row],[Account Withdrawl Amount] ], )</f>
        <v>0</v>
      </c>
      <c r="T57" s="128">
        <f>IF(Table314[[#This Row],[CODE]]=16, Table314[ [#This Row],[Account Deposit Amount] ]-Table314[ [#This Row],[Account Withdrawl Amount] ], )</f>
        <v>0</v>
      </c>
      <c r="U57" s="127">
        <f>IF(Table314[[#This Row],[CODE]]=17, Table314[ [#This Row],[Account Deposit Amount] ]-Table314[ [#This Row],[Account Withdrawl Amount] ], )</f>
        <v>0</v>
      </c>
      <c r="V57" s="166">
        <f>IF(Table314[[#This Row],[CODE]]=18, Table314[ [#This Row],[Account Deposit Amount] ]-Table312[ [#This Row],[Account Withdrawl Amount] ], )</f>
        <v>0</v>
      </c>
    </row>
    <row r="58" spans="1:22" ht="16.2" thickBot="1">
      <c r="A58" s="130"/>
      <c r="B58" s="133"/>
      <c r="C58" s="130"/>
      <c r="D58" s="132"/>
      <c r="E58" s="128"/>
      <c r="F58" s="128"/>
      <c r="G58" s="131">
        <f t="shared" si="3"/>
        <v>16857.209999999995</v>
      </c>
      <c r="H58" s="130"/>
      <c r="I58" s="127">
        <f>IF(Table314[[#This Row],[CODE]]=1, Table314[ [#This Row],[Account Deposit Amount] ]-Table314[ [#This Row],[Account Withdrawl Amount] ], )</f>
        <v>0</v>
      </c>
      <c r="J58" s="129">
        <f>IF(Table314[[#This Row],[CODE]]=2, Table314[ [#This Row],[Account Deposit Amount] ]-Table314[ [#This Row],[Account Withdrawl Amount] ], )</f>
        <v>0</v>
      </c>
      <c r="K58" s="129">
        <f>IF(Table314[[#This Row],[CODE]]=3, Table314[ [#This Row],[Account Deposit Amount] ]-Table314[ [#This Row],[Account Withdrawl Amount] ], )</f>
        <v>0</v>
      </c>
      <c r="L58" s="128">
        <f>IF(Table314[[#This Row],[CODE]]=4, Table314[ [#This Row],[Account Deposit Amount] ]-Table314[ [#This Row],[Account Withdrawl Amount] ], )</f>
        <v>0</v>
      </c>
      <c r="M58" s="128">
        <f>IF(Table314[[#This Row],[CODE]]=5, Table314[ [#This Row],[Account Deposit Amount] ]-Table314[ [#This Row],[Account Withdrawl Amount] ], )</f>
        <v>0</v>
      </c>
      <c r="N58" s="128">
        <f>IF(Table314[[#This Row],[CODE]]=6, Table314[ [#This Row],[Account Deposit Amount] ]-Table314[ [#This Row],[Account Withdrawl Amount] ], )</f>
        <v>0</v>
      </c>
      <c r="O58" s="128">
        <f>IF(Table314[[#This Row],[CODE]]=11, Table314[ [#This Row],[Account Deposit Amount] ]-Table314[ [#This Row],[Account Withdrawl Amount] ], )</f>
        <v>0</v>
      </c>
      <c r="P58" s="128">
        <f>IF(Table314[[#This Row],[CODE]]=12, Table314[ [#This Row],[Account Deposit Amount] ]-Table314[ [#This Row],[Account Withdrawl Amount] ], )</f>
        <v>0</v>
      </c>
      <c r="Q58" s="128">
        <f>IF(Table314[[#This Row],[CODE]]=13, Table314[ [#This Row],[Account Deposit Amount] ]-Table314[ [#This Row],[Account Withdrawl Amount] ], )</f>
        <v>0</v>
      </c>
      <c r="R58" s="128">
        <f>IF(Table314[[#This Row],[CODE]]=14, Table314[ [#This Row],[Account Deposit Amount] ]-Table314[ [#This Row],[Account Withdrawl Amount] ], )</f>
        <v>0</v>
      </c>
      <c r="S58" s="128">
        <f>IF(Table314[[#This Row],[CODE]]=15, Table314[ [#This Row],[Account Deposit Amount] ]-Table314[ [#This Row],[Account Withdrawl Amount] ], )</f>
        <v>0</v>
      </c>
      <c r="T58" s="128">
        <f>IF(Table314[[#This Row],[CODE]]=16, Table314[ [#This Row],[Account Deposit Amount] ]-Table314[ [#This Row],[Account Withdrawl Amount] ], )</f>
        <v>0</v>
      </c>
      <c r="U58" s="127">
        <f>IF(Table314[[#This Row],[CODE]]=17, Table314[ [#This Row],[Account Deposit Amount] ]-Table314[ [#This Row],[Account Withdrawl Amount] ], )</f>
        <v>0</v>
      </c>
      <c r="V58" s="166">
        <f>IF(Table314[[#This Row],[CODE]]=18, Table314[ [#This Row],[Account Deposit Amount] ]-Table312[ [#This Row],[Account Withdrawl Amount] ], )</f>
        <v>0</v>
      </c>
    </row>
    <row r="59" spans="1:22" ht="16.2" thickBot="1">
      <c r="A59" s="130"/>
      <c r="B59" s="133"/>
      <c r="C59" s="130"/>
      <c r="D59" s="132"/>
      <c r="E59" s="128"/>
      <c r="F59" s="128"/>
      <c r="G59" s="131">
        <f t="shared" si="3"/>
        <v>16857.209999999995</v>
      </c>
      <c r="H59" s="130"/>
      <c r="I59" s="127">
        <f>IF(Table314[[#This Row],[CODE]]=1, Table314[ [#This Row],[Account Deposit Amount] ]-Table314[ [#This Row],[Account Withdrawl Amount] ], )</f>
        <v>0</v>
      </c>
      <c r="J59" s="129">
        <f>IF(Table314[[#This Row],[CODE]]=2, Table314[ [#This Row],[Account Deposit Amount] ]-Table314[ [#This Row],[Account Withdrawl Amount] ], )</f>
        <v>0</v>
      </c>
      <c r="K59" s="129">
        <f>IF(Table314[[#This Row],[CODE]]=3, Table314[ [#This Row],[Account Deposit Amount] ]-Table314[ [#This Row],[Account Withdrawl Amount] ], )</f>
        <v>0</v>
      </c>
      <c r="L59" s="128">
        <f>IF(Table314[[#This Row],[CODE]]=4, Table314[ [#This Row],[Account Deposit Amount] ]-Table314[ [#This Row],[Account Withdrawl Amount] ], )</f>
        <v>0</v>
      </c>
      <c r="M59" s="128">
        <f>IF(Table314[[#This Row],[CODE]]=5, Table314[ [#This Row],[Account Deposit Amount] ]-Table314[ [#This Row],[Account Withdrawl Amount] ], )</f>
        <v>0</v>
      </c>
      <c r="N59" s="128">
        <f>IF(Table314[[#This Row],[CODE]]=6, Table314[ [#This Row],[Account Deposit Amount] ]-Table314[ [#This Row],[Account Withdrawl Amount] ], )</f>
        <v>0</v>
      </c>
      <c r="O59" s="128">
        <f>IF(Table314[[#This Row],[CODE]]=11, Table314[ [#This Row],[Account Deposit Amount] ]-Table314[ [#This Row],[Account Withdrawl Amount] ], )</f>
        <v>0</v>
      </c>
      <c r="P59" s="128">
        <f>IF(Table314[[#This Row],[CODE]]=12, Table314[ [#This Row],[Account Deposit Amount] ]-Table314[ [#This Row],[Account Withdrawl Amount] ], )</f>
        <v>0</v>
      </c>
      <c r="Q59" s="128">
        <f>IF(Table314[[#This Row],[CODE]]=13, Table314[ [#This Row],[Account Deposit Amount] ]-Table314[ [#This Row],[Account Withdrawl Amount] ], )</f>
        <v>0</v>
      </c>
      <c r="R59" s="128">
        <f>IF(Table314[[#This Row],[CODE]]=14, Table314[ [#This Row],[Account Deposit Amount] ]-Table314[ [#This Row],[Account Withdrawl Amount] ], )</f>
        <v>0</v>
      </c>
      <c r="S59" s="128">
        <f>IF(Table314[[#This Row],[CODE]]=15, Table314[ [#This Row],[Account Deposit Amount] ]-Table314[ [#This Row],[Account Withdrawl Amount] ], )</f>
        <v>0</v>
      </c>
      <c r="T59" s="128">
        <f>IF(Table314[[#This Row],[CODE]]=16, Table314[ [#This Row],[Account Deposit Amount] ]-Table314[ [#This Row],[Account Withdrawl Amount] ], )</f>
        <v>0</v>
      </c>
      <c r="U59" s="127">
        <f>IF(Table314[[#This Row],[CODE]]=17, Table314[ [#This Row],[Account Deposit Amount] ]-Table314[ [#This Row],[Account Withdrawl Amount] ], )</f>
        <v>0</v>
      </c>
      <c r="V59" s="166">
        <f>IF(Table314[[#This Row],[CODE]]=18, Table314[ [#This Row],[Account Deposit Amount] ]-Table312[ [#This Row],[Account Withdrawl Amount] ], )</f>
        <v>0</v>
      </c>
    </row>
    <row r="60" spans="1:22" ht="16.2" thickBot="1">
      <c r="A60" s="130"/>
      <c r="B60" s="133"/>
      <c r="C60" s="130"/>
      <c r="D60" s="132"/>
      <c r="E60" s="128"/>
      <c r="F60" s="128"/>
      <c r="G60" s="131">
        <f t="shared" si="3"/>
        <v>16857.209999999995</v>
      </c>
      <c r="H60" s="130"/>
      <c r="I60" s="127">
        <f>IF(Table314[[#This Row],[CODE]]=1, Table314[ [#This Row],[Account Deposit Amount] ]-Table314[ [#This Row],[Account Withdrawl Amount] ], )</f>
        <v>0</v>
      </c>
      <c r="J60" s="129">
        <f>IF(Table314[[#This Row],[CODE]]=2, Table314[ [#This Row],[Account Deposit Amount] ]-Table314[ [#This Row],[Account Withdrawl Amount] ], )</f>
        <v>0</v>
      </c>
      <c r="K60" s="129">
        <f>IF(Table314[[#This Row],[CODE]]=3, Table314[ [#This Row],[Account Deposit Amount] ]-Table314[ [#This Row],[Account Withdrawl Amount] ], )</f>
        <v>0</v>
      </c>
      <c r="L60" s="128">
        <f>IF(Table314[[#This Row],[CODE]]=4, Table314[ [#This Row],[Account Deposit Amount] ]-Table314[ [#This Row],[Account Withdrawl Amount] ], )</f>
        <v>0</v>
      </c>
      <c r="M60" s="128">
        <f>IF(Table314[[#This Row],[CODE]]=5, Table314[ [#This Row],[Account Deposit Amount] ]-Table314[ [#This Row],[Account Withdrawl Amount] ], )</f>
        <v>0</v>
      </c>
      <c r="N60" s="128">
        <f>IF(Table314[[#This Row],[CODE]]=6, Table314[ [#This Row],[Account Deposit Amount] ]-Table314[ [#This Row],[Account Withdrawl Amount] ], )</f>
        <v>0</v>
      </c>
      <c r="O60" s="128">
        <f>IF(Table314[[#This Row],[CODE]]=11, Table314[ [#This Row],[Account Deposit Amount] ]-Table314[ [#This Row],[Account Withdrawl Amount] ], )</f>
        <v>0</v>
      </c>
      <c r="P60" s="128">
        <f>IF(Table314[[#This Row],[CODE]]=12, Table314[ [#This Row],[Account Deposit Amount] ]-Table314[ [#This Row],[Account Withdrawl Amount] ], )</f>
        <v>0</v>
      </c>
      <c r="Q60" s="128">
        <f>IF(Table314[[#This Row],[CODE]]=13, Table314[ [#This Row],[Account Deposit Amount] ]-Table314[ [#This Row],[Account Withdrawl Amount] ], )</f>
        <v>0</v>
      </c>
      <c r="R60" s="128">
        <f>IF(Table314[[#This Row],[CODE]]=14, Table314[ [#This Row],[Account Deposit Amount] ]-Table314[ [#This Row],[Account Withdrawl Amount] ], )</f>
        <v>0</v>
      </c>
      <c r="S60" s="128">
        <f>IF(Table314[[#This Row],[CODE]]=15, Table314[ [#This Row],[Account Deposit Amount] ]-Table314[ [#This Row],[Account Withdrawl Amount] ], )</f>
        <v>0</v>
      </c>
      <c r="T60" s="128">
        <f>IF(Table314[[#This Row],[CODE]]=16, Table314[ [#This Row],[Account Deposit Amount] ]-Table314[ [#This Row],[Account Withdrawl Amount] ], )</f>
        <v>0</v>
      </c>
      <c r="U60" s="127">
        <f>IF(Table314[[#This Row],[CODE]]=17, Table314[ [#This Row],[Account Deposit Amount] ]-Table314[ [#This Row],[Account Withdrawl Amount] ], )</f>
        <v>0</v>
      </c>
      <c r="V60" s="166">
        <f>IF(Table314[[#This Row],[CODE]]=18, Table314[ [#This Row],[Account Deposit Amount] ]-Table312[ [#This Row],[Account Withdrawl Amount] ], )</f>
        <v>0</v>
      </c>
    </row>
    <row r="61" spans="1:22" ht="16.2" thickBot="1">
      <c r="A61" s="130"/>
      <c r="B61" s="133"/>
      <c r="C61" s="130"/>
      <c r="D61" s="132"/>
      <c r="E61" s="128"/>
      <c r="F61" s="128"/>
      <c r="G61" s="131">
        <f t="shared" si="3"/>
        <v>16857.209999999995</v>
      </c>
      <c r="H61" s="130"/>
      <c r="I61" s="127">
        <f>IF(Table314[[#This Row],[CODE]]=1, Table314[ [#This Row],[Account Deposit Amount] ]-Table314[ [#This Row],[Account Withdrawl Amount] ], )</f>
        <v>0</v>
      </c>
      <c r="J61" s="129">
        <f>IF(Table314[[#This Row],[CODE]]=2, Table314[ [#This Row],[Account Deposit Amount] ]-Table314[ [#This Row],[Account Withdrawl Amount] ], )</f>
        <v>0</v>
      </c>
      <c r="K61" s="129">
        <f>IF(Table314[[#This Row],[CODE]]=3, Table314[ [#This Row],[Account Deposit Amount] ]-Table314[ [#This Row],[Account Withdrawl Amount] ], )</f>
        <v>0</v>
      </c>
      <c r="L61" s="128">
        <f>IF(Table314[[#This Row],[CODE]]=4, Table314[ [#This Row],[Account Deposit Amount] ]-Table314[ [#This Row],[Account Withdrawl Amount] ], )</f>
        <v>0</v>
      </c>
      <c r="M61" s="128">
        <f>IF(Table314[[#This Row],[CODE]]=5, Table314[ [#This Row],[Account Deposit Amount] ]-Table314[ [#This Row],[Account Withdrawl Amount] ], )</f>
        <v>0</v>
      </c>
      <c r="N61" s="128">
        <f>IF(Table314[[#This Row],[CODE]]=6, Table314[ [#This Row],[Account Deposit Amount] ]-Table314[ [#This Row],[Account Withdrawl Amount] ], )</f>
        <v>0</v>
      </c>
      <c r="O61" s="128">
        <f>IF(Table314[[#This Row],[CODE]]=11, Table314[ [#This Row],[Account Deposit Amount] ]-Table314[ [#This Row],[Account Withdrawl Amount] ], )</f>
        <v>0</v>
      </c>
      <c r="P61" s="128">
        <f>IF(Table314[[#This Row],[CODE]]=12, Table314[ [#This Row],[Account Deposit Amount] ]-Table314[ [#This Row],[Account Withdrawl Amount] ], )</f>
        <v>0</v>
      </c>
      <c r="Q61" s="128">
        <f>IF(Table314[[#This Row],[CODE]]=13, Table314[ [#This Row],[Account Deposit Amount] ]-Table314[ [#This Row],[Account Withdrawl Amount] ], )</f>
        <v>0</v>
      </c>
      <c r="R61" s="128">
        <f>IF(Table314[[#This Row],[CODE]]=14, Table314[ [#This Row],[Account Deposit Amount] ]-Table314[ [#This Row],[Account Withdrawl Amount] ], )</f>
        <v>0</v>
      </c>
      <c r="S61" s="128">
        <f>IF(Table314[[#This Row],[CODE]]=15, Table314[ [#This Row],[Account Deposit Amount] ]-Table314[ [#This Row],[Account Withdrawl Amount] ], )</f>
        <v>0</v>
      </c>
      <c r="T61" s="128">
        <f>IF(Table314[[#This Row],[CODE]]=16, Table314[ [#This Row],[Account Deposit Amount] ]-Table314[ [#This Row],[Account Withdrawl Amount] ], )</f>
        <v>0</v>
      </c>
      <c r="U61" s="127">
        <f>IF(Table314[[#This Row],[CODE]]=17, Table314[ [#This Row],[Account Deposit Amount] ]-Table314[ [#This Row],[Account Withdrawl Amount] ], )</f>
        <v>0</v>
      </c>
      <c r="V61" s="166">
        <f>IF(Table314[[#This Row],[CODE]]=18, Table314[ [#This Row],[Account Deposit Amount] ]-Table312[ [#This Row],[Account Withdrawl Amount] ], )</f>
        <v>0</v>
      </c>
    </row>
    <row r="62" spans="1:22" ht="16.2" thickBot="1">
      <c r="A62" s="130"/>
      <c r="B62" s="133"/>
      <c r="C62" s="130"/>
      <c r="D62" s="132"/>
      <c r="E62" s="128"/>
      <c r="F62" s="128"/>
      <c r="G62" s="131">
        <f t="shared" si="3"/>
        <v>16857.209999999995</v>
      </c>
      <c r="H62" s="130"/>
      <c r="I62" s="127">
        <f>IF(Table314[[#This Row],[CODE]]=1, Table314[ [#This Row],[Account Deposit Amount] ]-Table314[ [#This Row],[Account Withdrawl Amount] ], )</f>
        <v>0</v>
      </c>
      <c r="J62" s="129">
        <f>IF(Table314[[#This Row],[CODE]]=2, Table314[ [#This Row],[Account Deposit Amount] ]-Table314[ [#This Row],[Account Withdrawl Amount] ], )</f>
        <v>0</v>
      </c>
      <c r="K62" s="129">
        <f>IF(Table314[[#This Row],[CODE]]=3, Table314[ [#This Row],[Account Deposit Amount] ]-Table314[ [#This Row],[Account Withdrawl Amount] ], )</f>
        <v>0</v>
      </c>
      <c r="L62" s="128">
        <f>IF(Table314[[#This Row],[CODE]]=4, Table314[ [#This Row],[Account Deposit Amount] ]-Table314[ [#This Row],[Account Withdrawl Amount] ], )</f>
        <v>0</v>
      </c>
      <c r="M62" s="128">
        <f>IF(Table314[[#This Row],[CODE]]=5, Table314[ [#This Row],[Account Deposit Amount] ]-Table314[ [#This Row],[Account Withdrawl Amount] ], )</f>
        <v>0</v>
      </c>
      <c r="N62" s="128">
        <f>IF(Table314[[#This Row],[CODE]]=6, Table314[ [#This Row],[Account Deposit Amount] ]-Table314[ [#This Row],[Account Withdrawl Amount] ], )</f>
        <v>0</v>
      </c>
      <c r="O62" s="128">
        <f>IF(Table314[[#This Row],[CODE]]=11, Table314[ [#This Row],[Account Deposit Amount] ]-Table314[ [#This Row],[Account Withdrawl Amount] ], )</f>
        <v>0</v>
      </c>
      <c r="P62" s="128">
        <f>IF(Table314[[#This Row],[CODE]]=12, Table314[ [#This Row],[Account Deposit Amount] ]-Table314[ [#This Row],[Account Withdrawl Amount] ], )</f>
        <v>0</v>
      </c>
      <c r="Q62" s="128">
        <f>IF(Table314[[#This Row],[CODE]]=13, Table314[ [#This Row],[Account Deposit Amount] ]-Table314[ [#This Row],[Account Withdrawl Amount] ], )</f>
        <v>0</v>
      </c>
      <c r="R62" s="128">
        <f>IF(Table314[[#This Row],[CODE]]=14, Table314[ [#This Row],[Account Deposit Amount] ]-Table314[ [#This Row],[Account Withdrawl Amount] ], )</f>
        <v>0</v>
      </c>
      <c r="S62" s="128">
        <f>IF(Table314[[#This Row],[CODE]]=15, Table314[ [#This Row],[Account Deposit Amount] ]-Table314[ [#This Row],[Account Withdrawl Amount] ], )</f>
        <v>0</v>
      </c>
      <c r="T62" s="128">
        <f>IF(Table314[[#This Row],[CODE]]=16, Table314[ [#This Row],[Account Deposit Amount] ]-Table314[ [#This Row],[Account Withdrawl Amount] ], )</f>
        <v>0</v>
      </c>
      <c r="U62" s="127">
        <f>IF(Table314[[#This Row],[CODE]]=17, Table314[ [#This Row],[Account Deposit Amount] ]-Table314[ [#This Row],[Account Withdrawl Amount] ], )</f>
        <v>0</v>
      </c>
      <c r="V62" s="166">
        <f>IF(Table314[[#This Row],[CODE]]=18, Table314[ [#This Row],[Account Deposit Amount] ]-Table312[ [#This Row],[Account Withdrawl Amount] ], )</f>
        <v>0</v>
      </c>
    </row>
    <row r="63" spans="1:22" ht="16.2" thickBot="1">
      <c r="A63" s="130"/>
      <c r="B63" s="133"/>
      <c r="C63" s="130"/>
      <c r="D63" s="132"/>
      <c r="E63" s="128"/>
      <c r="F63" s="128"/>
      <c r="G63" s="131">
        <f t="shared" si="3"/>
        <v>16857.209999999995</v>
      </c>
      <c r="H63" s="130"/>
      <c r="I63" s="127">
        <f>IF(Table314[[#This Row],[CODE]]=1, Table314[ [#This Row],[Account Deposit Amount] ]-Table314[ [#This Row],[Account Withdrawl Amount] ], )</f>
        <v>0</v>
      </c>
      <c r="J63" s="129">
        <f>IF(Table314[[#This Row],[CODE]]=2, Table314[ [#This Row],[Account Deposit Amount] ]-Table314[ [#This Row],[Account Withdrawl Amount] ], )</f>
        <v>0</v>
      </c>
      <c r="K63" s="129">
        <f>IF(Table314[[#This Row],[CODE]]=3, Table314[ [#This Row],[Account Deposit Amount] ]-Table314[ [#This Row],[Account Withdrawl Amount] ], )</f>
        <v>0</v>
      </c>
      <c r="L63" s="128">
        <f>IF(Table314[[#This Row],[CODE]]=4, Table314[ [#This Row],[Account Deposit Amount] ]-Table314[ [#This Row],[Account Withdrawl Amount] ], )</f>
        <v>0</v>
      </c>
      <c r="M63" s="128">
        <f>IF(Table314[[#This Row],[CODE]]=5, Table314[ [#This Row],[Account Deposit Amount] ]-Table314[ [#This Row],[Account Withdrawl Amount] ], )</f>
        <v>0</v>
      </c>
      <c r="N63" s="128">
        <f>IF(Table314[[#This Row],[CODE]]=6, Table314[ [#This Row],[Account Deposit Amount] ]-Table314[ [#This Row],[Account Withdrawl Amount] ], )</f>
        <v>0</v>
      </c>
      <c r="O63" s="128">
        <f>IF(Table314[[#This Row],[CODE]]=11, Table314[ [#This Row],[Account Deposit Amount] ]-Table314[ [#This Row],[Account Withdrawl Amount] ], )</f>
        <v>0</v>
      </c>
      <c r="P63" s="128">
        <f>IF(Table314[[#This Row],[CODE]]=12, Table314[ [#This Row],[Account Deposit Amount] ]-Table314[ [#This Row],[Account Withdrawl Amount] ], )</f>
        <v>0</v>
      </c>
      <c r="Q63" s="128">
        <f>IF(Table314[[#This Row],[CODE]]=13, Table314[ [#This Row],[Account Deposit Amount] ]-Table314[ [#This Row],[Account Withdrawl Amount] ], )</f>
        <v>0</v>
      </c>
      <c r="R63" s="128">
        <f>IF(Table314[[#This Row],[CODE]]=14, Table314[ [#This Row],[Account Deposit Amount] ]-Table314[ [#This Row],[Account Withdrawl Amount] ], )</f>
        <v>0</v>
      </c>
      <c r="S63" s="128">
        <f>IF(Table314[[#This Row],[CODE]]=15, Table314[ [#This Row],[Account Deposit Amount] ]-Table314[ [#This Row],[Account Withdrawl Amount] ], )</f>
        <v>0</v>
      </c>
      <c r="T63" s="128">
        <f>IF(Table314[[#This Row],[CODE]]=16, Table314[ [#This Row],[Account Deposit Amount] ]-Table314[ [#This Row],[Account Withdrawl Amount] ], )</f>
        <v>0</v>
      </c>
      <c r="U63" s="127">
        <f>IF(Table314[[#This Row],[CODE]]=17, Table314[ [#This Row],[Account Deposit Amount] ]-Table314[ [#This Row],[Account Withdrawl Amount] ], )</f>
        <v>0</v>
      </c>
      <c r="V63" s="166">
        <f>IF(Table314[[#This Row],[CODE]]=18, Table314[ [#This Row],[Account Deposit Amount] ]-Table312[ [#This Row],[Account Withdrawl Amount] ], )</f>
        <v>0</v>
      </c>
    </row>
    <row r="64" spans="1:22" ht="16.2" thickBot="1">
      <c r="A64" s="130"/>
      <c r="B64" s="133"/>
      <c r="C64" s="130"/>
      <c r="D64" s="132"/>
      <c r="E64" s="128"/>
      <c r="F64" s="128"/>
      <c r="G64" s="131">
        <f t="shared" si="3"/>
        <v>16857.209999999995</v>
      </c>
      <c r="H64" s="130"/>
      <c r="I64" s="127">
        <f>IF(Table314[[#This Row],[CODE]]=1, Table314[ [#This Row],[Account Deposit Amount] ]-Table314[ [#This Row],[Account Withdrawl Amount] ], )</f>
        <v>0</v>
      </c>
      <c r="J64" s="129">
        <f>IF(Table314[[#This Row],[CODE]]=2, Table314[ [#This Row],[Account Deposit Amount] ]-Table314[ [#This Row],[Account Withdrawl Amount] ], )</f>
        <v>0</v>
      </c>
      <c r="K64" s="129">
        <f>IF(Table314[[#This Row],[CODE]]=3, Table314[ [#This Row],[Account Deposit Amount] ]-Table314[ [#This Row],[Account Withdrawl Amount] ], )</f>
        <v>0</v>
      </c>
      <c r="L64" s="128">
        <f>IF(Table314[[#This Row],[CODE]]=4, Table314[ [#This Row],[Account Deposit Amount] ]-Table314[ [#This Row],[Account Withdrawl Amount] ], )</f>
        <v>0</v>
      </c>
      <c r="M64" s="128">
        <f>IF(Table314[[#This Row],[CODE]]=5, Table314[ [#This Row],[Account Deposit Amount] ]-Table314[ [#This Row],[Account Withdrawl Amount] ], )</f>
        <v>0</v>
      </c>
      <c r="N64" s="128">
        <f>IF(Table314[[#This Row],[CODE]]=6, Table314[ [#This Row],[Account Deposit Amount] ]-Table314[ [#This Row],[Account Withdrawl Amount] ], )</f>
        <v>0</v>
      </c>
      <c r="O64" s="128">
        <f>IF(Table314[[#This Row],[CODE]]=11, Table314[ [#This Row],[Account Deposit Amount] ]-Table314[ [#This Row],[Account Withdrawl Amount] ], )</f>
        <v>0</v>
      </c>
      <c r="P64" s="128">
        <f>IF(Table314[[#This Row],[CODE]]=12, Table314[ [#This Row],[Account Deposit Amount] ]-Table314[ [#This Row],[Account Withdrawl Amount] ], )</f>
        <v>0</v>
      </c>
      <c r="Q64" s="128">
        <f>IF(Table314[[#This Row],[CODE]]=13, Table314[ [#This Row],[Account Deposit Amount] ]-Table314[ [#This Row],[Account Withdrawl Amount] ], )</f>
        <v>0</v>
      </c>
      <c r="R64" s="128">
        <f>IF(Table314[[#This Row],[CODE]]=14, Table314[ [#This Row],[Account Deposit Amount] ]-Table314[ [#This Row],[Account Withdrawl Amount] ], )</f>
        <v>0</v>
      </c>
      <c r="S64" s="128">
        <f>IF(Table314[[#This Row],[CODE]]=15, Table314[ [#This Row],[Account Deposit Amount] ]-Table314[ [#This Row],[Account Withdrawl Amount] ], )</f>
        <v>0</v>
      </c>
      <c r="T64" s="128">
        <f>IF(Table314[[#This Row],[CODE]]=16, Table314[ [#This Row],[Account Deposit Amount] ]-Table314[ [#This Row],[Account Withdrawl Amount] ], )</f>
        <v>0</v>
      </c>
      <c r="U64" s="127">
        <f>IF(Table314[[#This Row],[CODE]]=17, Table314[ [#This Row],[Account Deposit Amount] ]-Table314[ [#This Row],[Account Withdrawl Amount] ], )</f>
        <v>0</v>
      </c>
      <c r="V64" s="166">
        <f>IF(Table314[[#This Row],[CODE]]=18, Table314[ [#This Row],[Account Deposit Amount] ]-Table312[ [#This Row],[Account Withdrawl Amount] ], )</f>
        <v>0</v>
      </c>
    </row>
    <row r="65" spans="1:22" ht="16.2" thickBot="1">
      <c r="A65" s="130"/>
      <c r="B65" s="133"/>
      <c r="C65" s="130"/>
      <c r="D65" s="132"/>
      <c r="E65" s="128"/>
      <c r="F65" s="128"/>
      <c r="G65" s="131">
        <f t="shared" si="3"/>
        <v>16857.209999999995</v>
      </c>
      <c r="H65" s="130"/>
      <c r="I65" s="127">
        <f>IF(Table314[[#This Row],[CODE]]=1, Table314[ [#This Row],[Account Deposit Amount] ]-Table314[ [#This Row],[Account Withdrawl Amount] ], )</f>
        <v>0</v>
      </c>
      <c r="J65" s="129">
        <f>IF(Table314[[#This Row],[CODE]]=2, Table314[ [#This Row],[Account Deposit Amount] ]-Table314[ [#This Row],[Account Withdrawl Amount] ], )</f>
        <v>0</v>
      </c>
      <c r="K65" s="129">
        <f>IF(Table314[[#This Row],[CODE]]=3, Table314[ [#This Row],[Account Deposit Amount] ]-Table314[ [#This Row],[Account Withdrawl Amount] ], )</f>
        <v>0</v>
      </c>
      <c r="L65" s="128">
        <f>IF(Table314[[#This Row],[CODE]]=4, Table314[ [#This Row],[Account Deposit Amount] ]-Table314[ [#This Row],[Account Withdrawl Amount] ], )</f>
        <v>0</v>
      </c>
      <c r="M65" s="128">
        <f>IF(Table314[[#This Row],[CODE]]=5, Table314[ [#This Row],[Account Deposit Amount] ]-Table314[ [#This Row],[Account Withdrawl Amount] ], )</f>
        <v>0</v>
      </c>
      <c r="N65" s="128">
        <f>IF(Table314[[#This Row],[CODE]]=6, Table314[ [#This Row],[Account Deposit Amount] ]-Table314[ [#This Row],[Account Withdrawl Amount] ], )</f>
        <v>0</v>
      </c>
      <c r="O65" s="128">
        <f>IF(Table314[[#This Row],[CODE]]=11, Table314[ [#This Row],[Account Deposit Amount] ]-Table314[ [#This Row],[Account Withdrawl Amount] ], )</f>
        <v>0</v>
      </c>
      <c r="P65" s="128">
        <f>IF(Table314[[#This Row],[CODE]]=12, Table314[ [#This Row],[Account Deposit Amount] ]-Table314[ [#This Row],[Account Withdrawl Amount] ], )</f>
        <v>0</v>
      </c>
      <c r="Q65" s="128">
        <f>IF(Table314[[#This Row],[CODE]]=13, Table314[ [#This Row],[Account Deposit Amount] ]-Table314[ [#This Row],[Account Withdrawl Amount] ], )</f>
        <v>0</v>
      </c>
      <c r="R65" s="128">
        <f>IF(Table314[[#This Row],[CODE]]=14, Table314[ [#This Row],[Account Deposit Amount] ]-Table314[ [#This Row],[Account Withdrawl Amount] ], )</f>
        <v>0</v>
      </c>
      <c r="S65" s="128">
        <f>IF(Table314[[#This Row],[CODE]]=15, Table314[ [#This Row],[Account Deposit Amount] ]-Table314[ [#This Row],[Account Withdrawl Amount] ], )</f>
        <v>0</v>
      </c>
      <c r="T65" s="128">
        <f>IF(Table314[[#This Row],[CODE]]=16, Table314[ [#This Row],[Account Deposit Amount] ]-Table314[ [#This Row],[Account Withdrawl Amount] ], )</f>
        <v>0</v>
      </c>
      <c r="U65" s="127">
        <f>IF(Table314[[#This Row],[CODE]]=17, Table314[ [#This Row],[Account Deposit Amount] ]-Table314[ [#This Row],[Account Withdrawl Amount] ], )</f>
        <v>0</v>
      </c>
      <c r="V65" s="166">
        <f>IF(Table314[[#This Row],[CODE]]=18, Table314[ [#This Row],[Account Deposit Amount] ]-Table312[ [#This Row],[Account Withdrawl Amount] ], )</f>
        <v>0</v>
      </c>
    </row>
    <row r="66" spans="1:22" ht="16.2" thickBot="1">
      <c r="A66" s="130"/>
      <c r="B66" s="133"/>
      <c r="C66" s="130"/>
      <c r="D66" s="132"/>
      <c r="E66" s="128"/>
      <c r="F66" s="128"/>
      <c r="G66" s="131">
        <f t="shared" si="3"/>
        <v>16857.209999999995</v>
      </c>
      <c r="H66" s="130"/>
      <c r="I66" s="127">
        <f>IF(Table314[[#This Row],[CODE]]=1, Table314[ [#This Row],[Account Deposit Amount] ]-Table314[ [#This Row],[Account Withdrawl Amount] ], )</f>
        <v>0</v>
      </c>
      <c r="J66" s="129">
        <f>IF(Table314[[#This Row],[CODE]]=2, Table314[ [#This Row],[Account Deposit Amount] ]-Table314[ [#This Row],[Account Withdrawl Amount] ], )</f>
        <v>0</v>
      </c>
      <c r="K66" s="129">
        <f>IF(Table314[[#This Row],[CODE]]=3, Table314[ [#This Row],[Account Deposit Amount] ]-Table314[ [#This Row],[Account Withdrawl Amount] ], )</f>
        <v>0</v>
      </c>
      <c r="L66" s="128">
        <f>IF(Table314[[#This Row],[CODE]]=4, Table314[ [#This Row],[Account Deposit Amount] ]-Table314[ [#This Row],[Account Withdrawl Amount] ], )</f>
        <v>0</v>
      </c>
      <c r="M66" s="128">
        <f>IF(Table314[[#This Row],[CODE]]=5, Table314[ [#This Row],[Account Deposit Amount] ]-Table314[ [#This Row],[Account Withdrawl Amount] ], )</f>
        <v>0</v>
      </c>
      <c r="N66" s="128">
        <f>IF(Table314[[#This Row],[CODE]]=6, Table314[ [#This Row],[Account Deposit Amount] ]-Table314[ [#This Row],[Account Withdrawl Amount] ], )</f>
        <v>0</v>
      </c>
      <c r="O66" s="128">
        <f>IF(Table314[[#This Row],[CODE]]=11, Table314[ [#This Row],[Account Deposit Amount] ]-Table314[ [#This Row],[Account Withdrawl Amount] ], )</f>
        <v>0</v>
      </c>
      <c r="P66" s="128">
        <f>IF(Table314[[#This Row],[CODE]]=12, Table314[ [#This Row],[Account Deposit Amount] ]-Table314[ [#This Row],[Account Withdrawl Amount] ], )</f>
        <v>0</v>
      </c>
      <c r="Q66" s="128">
        <f>IF(Table314[[#This Row],[CODE]]=13, Table314[ [#This Row],[Account Deposit Amount] ]-Table314[ [#This Row],[Account Withdrawl Amount] ], )</f>
        <v>0</v>
      </c>
      <c r="R66" s="128">
        <f>IF(Table314[[#This Row],[CODE]]=14, Table314[ [#This Row],[Account Deposit Amount] ]-Table314[ [#This Row],[Account Withdrawl Amount] ], )</f>
        <v>0</v>
      </c>
      <c r="S66" s="128">
        <f>IF(Table314[[#This Row],[CODE]]=15, Table314[ [#This Row],[Account Deposit Amount] ]-Table314[ [#This Row],[Account Withdrawl Amount] ], )</f>
        <v>0</v>
      </c>
      <c r="T66" s="128">
        <f>IF(Table314[[#This Row],[CODE]]=16, Table314[ [#This Row],[Account Deposit Amount] ]-Table314[ [#This Row],[Account Withdrawl Amount] ], )</f>
        <v>0</v>
      </c>
      <c r="U66" s="127">
        <f>IF(Table314[[#This Row],[CODE]]=17, Table314[ [#This Row],[Account Deposit Amount] ]-Table314[ [#This Row],[Account Withdrawl Amount] ], )</f>
        <v>0</v>
      </c>
      <c r="V66" s="166">
        <f>IF(Table314[[#This Row],[CODE]]=18, Table314[ [#This Row],[Account Deposit Amount] ]-Table312[ [#This Row],[Account Withdrawl Amount] ], )</f>
        <v>0</v>
      </c>
    </row>
    <row r="67" spans="1:22" ht="16.2" thickBot="1">
      <c r="A67" s="130"/>
      <c r="B67" s="133"/>
      <c r="C67" s="130"/>
      <c r="D67" s="132"/>
      <c r="E67" s="128"/>
      <c r="F67" s="128"/>
      <c r="G67" s="131">
        <f t="shared" si="3"/>
        <v>16857.209999999995</v>
      </c>
      <c r="H67" s="130"/>
      <c r="I67" s="127">
        <f>IF(Table314[[#This Row],[CODE]]=1, Table314[ [#This Row],[Account Deposit Amount] ]-Table314[ [#This Row],[Account Withdrawl Amount] ], )</f>
        <v>0</v>
      </c>
      <c r="J67" s="129">
        <f>IF(Table314[[#This Row],[CODE]]=2, Table314[ [#This Row],[Account Deposit Amount] ]-Table314[ [#This Row],[Account Withdrawl Amount] ], )</f>
        <v>0</v>
      </c>
      <c r="K67" s="129">
        <f>IF(Table314[[#This Row],[CODE]]=3, Table314[ [#This Row],[Account Deposit Amount] ]-Table314[ [#This Row],[Account Withdrawl Amount] ], )</f>
        <v>0</v>
      </c>
      <c r="L67" s="128">
        <f>IF(Table314[[#This Row],[CODE]]=4, Table314[ [#This Row],[Account Deposit Amount] ]-Table314[ [#This Row],[Account Withdrawl Amount] ], )</f>
        <v>0</v>
      </c>
      <c r="M67" s="128">
        <f>IF(Table314[[#This Row],[CODE]]=5, Table314[ [#This Row],[Account Deposit Amount] ]-Table314[ [#This Row],[Account Withdrawl Amount] ], )</f>
        <v>0</v>
      </c>
      <c r="N67" s="128">
        <f>IF(Table314[[#This Row],[CODE]]=6, Table314[ [#This Row],[Account Deposit Amount] ]-Table314[ [#This Row],[Account Withdrawl Amount] ], )</f>
        <v>0</v>
      </c>
      <c r="O67" s="128">
        <f>IF(Table314[[#This Row],[CODE]]=11, Table314[ [#This Row],[Account Deposit Amount] ]-Table314[ [#This Row],[Account Withdrawl Amount] ], )</f>
        <v>0</v>
      </c>
      <c r="P67" s="128">
        <f>IF(Table314[[#This Row],[CODE]]=12, Table314[ [#This Row],[Account Deposit Amount] ]-Table314[ [#This Row],[Account Withdrawl Amount] ], )</f>
        <v>0</v>
      </c>
      <c r="Q67" s="128">
        <f>IF(Table314[[#This Row],[CODE]]=13, Table314[ [#This Row],[Account Deposit Amount] ]-Table314[ [#This Row],[Account Withdrawl Amount] ], )</f>
        <v>0</v>
      </c>
      <c r="R67" s="128">
        <f>IF(Table314[[#This Row],[CODE]]=14, Table314[ [#This Row],[Account Deposit Amount] ]-Table314[ [#This Row],[Account Withdrawl Amount] ], )</f>
        <v>0</v>
      </c>
      <c r="S67" s="128">
        <f>IF(Table314[[#This Row],[CODE]]=15, Table314[ [#This Row],[Account Deposit Amount] ]-Table314[ [#This Row],[Account Withdrawl Amount] ], )</f>
        <v>0</v>
      </c>
      <c r="T67" s="128">
        <f>IF(Table314[[#This Row],[CODE]]=16, Table314[ [#This Row],[Account Deposit Amount] ]-Table314[ [#This Row],[Account Withdrawl Amount] ], )</f>
        <v>0</v>
      </c>
      <c r="U67" s="127">
        <f>IF(Table314[[#This Row],[CODE]]=17, Table314[ [#This Row],[Account Deposit Amount] ]-Table314[ [#This Row],[Account Withdrawl Amount] ], )</f>
        <v>0</v>
      </c>
      <c r="V67" s="166">
        <f>IF(Table314[[#This Row],[CODE]]=18, Table314[ [#This Row],[Account Deposit Amount] ]-Table312[ [#This Row],[Account Withdrawl Amount] ], )</f>
        <v>0</v>
      </c>
    </row>
    <row r="68" spans="1:22" ht="16.2" thickBot="1">
      <c r="A68" s="130"/>
      <c r="B68" s="133"/>
      <c r="C68" s="130"/>
      <c r="D68" s="132"/>
      <c r="E68" s="128"/>
      <c r="F68" s="128"/>
      <c r="G68" s="131">
        <f t="shared" si="3"/>
        <v>16857.209999999995</v>
      </c>
      <c r="H68" s="130"/>
      <c r="I68" s="127">
        <f>IF(Table314[[#This Row],[CODE]]=1, Table314[ [#This Row],[Account Deposit Amount] ]-Table314[ [#This Row],[Account Withdrawl Amount] ], )</f>
        <v>0</v>
      </c>
      <c r="J68" s="129">
        <f>IF(Table314[[#This Row],[CODE]]=2, Table314[ [#This Row],[Account Deposit Amount] ]-Table314[ [#This Row],[Account Withdrawl Amount] ], )</f>
        <v>0</v>
      </c>
      <c r="K68" s="129">
        <f>IF(Table314[[#This Row],[CODE]]=3, Table314[ [#This Row],[Account Deposit Amount] ]-Table314[ [#This Row],[Account Withdrawl Amount] ], )</f>
        <v>0</v>
      </c>
      <c r="L68" s="128">
        <f>IF(Table314[[#This Row],[CODE]]=4, Table314[ [#This Row],[Account Deposit Amount] ]-Table314[ [#This Row],[Account Withdrawl Amount] ], )</f>
        <v>0</v>
      </c>
      <c r="M68" s="128">
        <f>IF(Table314[[#This Row],[CODE]]=5, Table314[ [#This Row],[Account Deposit Amount] ]-Table314[ [#This Row],[Account Withdrawl Amount] ], )</f>
        <v>0</v>
      </c>
      <c r="N68" s="128">
        <f>IF(Table314[[#This Row],[CODE]]=6, Table314[ [#This Row],[Account Deposit Amount] ]-Table314[ [#This Row],[Account Withdrawl Amount] ], )</f>
        <v>0</v>
      </c>
      <c r="O68" s="128">
        <f>IF(Table314[[#This Row],[CODE]]=11, Table314[ [#This Row],[Account Deposit Amount] ]-Table314[ [#This Row],[Account Withdrawl Amount] ], )</f>
        <v>0</v>
      </c>
      <c r="P68" s="128">
        <f>IF(Table314[[#This Row],[CODE]]=12, Table314[ [#This Row],[Account Deposit Amount] ]-Table314[ [#This Row],[Account Withdrawl Amount] ], )</f>
        <v>0</v>
      </c>
      <c r="Q68" s="128">
        <f>IF(Table314[[#This Row],[CODE]]=13, Table314[ [#This Row],[Account Deposit Amount] ]-Table314[ [#This Row],[Account Withdrawl Amount] ], )</f>
        <v>0</v>
      </c>
      <c r="R68" s="128">
        <f>IF(Table314[[#This Row],[CODE]]=14, Table314[ [#This Row],[Account Deposit Amount] ]-Table314[ [#This Row],[Account Withdrawl Amount] ], )</f>
        <v>0</v>
      </c>
      <c r="S68" s="128">
        <f>IF(Table314[[#This Row],[CODE]]=15, Table314[ [#This Row],[Account Deposit Amount] ]-Table314[ [#This Row],[Account Withdrawl Amount] ], )</f>
        <v>0</v>
      </c>
      <c r="T68" s="128">
        <f>IF(Table314[[#This Row],[CODE]]=16, Table314[ [#This Row],[Account Deposit Amount] ]-Table314[ [#This Row],[Account Withdrawl Amount] ], )</f>
        <v>0</v>
      </c>
      <c r="U68" s="127">
        <f>IF(Table314[[#This Row],[CODE]]=17, Table314[ [#This Row],[Account Deposit Amount] ]-Table314[ [#This Row],[Account Withdrawl Amount] ], )</f>
        <v>0</v>
      </c>
      <c r="V68" s="166">
        <f>IF(Table314[[#This Row],[CODE]]=18, Table314[ [#This Row],[Account Deposit Amount] ]-Table312[ [#This Row],[Account Withdrawl Amount] ], )</f>
        <v>0</v>
      </c>
    </row>
    <row r="69" spans="1:22" ht="16.2" thickBot="1">
      <c r="A69" s="130"/>
      <c r="B69" s="133"/>
      <c r="C69" s="130"/>
      <c r="D69" s="132"/>
      <c r="E69" s="128"/>
      <c r="F69" s="128"/>
      <c r="G69" s="131">
        <f t="shared" ref="G69:G100" si="4">G68+E69-F69</f>
        <v>16857.209999999995</v>
      </c>
      <c r="H69" s="130"/>
      <c r="I69" s="127">
        <f>IF(Table314[[#This Row],[CODE]]=1, Table314[ [#This Row],[Account Deposit Amount] ]-Table314[ [#This Row],[Account Withdrawl Amount] ], )</f>
        <v>0</v>
      </c>
      <c r="J69" s="129">
        <f>IF(Table314[[#This Row],[CODE]]=2, Table314[ [#This Row],[Account Deposit Amount] ]-Table314[ [#This Row],[Account Withdrawl Amount] ], )</f>
        <v>0</v>
      </c>
      <c r="K69" s="129">
        <f>IF(Table314[[#This Row],[CODE]]=3, Table314[ [#This Row],[Account Deposit Amount] ]-Table314[ [#This Row],[Account Withdrawl Amount] ], )</f>
        <v>0</v>
      </c>
      <c r="L69" s="128">
        <f>IF(Table314[[#This Row],[CODE]]=4, Table314[ [#This Row],[Account Deposit Amount] ]-Table314[ [#This Row],[Account Withdrawl Amount] ], )</f>
        <v>0</v>
      </c>
      <c r="M69" s="128">
        <f>IF(Table314[[#This Row],[CODE]]=5, Table314[ [#This Row],[Account Deposit Amount] ]-Table314[ [#This Row],[Account Withdrawl Amount] ], )</f>
        <v>0</v>
      </c>
      <c r="N69" s="128">
        <f>IF(Table314[[#This Row],[CODE]]=6, Table314[ [#This Row],[Account Deposit Amount] ]-Table314[ [#This Row],[Account Withdrawl Amount] ], )</f>
        <v>0</v>
      </c>
      <c r="O69" s="128">
        <f>IF(Table314[[#This Row],[CODE]]=11, Table314[ [#This Row],[Account Deposit Amount] ]-Table314[ [#This Row],[Account Withdrawl Amount] ], )</f>
        <v>0</v>
      </c>
      <c r="P69" s="128">
        <f>IF(Table314[[#This Row],[CODE]]=12, Table314[ [#This Row],[Account Deposit Amount] ]-Table314[ [#This Row],[Account Withdrawl Amount] ], )</f>
        <v>0</v>
      </c>
      <c r="Q69" s="128">
        <f>IF(Table314[[#This Row],[CODE]]=13, Table314[ [#This Row],[Account Deposit Amount] ]-Table314[ [#This Row],[Account Withdrawl Amount] ], )</f>
        <v>0</v>
      </c>
      <c r="R69" s="128">
        <f>IF(Table314[[#This Row],[CODE]]=14, Table314[ [#This Row],[Account Deposit Amount] ]-Table314[ [#This Row],[Account Withdrawl Amount] ], )</f>
        <v>0</v>
      </c>
      <c r="S69" s="128">
        <f>IF(Table314[[#This Row],[CODE]]=15, Table314[ [#This Row],[Account Deposit Amount] ]-Table314[ [#This Row],[Account Withdrawl Amount] ], )</f>
        <v>0</v>
      </c>
      <c r="T69" s="128">
        <f>IF(Table314[[#This Row],[CODE]]=16, Table314[ [#This Row],[Account Deposit Amount] ]-Table314[ [#This Row],[Account Withdrawl Amount] ], )</f>
        <v>0</v>
      </c>
      <c r="U69" s="127">
        <f>IF(Table314[[#This Row],[CODE]]=17, Table314[ [#This Row],[Account Deposit Amount] ]-Table314[ [#This Row],[Account Withdrawl Amount] ], )</f>
        <v>0</v>
      </c>
      <c r="V69" s="166">
        <f>IF(Table314[[#This Row],[CODE]]=18, Table314[ [#This Row],[Account Deposit Amount] ]-Table312[ [#This Row],[Account Withdrawl Amount] ], )</f>
        <v>0</v>
      </c>
    </row>
    <row r="70" spans="1:22" ht="16.2" thickBot="1">
      <c r="A70" s="130"/>
      <c r="B70" s="133"/>
      <c r="C70" s="130"/>
      <c r="D70" s="132"/>
      <c r="E70" s="128"/>
      <c r="F70" s="128"/>
      <c r="G70" s="131">
        <f t="shared" si="4"/>
        <v>16857.209999999995</v>
      </c>
      <c r="H70" s="130"/>
      <c r="I70" s="127">
        <f>IF(Table314[[#This Row],[CODE]]=1, Table314[ [#This Row],[Account Deposit Amount] ]-Table314[ [#This Row],[Account Withdrawl Amount] ], )</f>
        <v>0</v>
      </c>
      <c r="J70" s="129">
        <f>IF(Table314[[#This Row],[CODE]]=2, Table314[ [#This Row],[Account Deposit Amount] ]-Table314[ [#This Row],[Account Withdrawl Amount] ], )</f>
        <v>0</v>
      </c>
      <c r="K70" s="129">
        <f>IF(Table314[[#This Row],[CODE]]=3, Table314[ [#This Row],[Account Deposit Amount] ]-Table314[ [#This Row],[Account Withdrawl Amount] ], )</f>
        <v>0</v>
      </c>
      <c r="L70" s="128">
        <f>IF(Table314[[#This Row],[CODE]]=4, Table314[ [#This Row],[Account Deposit Amount] ]-Table314[ [#This Row],[Account Withdrawl Amount] ], )</f>
        <v>0</v>
      </c>
      <c r="M70" s="128">
        <f>IF(Table314[[#This Row],[CODE]]=5, Table314[ [#This Row],[Account Deposit Amount] ]-Table314[ [#This Row],[Account Withdrawl Amount] ], )</f>
        <v>0</v>
      </c>
      <c r="N70" s="128">
        <f>IF(Table314[[#This Row],[CODE]]=6, Table314[ [#This Row],[Account Deposit Amount] ]-Table314[ [#This Row],[Account Withdrawl Amount] ], )</f>
        <v>0</v>
      </c>
      <c r="O70" s="128">
        <f>IF(Table314[[#This Row],[CODE]]=11, Table314[ [#This Row],[Account Deposit Amount] ]-Table314[ [#This Row],[Account Withdrawl Amount] ], )</f>
        <v>0</v>
      </c>
      <c r="P70" s="128">
        <f>IF(Table314[[#This Row],[CODE]]=12, Table314[ [#This Row],[Account Deposit Amount] ]-Table314[ [#This Row],[Account Withdrawl Amount] ], )</f>
        <v>0</v>
      </c>
      <c r="Q70" s="128">
        <f>IF(Table314[[#This Row],[CODE]]=13, Table314[ [#This Row],[Account Deposit Amount] ]-Table314[ [#This Row],[Account Withdrawl Amount] ], )</f>
        <v>0</v>
      </c>
      <c r="R70" s="128">
        <f>IF(Table314[[#This Row],[CODE]]=14, Table314[ [#This Row],[Account Deposit Amount] ]-Table314[ [#This Row],[Account Withdrawl Amount] ], )</f>
        <v>0</v>
      </c>
      <c r="S70" s="128">
        <f>IF(Table314[[#This Row],[CODE]]=15, Table314[ [#This Row],[Account Deposit Amount] ]-Table314[ [#This Row],[Account Withdrawl Amount] ], )</f>
        <v>0</v>
      </c>
      <c r="T70" s="128">
        <f>IF(Table314[[#This Row],[CODE]]=16, Table314[ [#This Row],[Account Deposit Amount] ]-Table314[ [#This Row],[Account Withdrawl Amount] ], )</f>
        <v>0</v>
      </c>
      <c r="U70" s="127">
        <f>IF(Table314[[#This Row],[CODE]]=17, Table314[ [#This Row],[Account Deposit Amount] ]-Table314[ [#This Row],[Account Withdrawl Amount] ], )</f>
        <v>0</v>
      </c>
      <c r="V70" s="166">
        <f>IF(Table314[[#This Row],[CODE]]=18, Table314[ [#This Row],[Account Deposit Amount] ]-Table312[ [#This Row],[Account Withdrawl Amount] ], )</f>
        <v>0</v>
      </c>
    </row>
    <row r="71" spans="1:22" ht="16.2" thickBot="1">
      <c r="A71" s="130"/>
      <c r="B71" s="133"/>
      <c r="C71" s="130"/>
      <c r="D71" s="132"/>
      <c r="E71" s="128"/>
      <c r="F71" s="128"/>
      <c r="G71" s="131">
        <f t="shared" si="4"/>
        <v>16857.209999999995</v>
      </c>
      <c r="H71" s="130"/>
      <c r="I71" s="127">
        <f>IF(Table314[[#This Row],[CODE]]=1, Table314[ [#This Row],[Account Deposit Amount] ]-Table314[ [#This Row],[Account Withdrawl Amount] ], )</f>
        <v>0</v>
      </c>
      <c r="J71" s="129">
        <f>IF(Table314[[#This Row],[CODE]]=2, Table314[ [#This Row],[Account Deposit Amount] ]-Table314[ [#This Row],[Account Withdrawl Amount] ], )</f>
        <v>0</v>
      </c>
      <c r="K71" s="129">
        <f>IF(Table314[[#This Row],[CODE]]=3, Table314[ [#This Row],[Account Deposit Amount] ]-Table314[ [#This Row],[Account Withdrawl Amount] ], )</f>
        <v>0</v>
      </c>
      <c r="L71" s="128">
        <f>IF(Table314[[#This Row],[CODE]]=4, Table314[ [#This Row],[Account Deposit Amount] ]-Table314[ [#This Row],[Account Withdrawl Amount] ], )</f>
        <v>0</v>
      </c>
      <c r="M71" s="128">
        <f>IF(Table314[[#This Row],[CODE]]=5, Table314[ [#This Row],[Account Deposit Amount] ]-Table314[ [#This Row],[Account Withdrawl Amount] ], )</f>
        <v>0</v>
      </c>
      <c r="N71" s="128">
        <f>IF(Table314[[#This Row],[CODE]]=6, Table314[ [#This Row],[Account Deposit Amount] ]-Table314[ [#This Row],[Account Withdrawl Amount] ], )</f>
        <v>0</v>
      </c>
      <c r="O71" s="128">
        <f>IF(Table314[[#This Row],[CODE]]=11, Table314[ [#This Row],[Account Deposit Amount] ]-Table314[ [#This Row],[Account Withdrawl Amount] ], )</f>
        <v>0</v>
      </c>
      <c r="P71" s="128">
        <f>IF(Table314[[#This Row],[CODE]]=12, Table314[ [#This Row],[Account Deposit Amount] ]-Table314[ [#This Row],[Account Withdrawl Amount] ], )</f>
        <v>0</v>
      </c>
      <c r="Q71" s="128">
        <f>IF(Table314[[#This Row],[CODE]]=13, Table314[ [#This Row],[Account Deposit Amount] ]-Table314[ [#This Row],[Account Withdrawl Amount] ], )</f>
        <v>0</v>
      </c>
      <c r="R71" s="128">
        <f>IF(Table314[[#This Row],[CODE]]=14, Table314[ [#This Row],[Account Deposit Amount] ]-Table314[ [#This Row],[Account Withdrawl Amount] ], )</f>
        <v>0</v>
      </c>
      <c r="S71" s="128">
        <f>IF(Table314[[#This Row],[CODE]]=15, Table314[ [#This Row],[Account Deposit Amount] ]-Table314[ [#This Row],[Account Withdrawl Amount] ], )</f>
        <v>0</v>
      </c>
      <c r="T71" s="128">
        <f>IF(Table314[[#This Row],[CODE]]=16, Table314[ [#This Row],[Account Deposit Amount] ]-Table314[ [#This Row],[Account Withdrawl Amount] ], )</f>
        <v>0</v>
      </c>
      <c r="U71" s="127">
        <f>IF(Table314[[#This Row],[CODE]]=17, Table314[ [#This Row],[Account Deposit Amount] ]-Table314[ [#This Row],[Account Withdrawl Amount] ], )</f>
        <v>0</v>
      </c>
      <c r="V71" s="166">
        <f>IF(Table314[[#This Row],[CODE]]=18, Table314[ [#This Row],[Account Deposit Amount] ]-Table312[ [#This Row],[Account Withdrawl Amount] ], )</f>
        <v>0</v>
      </c>
    </row>
    <row r="72" spans="1:22" ht="16.2" thickBot="1">
      <c r="A72" s="130"/>
      <c r="B72" s="133"/>
      <c r="C72" s="130"/>
      <c r="D72" s="132"/>
      <c r="E72" s="128"/>
      <c r="F72" s="128"/>
      <c r="G72" s="131">
        <f t="shared" si="4"/>
        <v>16857.209999999995</v>
      </c>
      <c r="H72" s="130"/>
      <c r="I72" s="127">
        <f>IF(Table314[[#This Row],[CODE]]=1, Table314[ [#This Row],[Account Deposit Amount] ]-Table314[ [#This Row],[Account Withdrawl Amount] ], )</f>
        <v>0</v>
      </c>
      <c r="J72" s="129">
        <f>IF(Table314[[#This Row],[CODE]]=2, Table314[ [#This Row],[Account Deposit Amount] ]-Table314[ [#This Row],[Account Withdrawl Amount] ], )</f>
        <v>0</v>
      </c>
      <c r="K72" s="129">
        <f>IF(Table314[[#This Row],[CODE]]=3, Table314[ [#This Row],[Account Deposit Amount] ]-Table314[ [#This Row],[Account Withdrawl Amount] ], )</f>
        <v>0</v>
      </c>
      <c r="L72" s="128">
        <f>IF(Table314[[#This Row],[CODE]]=4, Table314[ [#This Row],[Account Deposit Amount] ]-Table314[ [#This Row],[Account Withdrawl Amount] ], )</f>
        <v>0</v>
      </c>
      <c r="M72" s="128">
        <f>IF(Table314[[#This Row],[CODE]]=5, Table314[ [#This Row],[Account Deposit Amount] ]-Table314[ [#This Row],[Account Withdrawl Amount] ], )</f>
        <v>0</v>
      </c>
      <c r="N72" s="128">
        <f>IF(Table314[[#This Row],[CODE]]=6, Table314[ [#This Row],[Account Deposit Amount] ]-Table314[ [#This Row],[Account Withdrawl Amount] ], )</f>
        <v>0</v>
      </c>
      <c r="O72" s="128">
        <f>IF(Table314[[#This Row],[CODE]]=11, Table314[ [#This Row],[Account Deposit Amount] ]-Table314[ [#This Row],[Account Withdrawl Amount] ], )</f>
        <v>0</v>
      </c>
      <c r="P72" s="128">
        <f>IF(Table314[[#This Row],[CODE]]=12, Table314[ [#This Row],[Account Deposit Amount] ]-Table314[ [#This Row],[Account Withdrawl Amount] ], )</f>
        <v>0</v>
      </c>
      <c r="Q72" s="128">
        <f>IF(Table314[[#This Row],[CODE]]=13, Table314[ [#This Row],[Account Deposit Amount] ]-Table314[ [#This Row],[Account Withdrawl Amount] ], )</f>
        <v>0</v>
      </c>
      <c r="R72" s="128">
        <f>IF(Table314[[#This Row],[CODE]]=14, Table314[ [#This Row],[Account Deposit Amount] ]-Table314[ [#This Row],[Account Withdrawl Amount] ], )</f>
        <v>0</v>
      </c>
      <c r="S72" s="128">
        <f>IF(Table314[[#This Row],[CODE]]=15, Table314[ [#This Row],[Account Deposit Amount] ]-Table314[ [#This Row],[Account Withdrawl Amount] ], )</f>
        <v>0</v>
      </c>
      <c r="T72" s="128">
        <f>IF(Table314[[#This Row],[CODE]]=16, Table314[ [#This Row],[Account Deposit Amount] ]-Table314[ [#This Row],[Account Withdrawl Amount] ], )</f>
        <v>0</v>
      </c>
      <c r="U72" s="127">
        <f>IF(Table314[[#This Row],[CODE]]=17, Table314[ [#This Row],[Account Deposit Amount] ]-Table314[ [#This Row],[Account Withdrawl Amount] ], )</f>
        <v>0</v>
      </c>
      <c r="V72" s="166">
        <f>IF(Table314[[#This Row],[CODE]]=18, Table314[ [#This Row],[Account Deposit Amount] ]-Table312[ [#This Row],[Account Withdrawl Amount] ], )</f>
        <v>0</v>
      </c>
    </row>
    <row r="73" spans="1:22" ht="16.2" thickBot="1">
      <c r="A73" s="130"/>
      <c r="B73" s="133"/>
      <c r="C73" s="130"/>
      <c r="D73" s="132"/>
      <c r="E73" s="128"/>
      <c r="F73" s="128"/>
      <c r="G73" s="131">
        <f t="shared" si="4"/>
        <v>16857.209999999995</v>
      </c>
      <c r="H73" s="130"/>
      <c r="I73" s="127">
        <f>IF(Table314[[#This Row],[CODE]]=1, Table314[ [#This Row],[Account Deposit Amount] ]-Table314[ [#This Row],[Account Withdrawl Amount] ], )</f>
        <v>0</v>
      </c>
      <c r="J73" s="129">
        <f>IF(Table314[[#This Row],[CODE]]=2, Table314[ [#This Row],[Account Deposit Amount] ]-Table314[ [#This Row],[Account Withdrawl Amount] ], )</f>
        <v>0</v>
      </c>
      <c r="K73" s="129">
        <f>IF(Table314[[#This Row],[CODE]]=3, Table314[ [#This Row],[Account Deposit Amount] ]-Table314[ [#This Row],[Account Withdrawl Amount] ], )</f>
        <v>0</v>
      </c>
      <c r="L73" s="128">
        <f>IF(Table314[[#This Row],[CODE]]=4, Table314[ [#This Row],[Account Deposit Amount] ]-Table314[ [#This Row],[Account Withdrawl Amount] ], )</f>
        <v>0</v>
      </c>
      <c r="M73" s="128">
        <f>IF(Table314[[#This Row],[CODE]]=5, Table314[ [#This Row],[Account Deposit Amount] ]-Table314[ [#This Row],[Account Withdrawl Amount] ], )</f>
        <v>0</v>
      </c>
      <c r="N73" s="128">
        <f>IF(Table314[[#This Row],[CODE]]=6, Table314[ [#This Row],[Account Deposit Amount] ]-Table314[ [#This Row],[Account Withdrawl Amount] ], )</f>
        <v>0</v>
      </c>
      <c r="O73" s="128">
        <f>IF(Table314[[#This Row],[CODE]]=11, Table314[ [#This Row],[Account Deposit Amount] ]-Table314[ [#This Row],[Account Withdrawl Amount] ], )</f>
        <v>0</v>
      </c>
      <c r="P73" s="128">
        <f>IF(Table314[[#This Row],[CODE]]=12, Table314[ [#This Row],[Account Deposit Amount] ]-Table314[ [#This Row],[Account Withdrawl Amount] ], )</f>
        <v>0</v>
      </c>
      <c r="Q73" s="128">
        <f>IF(Table314[[#This Row],[CODE]]=13, Table314[ [#This Row],[Account Deposit Amount] ]-Table314[ [#This Row],[Account Withdrawl Amount] ], )</f>
        <v>0</v>
      </c>
      <c r="R73" s="128">
        <f>IF(Table314[[#This Row],[CODE]]=14, Table314[ [#This Row],[Account Deposit Amount] ]-Table314[ [#This Row],[Account Withdrawl Amount] ], )</f>
        <v>0</v>
      </c>
      <c r="S73" s="128">
        <f>IF(Table314[[#This Row],[CODE]]=15, Table314[ [#This Row],[Account Deposit Amount] ]-Table314[ [#This Row],[Account Withdrawl Amount] ], )</f>
        <v>0</v>
      </c>
      <c r="T73" s="128">
        <f>IF(Table314[[#This Row],[CODE]]=16, Table314[ [#This Row],[Account Deposit Amount] ]-Table314[ [#This Row],[Account Withdrawl Amount] ], )</f>
        <v>0</v>
      </c>
      <c r="U73" s="127">
        <f>IF(Table314[[#This Row],[CODE]]=17, Table314[ [#This Row],[Account Deposit Amount] ]-Table314[ [#This Row],[Account Withdrawl Amount] ], )</f>
        <v>0</v>
      </c>
      <c r="V73" s="166">
        <f>IF(Table314[[#This Row],[CODE]]=18, Table314[ [#This Row],[Account Deposit Amount] ]-Table312[ [#This Row],[Account Withdrawl Amount] ], )</f>
        <v>0</v>
      </c>
    </row>
    <row r="74" spans="1:22" ht="16.2" thickBot="1">
      <c r="A74" s="130"/>
      <c r="B74" s="133"/>
      <c r="C74" s="130"/>
      <c r="D74" s="132"/>
      <c r="E74" s="128"/>
      <c r="F74" s="128"/>
      <c r="G74" s="131">
        <f t="shared" si="4"/>
        <v>16857.209999999995</v>
      </c>
      <c r="H74" s="130"/>
      <c r="I74" s="127">
        <f>IF(Table314[[#This Row],[CODE]]=1, Table314[ [#This Row],[Account Deposit Amount] ]-Table314[ [#This Row],[Account Withdrawl Amount] ], )</f>
        <v>0</v>
      </c>
      <c r="J74" s="129">
        <f>IF(Table314[[#This Row],[CODE]]=2, Table314[ [#This Row],[Account Deposit Amount] ]-Table314[ [#This Row],[Account Withdrawl Amount] ], )</f>
        <v>0</v>
      </c>
      <c r="K74" s="129">
        <f>IF(Table314[[#This Row],[CODE]]=3, Table314[ [#This Row],[Account Deposit Amount] ]-Table314[ [#This Row],[Account Withdrawl Amount] ], )</f>
        <v>0</v>
      </c>
      <c r="L74" s="128">
        <f>IF(Table314[[#This Row],[CODE]]=4, Table314[ [#This Row],[Account Deposit Amount] ]-Table314[ [#This Row],[Account Withdrawl Amount] ], )</f>
        <v>0</v>
      </c>
      <c r="M74" s="128">
        <f>IF(Table314[[#This Row],[CODE]]=5, Table314[ [#This Row],[Account Deposit Amount] ]-Table314[ [#This Row],[Account Withdrawl Amount] ], )</f>
        <v>0</v>
      </c>
      <c r="N74" s="128">
        <f>IF(Table314[[#This Row],[CODE]]=6, Table314[ [#This Row],[Account Deposit Amount] ]-Table314[ [#This Row],[Account Withdrawl Amount] ], )</f>
        <v>0</v>
      </c>
      <c r="O74" s="128">
        <f>IF(Table314[[#This Row],[CODE]]=11, Table314[ [#This Row],[Account Deposit Amount] ]-Table314[ [#This Row],[Account Withdrawl Amount] ], )</f>
        <v>0</v>
      </c>
      <c r="P74" s="128">
        <f>IF(Table314[[#This Row],[CODE]]=12, Table314[ [#This Row],[Account Deposit Amount] ]-Table314[ [#This Row],[Account Withdrawl Amount] ], )</f>
        <v>0</v>
      </c>
      <c r="Q74" s="128">
        <f>IF(Table314[[#This Row],[CODE]]=13, Table314[ [#This Row],[Account Deposit Amount] ]-Table314[ [#This Row],[Account Withdrawl Amount] ], )</f>
        <v>0</v>
      </c>
      <c r="R74" s="128">
        <f>IF(Table314[[#This Row],[CODE]]=14, Table314[ [#This Row],[Account Deposit Amount] ]-Table314[ [#This Row],[Account Withdrawl Amount] ], )</f>
        <v>0</v>
      </c>
      <c r="S74" s="128">
        <f>IF(Table314[[#This Row],[CODE]]=15, Table314[ [#This Row],[Account Deposit Amount] ]-Table314[ [#This Row],[Account Withdrawl Amount] ], )</f>
        <v>0</v>
      </c>
      <c r="T74" s="128">
        <f>IF(Table314[[#This Row],[CODE]]=16, Table314[ [#This Row],[Account Deposit Amount] ]-Table314[ [#This Row],[Account Withdrawl Amount] ], )</f>
        <v>0</v>
      </c>
      <c r="U74" s="127">
        <f>IF(Table314[[#This Row],[CODE]]=17, Table314[ [#This Row],[Account Deposit Amount] ]-Table314[ [#This Row],[Account Withdrawl Amount] ], )</f>
        <v>0</v>
      </c>
      <c r="V74" s="166">
        <f>IF(Table314[[#This Row],[CODE]]=18, Table314[ [#This Row],[Account Deposit Amount] ]-Table312[ [#This Row],[Account Withdrawl Amount] ], )</f>
        <v>0</v>
      </c>
    </row>
    <row r="75" spans="1:22" ht="16.2" thickBot="1">
      <c r="A75" s="130"/>
      <c r="B75" s="133"/>
      <c r="C75" s="130"/>
      <c r="D75" s="132"/>
      <c r="E75" s="128"/>
      <c r="F75" s="128"/>
      <c r="G75" s="131">
        <f t="shared" si="4"/>
        <v>16857.209999999995</v>
      </c>
      <c r="H75" s="130"/>
      <c r="I75" s="127">
        <f>IF(Table314[[#This Row],[CODE]]=1, Table314[ [#This Row],[Account Deposit Amount] ]-Table314[ [#This Row],[Account Withdrawl Amount] ], )</f>
        <v>0</v>
      </c>
      <c r="J75" s="129">
        <f>IF(Table314[[#This Row],[CODE]]=2, Table314[ [#This Row],[Account Deposit Amount] ]-Table314[ [#This Row],[Account Withdrawl Amount] ], )</f>
        <v>0</v>
      </c>
      <c r="K75" s="129">
        <f>IF(Table314[[#This Row],[CODE]]=3, Table314[ [#This Row],[Account Deposit Amount] ]-Table314[ [#This Row],[Account Withdrawl Amount] ], )</f>
        <v>0</v>
      </c>
      <c r="L75" s="128">
        <f>IF(Table314[[#This Row],[CODE]]=4, Table314[ [#This Row],[Account Deposit Amount] ]-Table314[ [#This Row],[Account Withdrawl Amount] ], )</f>
        <v>0</v>
      </c>
      <c r="M75" s="128">
        <f>IF(Table314[[#This Row],[CODE]]=5, Table314[ [#This Row],[Account Deposit Amount] ]-Table314[ [#This Row],[Account Withdrawl Amount] ], )</f>
        <v>0</v>
      </c>
      <c r="N75" s="128">
        <f>IF(Table314[[#This Row],[CODE]]=6, Table314[ [#This Row],[Account Deposit Amount] ]-Table314[ [#This Row],[Account Withdrawl Amount] ], )</f>
        <v>0</v>
      </c>
      <c r="O75" s="128">
        <f>IF(Table314[[#This Row],[CODE]]=11, Table314[ [#This Row],[Account Deposit Amount] ]-Table314[ [#This Row],[Account Withdrawl Amount] ], )</f>
        <v>0</v>
      </c>
      <c r="P75" s="128">
        <f>IF(Table314[[#This Row],[CODE]]=12, Table314[ [#This Row],[Account Deposit Amount] ]-Table314[ [#This Row],[Account Withdrawl Amount] ], )</f>
        <v>0</v>
      </c>
      <c r="Q75" s="128">
        <f>IF(Table314[[#This Row],[CODE]]=13, Table314[ [#This Row],[Account Deposit Amount] ]-Table314[ [#This Row],[Account Withdrawl Amount] ], )</f>
        <v>0</v>
      </c>
      <c r="R75" s="128">
        <f>IF(Table314[[#This Row],[CODE]]=14, Table314[ [#This Row],[Account Deposit Amount] ]-Table314[ [#This Row],[Account Withdrawl Amount] ], )</f>
        <v>0</v>
      </c>
      <c r="S75" s="128">
        <f>IF(Table314[[#This Row],[CODE]]=15, Table314[ [#This Row],[Account Deposit Amount] ]-Table314[ [#This Row],[Account Withdrawl Amount] ], )</f>
        <v>0</v>
      </c>
      <c r="T75" s="128">
        <f>IF(Table314[[#This Row],[CODE]]=16, Table314[ [#This Row],[Account Deposit Amount] ]-Table314[ [#This Row],[Account Withdrawl Amount] ], )</f>
        <v>0</v>
      </c>
      <c r="U75" s="127">
        <f>IF(Table314[[#This Row],[CODE]]=17, Table314[ [#This Row],[Account Deposit Amount] ]-Table314[ [#This Row],[Account Withdrawl Amount] ], )</f>
        <v>0</v>
      </c>
      <c r="V75" s="166">
        <f>IF(Table314[[#This Row],[CODE]]=18, Table314[ [#This Row],[Account Deposit Amount] ]-Table312[ [#This Row],[Account Withdrawl Amount] ], )</f>
        <v>0</v>
      </c>
    </row>
    <row r="76" spans="1:22" ht="16.2" thickBot="1">
      <c r="A76" s="130"/>
      <c r="B76" s="133"/>
      <c r="C76" s="130"/>
      <c r="D76" s="132"/>
      <c r="E76" s="128"/>
      <c r="F76" s="128"/>
      <c r="G76" s="131">
        <f t="shared" si="4"/>
        <v>16857.209999999995</v>
      </c>
      <c r="H76" s="130"/>
      <c r="I76" s="127">
        <f>IF(Table314[[#This Row],[CODE]]=1, Table314[ [#This Row],[Account Deposit Amount] ]-Table314[ [#This Row],[Account Withdrawl Amount] ], )</f>
        <v>0</v>
      </c>
      <c r="J76" s="129">
        <f>IF(Table314[[#This Row],[CODE]]=2, Table314[ [#This Row],[Account Deposit Amount] ]-Table314[ [#This Row],[Account Withdrawl Amount] ], )</f>
        <v>0</v>
      </c>
      <c r="K76" s="129">
        <f>IF(Table314[[#This Row],[CODE]]=3, Table314[ [#This Row],[Account Deposit Amount] ]-Table314[ [#This Row],[Account Withdrawl Amount] ], )</f>
        <v>0</v>
      </c>
      <c r="L76" s="128">
        <f>IF(Table314[[#This Row],[CODE]]=4, Table314[ [#This Row],[Account Deposit Amount] ]-Table314[ [#This Row],[Account Withdrawl Amount] ], )</f>
        <v>0</v>
      </c>
      <c r="M76" s="128">
        <f>IF(Table314[[#This Row],[CODE]]=5, Table314[ [#This Row],[Account Deposit Amount] ]-Table314[ [#This Row],[Account Withdrawl Amount] ], )</f>
        <v>0</v>
      </c>
      <c r="N76" s="128">
        <f>IF(Table314[[#This Row],[CODE]]=6, Table314[ [#This Row],[Account Deposit Amount] ]-Table314[ [#This Row],[Account Withdrawl Amount] ], )</f>
        <v>0</v>
      </c>
      <c r="O76" s="128">
        <f>IF(Table314[[#This Row],[CODE]]=11, Table314[ [#This Row],[Account Deposit Amount] ]-Table314[ [#This Row],[Account Withdrawl Amount] ], )</f>
        <v>0</v>
      </c>
      <c r="P76" s="128">
        <f>IF(Table314[[#This Row],[CODE]]=12, Table314[ [#This Row],[Account Deposit Amount] ]-Table314[ [#This Row],[Account Withdrawl Amount] ], )</f>
        <v>0</v>
      </c>
      <c r="Q76" s="128">
        <f>IF(Table314[[#This Row],[CODE]]=13, Table314[ [#This Row],[Account Deposit Amount] ]-Table314[ [#This Row],[Account Withdrawl Amount] ], )</f>
        <v>0</v>
      </c>
      <c r="R76" s="128">
        <f>IF(Table314[[#This Row],[CODE]]=14, Table314[ [#This Row],[Account Deposit Amount] ]-Table314[ [#This Row],[Account Withdrawl Amount] ], )</f>
        <v>0</v>
      </c>
      <c r="S76" s="128">
        <f>IF(Table314[[#This Row],[CODE]]=15, Table314[ [#This Row],[Account Deposit Amount] ]-Table314[ [#This Row],[Account Withdrawl Amount] ], )</f>
        <v>0</v>
      </c>
      <c r="T76" s="128">
        <f>IF(Table314[[#This Row],[CODE]]=16, Table314[ [#This Row],[Account Deposit Amount] ]-Table314[ [#This Row],[Account Withdrawl Amount] ], )</f>
        <v>0</v>
      </c>
      <c r="U76" s="127">
        <f>IF(Table314[[#This Row],[CODE]]=17, Table314[ [#This Row],[Account Deposit Amount] ]-Table314[ [#This Row],[Account Withdrawl Amount] ], )</f>
        <v>0</v>
      </c>
      <c r="V76" s="166">
        <f>IF(Table314[[#This Row],[CODE]]=18, Table314[ [#This Row],[Account Deposit Amount] ]-Table312[ [#This Row],[Account Withdrawl Amount] ], )</f>
        <v>0</v>
      </c>
    </row>
    <row r="77" spans="1:22" ht="16.2" thickBot="1">
      <c r="A77" s="130"/>
      <c r="B77" s="133"/>
      <c r="C77" s="130"/>
      <c r="D77" s="132"/>
      <c r="E77" s="128"/>
      <c r="F77" s="128"/>
      <c r="G77" s="131">
        <f t="shared" si="4"/>
        <v>16857.209999999995</v>
      </c>
      <c r="H77" s="130"/>
      <c r="I77" s="127">
        <f>IF(Table314[[#This Row],[CODE]]=1, Table314[ [#This Row],[Account Deposit Amount] ]-Table314[ [#This Row],[Account Withdrawl Amount] ], )</f>
        <v>0</v>
      </c>
      <c r="J77" s="129">
        <f>IF(Table314[[#This Row],[CODE]]=2, Table314[ [#This Row],[Account Deposit Amount] ]-Table314[ [#This Row],[Account Withdrawl Amount] ], )</f>
        <v>0</v>
      </c>
      <c r="K77" s="129">
        <f>IF(Table314[[#This Row],[CODE]]=3, Table314[ [#This Row],[Account Deposit Amount] ]-Table314[ [#This Row],[Account Withdrawl Amount] ], )</f>
        <v>0</v>
      </c>
      <c r="L77" s="128">
        <f>IF(Table314[[#This Row],[CODE]]=4, Table314[ [#This Row],[Account Deposit Amount] ]-Table314[ [#This Row],[Account Withdrawl Amount] ], )</f>
        <v>0</v>
      </c>
      <c r="M77" s="128">
        <f>IF(Table314[[#This Row],[CODE]]=5, Table314[ [#This Row],[Account Deposit Amount] ]-Table314[ [#This Row],[Account Withdrawl Amount] ], )</f>
        <v>0</v>
      </c>
      <c r="N77" s="128">
        <f>IF(Table314[[#This Row],[CODE]]=6, Table314[ [#This Row],[Account Deposit Amount] ]-Table314[ [#This Row],[Account Withdrawl Amount] ], )</f>
        <v>0</v>
      </c>
      <c r="O77" s="128">
        <f>IF(Table314[[#This Row],[CODE]]=11, Table314[ [#This Row],[Account Deposit Amount] ]-Table314[ [#This Row],[Account Withdrawl Amount] ], )</f>
        <v>0</v>
      </c>
      <c r="P77" s="128">
        <f>IF(Table314[[#This Row],[CODE]]=12, Table314[ [#This Row],[Account Deposit Amount] ]-Table314[ [#This Row],[Account Withdrawl Amount] ], )</f>
        <v>0</v>
      </c>
      <c r="Q77" s="128">
        <f>IF(Table314[[#This Row],[CODE]]=13, Table314[ [#This Row],[Account Deposit Amount] ]-Table314[ [#This Row],[Account Withdrawl Amount] ], )</f>
        <v>0</v>
      </c>
      <c r="R77" s="128">
        <f>IF(Table314[[#This Row],[CODE]]=14, Table314[ [#This Row],[Account Deposit Amount] ]-Table314[ [#This Row],[Account Withdrawl Amount] ], )</f>
        <v>0</v>
      </c>
      <c r="S77" s="128">
        <f>IF(Table314[[#This Row],[CODE]]=15, Table314[ [#This Row],[Account Deposit Amount] ]-Table314[ [#This Row],[Account Withdrawl Amount] ], )</f>
        <v>0</v>
      </c>
      <c r="T77" s="128">
        <f>IF(Table314[[#This Row],[CODE]]=16, Table314[ [#This Row],[Account Deposit Amount] ]-Table314[ [#This Row],[Account Withdrawl Amount] ], )</f>
        <v>0</v>
      </c>
      <c r="U77" s="127">
        <f>IF(Table314[[#This Row],[CODE]]=17, Table314[ [#This Row],[Account Deposit Amount] ]-Table314[ [#This Row],[Account Withdrawl Amount] ], )</f>
        <v>0</v>
      </c>
      <c r="V77" s="166">
        <f>IF(Table314[[#This Row],[CODE]]=18, Table314[ [#This Row],[Account Deposit Amount] ]-Table312[ [#This Row],[Account Withdrawl Amount] ], )</f>
        <v>0</v>
      </c>
    </row>
    <row r="78" spans="1:22" ht="16.2" thickBot="1">
      <c r="A78" s="130"/>
      <c r="B78" s="133"/>
      <c r="C78" s="130"/>
      <c r="D78" s="132"/>
      <c r="E78" s="128"/>
      <c r="F78" s="128"/>
      <c r="G78" s="131">
        <f t="shared" si="4"/>
        <v>16857.209999999995</v>
      </c>
      <c r="H78" s="130"/>
      <c r="I78" s="127">
        <f>IF(Table314[[#This Row],[CODE]]=1, Table314[ [#This Row],[Account Deposit Amount] ]-Table314[ [#This Row],[Account Withdrawl Amount] ], )</f>
        <v>0</v>
      </c>
      <c r="J78" s="129">
        <f>IF(Table314[[#This Row],[CODE]]=2, Table314[ [#This Row],[Account Deposit Amount] ]-Table314[ [#This Row],[Account Withdrawl Amount] ], )</f>
        <v>0</v>
      </c>
      <c r="K78" s="129">
        <f>IF(Table314[[#This Row],[CODE]]=3, Table314[ [#This Row],[Account Deposit Amount] ]-Table314[ [#This Row],[Account Withdrawl Amount] ], )</f>
        <v>0</v>
      </c>
      <c r="L78" s="128">
        <f>IF(Table314[[#This Row],[CODE]]=4, Table314[ [#This Row],[Account Deposit Amount] ]-Table314[ [#This Row],[Account Withdrawl Amount] ], )</f>
        <v>0</v>
      </c>
      <c r="M78" s="128">
        <f>IF(Table314[[#This Row],[CODE]]=5, Table314[ [#This Row],[Account Deposit Amount] ]-Table314[ [#This Row],[Account Withdrawl Amount] ], )</f>
        <v>0</v>
      </c>
      <c r="N78" s="128">
        <f>IF(Table314[[#This Row],[CODE]]=6, Table314[ [#This Row],[Account Deposit Amount] ]-Table314[ [#This Row],[Account Withdrawl Amount] ], )</f>
        <v>0</v>
      </c>
      <c r="O78" s="128">
        <f>IF(Table314[[#This Row],[CODE]]=11, Table314[ [#This Row],[Account Deposit Amount] ]-Table314[ [#This Row],[Account Withdrawl Amount] ], )</f>
        <v>0</v>
      </c>
      <c r="P78" s="128">
        <f>IF(Table314[[#This Row],[CODE]]=12, Table314[ [#This Row],[Account Deposit Amount] ]-Table314[ [#This Row],[Account Withdrawl Amount] ], )</f>
        <v>0</v>
      </c>
      <c r="Q78" s="128">
        <f>IF(Table314[[#This Row],[CODE]]=13, Table314[ [#This Row],[Account Deposit Amount] ]-Table314[ [#This Row],[Account Withdrawl Amount] ], )</f>
        <v>0</v>
      </c>
      <c r="R78" s="128">
        <f>IF(Table314[[#This Row],[CODE]]=14, Table314[ [#This Row],[Account Deposit Amount] ]-Table314[ [#This Row],[Account Withdrawl Amount] ], )</f>
        <v>0</v>
      </c>
      <c r="S78" s="128">
        <f>IF(Table314[[#This Row],[CODE]]=15, Table314[ [#This Row],[Account Deposit Amount] ]-Table314[ [#This Row],[Account Withdrawl Amount] ], )</f>
        <v>0</v>
      </c>
      <c r="T78" s="128">
        <f>IF(Table314[[#This Row],[CODE]]=16, Table314[ [#This Row],[Account Deposit Amount] ]-Table314[ [#This Row],[Account Withdrawl Amount] ], )</f>
        <v>0</v>
      </c>
      <c r="U78" s="127">
        <f>IF(Table314[[#This Row],[CODE]]=17, Table314[ [#This Row],[Account Deposit Amount] ]-Table314[ [#This Row],[Account Withdrawl Amount] ], )</f>
        <v>0</v>
      </c>
      <c r="V78" s="166">
        <f>IF(Table314[[#This Row],[CODE]]=18, Table314[ [#This Row],[Account Deposit Amount] ]-Table312[ [#This Row],[Account Withdrawl Amount] ], )</f>
        <v>0</v>
      </c>
    </row>
    <row r="79" spans="1:22" ht="16.2" thickBot="1">
      <c r="A79" s="130"/>
      <c r="B79" s="133"/>
      <c r="C79" s="130"/>
      <c r="D79" s="132"/>
      <c r="E79" s="128"/>
      <c r="F79" s="128"/>
      <c r="G79" s="131">
        <f t="shared" si="4"/>
        <v>16857.209999999995</v>
      </c>
      <c r="H79" s="130"/>
      <c r="I79" s="127">
        <f>IF(Table314[[#This Row],[CODE]]=1, Table314[ [#This Row],[Account Deposit Amount] ]-Table314[ [#This Row],[Account Withdrawl Amount] ], )</f>
        <v>0</v>
      </c>
      <c r="J79" s="129">
        <f>IF(Table314[[#This Row],[CODE]]=2, Table314[ [#This Row],[Account Deposit Amount] ]-Table314[ [#This Row],[Account Withdrawl Amount] ], )</f>
        <v>0</v>
      </c>
      <c r="K79" s="129">
        <f>IF(Table314[[#This Row],[CODE]]=3, Table314[ [#This Row],[Account Deposit Amount] ]-Table314[ [#This Row],[Account Withdrawl Amount] ], )</f>
        <v>0</v>
      </c>
      <c r="L79" s="128">
        <f>IF(Table314[[#This Row],[CODE]]=4, Table314[ [#This Row],[Account Deposit Amount] ]-Table314[ [#This Row],[Account Withdrawl Amount] ], )</f>
        <v>0</v>
      </c>
      <c r="M79" s="128">
        <f>IF(Table314[[#This Row],[CODE]]=5, Table314[ [#This Row],[Account Deposit Amount] ]-Table314[ [#This Row],[Account Withdrawl Amount] ], )</f>
        <v>0</v>
      </c>
      <c r="N79" s="128">
        <f>IF(Table314[[#This Row],[CODE]]=6, Table314[ [#This Row],[Account Deposit Amount] ]-Table314[ [#This Row],[Account Withdrawl Amount] ], )</f>
        <v>0</v>
      </c>
      <c r="O79" s="128">
        <f>IF(Table314[[#This Row],[CODE]]=11, Table314[ [#This Row],[Account Deposit Amount] ]-Table314[ [#This Row],[Account Withdrawl Amount] ], )</f>
        <v>0</v>
      </c>
      <c r="P79" s="128">
        <f>IF(Table314[[#This Row],[CODE]]=12, Table314[ [#This Row],[Account Deposit Amount] ]-Table314[ [#This Row],[Account Withdrawl Amount] ], )</f>
        <v>0</v>
      </c>
      <c r="Q79" s="128">
        <f>IF(Table314[[#This Row],[CODE]]=13, Table314[ [#This Row],[Account Deposit Amount] ]-Table314[ [#This Row],[Account Withdrawl Amount] ], )</f>
        <v>0</v>
      </c>
      <c r="R79" s="128">
        <f>IF(Table314[[#This Row],[CODE]]=14, Table314[ [#This Row],[Account Deposit Amount] ]-Table314[ [#This Row],[Account Withdrawl Amount] ], )</f>
        <v>0</v>
      </c>
      <c r="S79" s="128">
        <f>IF(Table314[[#This Row],[CODE]]=15, Table314[ [#This Row],[Account Deposit Amount] ]-Table314[ [#This Row],[Account Withdrawl Amount] ], )</f>
        <v>0</v>
      </c>
      <c r="T79" s="128">
        <f>IF(Table314[[#This Row],[CODE]]=16, Table314[ [#This Row],[Account Deposit Amount] ]-Table314[ [#This Row],[Account Withdrawl Amount] ], )</f>
        <v>0</v>
      </c>
      <c r="U79" s="127">
        <f>IF(Table314[[#This Row],[CODE]]=17, Table314[ [#This Row],[Account Deposit Amount] ]-Table314[ [#This Row],[Account Withdrawl Amount] ], )</f>
        <v>0</v>
      </c>
      <c r="V79" s="166">
        <f>IF(Table314[[#This Row],[CODE]]=18, Table314[ [#This Row],[Account Deposit Amount] ]-Table312[ [#This Row],[Account Withdrawl Amount] ], )</f>
        <v>0</v>
      </c>
    </row>
    <row r="80" spans="1:22" ht="16.2" thickBot="1">
      <c r="A80" s="130"/>
      <c r="B80" s="133"/>
      <c r="C80" s="130"/>
      <c r="D80" s="132"/>
      <c r="E80" s="128"/>
      <c r="F80" s="128"/>
      <c r="G80" s="131">
        <f t="shared" si="4"/>
        <v>16857.209999999995</v>
      </c>
      <c r="H80" s="130"/>
      <c r="I80" s="127">
        <f>IF(Table314[[#This Row],[CODE]]=1, Table314[ [#This Row],[Account Deposit Amount] ]-Table314[ [#This Row],[Account Withdrawl Amount] ], )</f>
        <v>0</v>
      </c>
      <c r="J80" s="129">
        <f>IF(Table314[[#This Row],[CODE]]=2, Table314[ [#This Row],[Account Deposit Amount] ]-Table314[ [#This Row],[Account Withdrawl Amount] ], )</f>
        <v>0</v>
      </c>
      <c r="K80" s="129">
        <f>IF(Table314[[#This Row],[CODE]]=3, Table314[ [#This Row],[Account Deposit Amount] ]-Table314[ [#This Row],[Account Withdrawl Amount] ], )</f>
        <v>0</v>
      </c>
      <c r="L80" s="128">
        <f>IF(Table314[[#This Row],[CODE]]=4, Table314[ [#This Row],[Account Deposit Amount] ]-Table314[ [#This Row],[Account Withdrawl Amount] ], )</f>
        <v>0</v>
      </c>
      <c r="M80" s="128">
        <f>IF(Table314[[#This Row],[CODE]]=5, Table314[ [#This Row],[Account Deposit Amount] ]-Table314[ [#This Row],[Account Withdrawl Amount] ], )</f>
        <v>0</v>
      </c>
      <c r="N80" s="128">
        <f>IF(Table314[[#This Row],[CODE]]=6, Table314[ [#This Row],[Account Deposit Amount] ]-Table314[ [#This Row],[Account Withdrawl Amount] ], )</f>
        <v>0</v>
      </c>
      <c r="O80" s="128">
        <f>IF(Table314[[#This Row],[CODE]]=11, Table314[ [#This Row],[Account Deposit Amount] ]-Table314[ [#This Row],[Account Withdrawl Amount] ], )</f>
        <v>0</v>
      </c>
      <c r="P80" s="128">
        <f>IF(Table314[[#This Row],[CODE]]=12, Table314[ [#This Row],[Account Deposit Amount] ]-Table314[ [#This Row],[Account Withdrawl Amount] ], )</f>
        <v>0</v>
      </c>
      <c r="Q80" s="128">
        <f>IF(Table314[[#This Row],[CODE]]=13, Table314[ [#This Row],[Account Deposit Amount] ]-Table314[ [#This Row],[Account Withdrawl Amount] ], )</f>
        <v>0</v>
      </c>
      <c r="R80" s="128">
        <f>IF(Table314[[#This Row],[CODE]]=14, Table314[ [#This Row],[Account Deposit Amount] ]-Table314[ [#This Row],[Account Withdrawl Amount] ], )</f>
        <v>0</v>
      </c>
      <c r="S80" s="128">
        <f>IF(Table314[[#This Row],[CODE]]=15, Table314[ [#This Row],[Account Deposit Amount] ]-Table314[ [#This Row],[Account Withdrawl Amount] ], )</f>
        <v>0</v>
      </c>
      <c r="T80" s="128">
        <f>IF(Table314[[#This Row],[CODE]]=16, Table314[ [#This Row],[Account Deposit Amount] ]-Table314[ [#This Row],[Account Withdrawl Amount] ], )</f>
        <v>0</v>
      </c>
      <c r="U80" s="127">
        <f>IF(Table314[[#This Row],[CODE]]=17, Table314[ [#This Row],[Account Deposit Amount] ]-Table314[ [#This Row],[Account Withdrawl Amount] ], )</f>
        <v>0</v>
      </c>
      <c r="V80" s="166">
        <f>IF(Table314[[#This Row],[CODE]]=18, Table314[ [#This Row],[Account Deposit Amount] ]-Table312[ [#This Row],[Account Withdrawl Amount] ], )</f>
        <v>0</v>
      </c>
    </row>
    <row r="81" spans="1:22" ht="16.2" thickBot="1">
      <c r="A81" s="130"/>
      <c r="B81" s="133"/>
      <c r="C81" s="130"/>
      <c r="D81" s="132"/>
      <c r="E81" s="128"/>
      <c r="F81" s="128"/>
      <c r="G81" s="131">
        <f t="shared" si="4"/>
        <v>16857.209999999995</v>
      </c>
      <c r="H81" s="130"/>
      <c r="I81" s="127">
        <f>IF(Table314[[#This Row],[CODE]]=1, Table314[ [#This Row],[Account Deposit Amount] ]-Table314[ [#This Row],[Account Withdrawl Amount] ], )</f>
        <v>0</v>
      </c>
      <c r="J81" s="129">
        <f>IF(Table314[[#This Row],[CODE]]=2, Table314[ [#This Row],[Account Deposit Amount] ]-Table314[ [#This Row],[Account Withdrawl Amount] ], )</f>
        <v>0</v>
      </c>
      <c r="K81" s="129">
        <f>IF(Table314[[#This Row],[CODE]]=3, Table314[ [#This Row],[Account Deposit Amount] ]-Table314[ [#This Row],[Account Withdrawl Amount] ], )</f>
        <v>0</v>
      </c>
      <c r="L81" s="128">
        <f>IF(Table314[[#This Row],[CODE]]=4, Table314[ [#This Row],[Account Deposit Amount] ]-Table314[ [#This Row],[Account Withdrawl Amount] ], )</f>
        <v>0</v>
      </c>
      <c r="M81" s="128">
        <f>IF(Table314[[#This Row],[CODE]]=5, Table314[ [#This Row],[Account Deposit Amount] ]-Table314[ [#This Row],[Account Withdrawl Amount] ], )</f>
        <v>0</v>
      </c>
      <c r="N81" s="128">
        <f>IF(Table314[[#This Row],[CODE]]=6, Table314[ [#This Row],[Account Deposit Amount] ]-Table314[ [#This Row],[Account Withdrawl Amount] ], )</f>
        <v>0</v>
      </c>
      <c r="O81" s="128">
        <f>IF(Table314[[#This Row],[CODE]]=11, Table314[ [#This Row],[Account Deposit Amount] ]-Table314[ [#This Row],[Account Withdrawl Amount] ], )</f>
        <v>0</v>
      </c>
      <c r="P81" s="128">
        <f>IF(Table314[[#This Row],[CODE]]=12, Table314[ [#This Row],[Account Deposit Amount] ]-Table314[ [#This Row],[Account Withdrawl Amount] ], )</f>
        <v>0</v>
      </c>
      <c r="Q81" s="128">
        <f>IF(Table314[[#This Row],[CODE]]=13, Table314[ [#This Row],[Account Deposit Amount] ]-Table314[ [#This Row],[Account Withdrawl Amount] ], )</f>
        <v>0</v>
      </c>
      <c r="R81" s="128">
        <f>IF(Table314[[#This Row],[CODE]]=14, Table314[ [#This Row],[Account Deposit Amount] ]-Table314[ [#This Row],[Account Withdrawl Amount] ], )</f>
        <v>0</v>
      </c>
      <c r="S81" s="128">
        <f>IF(Table314[[#This Row],[CODE]]=15, Table314[ [#This Row],[Account Deposit Amount] ]-Table314[ [#This Row],[Account Withdrawl Amount] ], )</f>
        <v>0</v>
      </c>
      <c r="T81" s="128">
        <f>IF(Table314[[#This Row],[CODE]]=16, Table314[ [#This Row],[Account Deposit Amount] ]-Table314[ [#This Row],[Account Withdrawl Amount] ], )</f>
        <v>0</v>
      </c>
      <c r="U81" s="127">
        <f>IF(Table314[[#This Row],[CODE]]=17, Table314[ [#This Row],[Account Deposit Amount] ]-Table314[ [#This Row],[Account Withdrawl Amount] ], )</f>
        <v>0</v>
      </c>
      <c r="V81" s="166">
        <f>IF(Table314[[#This Row],[CODE]]=18, Table314[ [#This Row],[Account Deposit Amount] ]-Table312[ [#This Row],[Account Withdrawl Amount] ], )</f>
        <v>0</v>
      </c>
    </row>
    <row r="82" spans="1:22" ht="16.2" thickBot="1">
      <c r="A82" s="130"/>
      <c r="B82" s="133"/>
      <c r="C82" s="130"/>
      <c r="D82" s="132"/>
      <c r="E82" s="128"/>
      <c r="F82" s="128"/>
      <c r="G82" s="131">
        <f t="shared" si="4"/>
        <v>16857.209999999995</v>
      </c>
      <c r="H82" s="130"/>
      <c r="I82" s="127">
        <f>IF(Table314[[#This Row],[CODE]]=1, Table314[ [#This Row],[Account Deposit Amount] ]-Table314[ [#This Row],[Account Withdrawl Amount] ], )</f>
        <v>0</v>
      </c>
      <c r="J82" s="129">
        <f>IF(Table314[[#This Row],[CODE]]=2, Table314[ [#This Row],[Account Deposit Amount] ]-Table314[ [#This Row],[Account Withdrawl Amount] ], )</f>
        <v>0</v>
      </c>
      <c r="K82" s="129">
        <f>IF(Table314[[#This Row],[CODE]]=3, Table314[ [#This Row],[Account Deposit Amount] ]-Table314[ [#This Row],[Account Withdrawl Amount] ], )</f>
        <v>0</v>
      </c>
      <c r="L82" s="128">
        <f>IF(Table314[[#This Row],[CODE]]=4, Table314[ [#This Row],[Account Deposit Amount] ]-Table314[ [#This Row],[Account Withdrawl Amount] ], )</f>
        <v>0</v>
      </c>
      <c r="M82" s="128">
        <f>IF(Table314[[#This Row],[CODE]]=5, Table314[ [#This Row],[Account Deposit Amount] ]-Table314[ [#This Row],[Account Withdrawl Amount] ], )</f>
        <v>0</v>
      </c>
      <c r="N82" s="128">
        <f>IF(Table314[[#This Row],[CODE]]=6, Table314[ [#This Row],[Account Deposit Amount] ]-Table314[ [#This Row],[Account Withdrawl Amount] ], )</f>
        <v>0</v>
      </c>
      <c r="O82" s="128">
        <f>IF(Table314[[#This Row],[CODE]]=11, Table314[ [#This Row],[Account Deposit Amount] ]-Table314[ [#This Row],[Account Withdrawl Amount] ], )</f>
        <v>0</v>
      </c>
      <c r="P82" s="128">
        <f>IF(Table314[[#This Row],[CODE]]=12, Table314[ [#This Row],[Account Deposit Amount] ]-Table314[ [#This Row],[Account Withdrawl Amount] ], )</f>
        <v>0</v>
      </c>
      <c r="Q82" s="128">
        <f>IF(Table314[[#This Row],[CODE]]=13, Table314[ [#This Row],[Account Deposit Amount] ]-Table314[ [#This Row],[Account Withdrawl Amount] ], )</f>
        <v>0</v>
      </c>
      <c r="R82" s="128">
        <f>IF(Table314[[#This Row],[CODE]]=14, Table314[ [#This Row],[Account Deposit Amount] ]-Table314[ [#This Row],[Account Withdrawl Amount] ], )</f>
        <v>0</v>
      </c>
      <c r="S82" s="128">
        <f>IF(Table314[[#This Row],[CODE]]=15, Table314[ [#This Row],[Account Deposit Amount] ]-Table314[ [#This Row],[Account Withdrawl Amount] ], )</f>
        <v>0</v>
      </c>
      <c r="T82" s="128">
        <f>IF(Table314[[#This Row],[CODE]]=16, Table314[ [#This Row],[Account Deposit Amount] ]-Table314[ [#This Row],[Account Withdrawl Amount] ], )</f>
        <v>0</v>
      </c>
      <c r="U82" s="127">
        <f>IF(Table314[[#This Row],[CODE]]=17, Table314[ [#This Row],[Account Deposit Amount] ]-Table314[ [#This Row],[Account Withdrawl Amount] ], )</f>
        <v>0</v>
      </c>
      <c r="V82" s="166">
        <f>IF(Table314[[#This Row],[CODE]]=18, Table314[ [#This Row],[Account Deposit Amount] ]-Table312[ [#This Row],[Account Withdrawl Amount] ], )</f>
        <v>0</v>
      </c>
    </row>
    <row r="83" spans="1:22" ht="16.2" thickBot="1">
      <c r="A83" s="130"/>
      <c r="B83" s="133"/>
      <c r="C83" s="130"/>
      <c r="D83" s="132"/>
      <c r="E83" s="128"/>
      <c r="F83" s="128"/>
      <c r="G83" s="131">
        <f t="shared" si="4"/>
        <v>16857.209999999995</v>
      </c>
      <c r="H83" s="130"/>
      <c r="I83" s="127">
        <f>IF(Table314[[#This Row],[CODE]]=1, Table314[ [#This Row],[Account Deposit Amount] ]-Table314[ [#This Row],[Account Withdrawl Amount] ], )</f>
        <v>0</v>
      </c>
      <c r="J83" s="129">
        <f>IF(Table314[[#This Row],[CODE]]=2, Table314[ [#This Row],[Account Deposit Amount] ]-Table314[ [#This Row],[Account Withdrawl Amount] ], )</f>
        <v>0</v>
      </c>
      <c r="K83" s="129">
        <f>IF(Table314[[#This Row],[CODE]]=3, Table314[ [#This Row],[Account Deposit Amount] ]-Table314[ [#This Row],[Account Withdrawl Amount] ], )</f>
        <v>0</v>
      </c>
      <c r="L83" s="128">
        <f>IF(Table314[[#This Row],[CODE]]=4, Table314[ [#This Row],[Account Deposit Amount] ]-Table314[ [#This Row],[Account Withdrawl Amount] ], )</f>
        <v>0</v>
      </c>
      <c r="M83" s="128">
        <f>IF(Table314[[#This Row],[CODE]]=5, Table314[ [#This Row],[Account Deposit Amount] ]-Table314[ [#This Row],[Account Withdrawl Amount] ], )</f>
        <v>0</v>
      </c>
      <c r="N83" s="128">
        <f>IF(Table314[[#This Row],[CODE]]=6, Table314[ [#This Row],[Account Deposit Amount] ]-Table314[ [#This Row],[Account Withdrawl Amount] ], )</f>
        <v>0</v>
      </c>
      <c r="O83" s="128">
        <f>IF(Table314[[#This Row],[CODE]]=11, Table314[ [#This Row],[Account Deposit Amount] ]-Table314[ [#This Row],[Account Withdrawl Amount] ], )</f>
        <v>0</v>
      </c>
      <c r="P83" s="128">
        <f>IF(Table314[[#This Row],[CODE]]=12, Table314[ [#This Row],[Account Deposit Amount] ]-Table314[ [#This Row],[Account Withdrawl Amount] ], )</f>
        <v>0</v>
      </c>
      <c r="Q83" s="128">
        <f>IF(Table314[[#This Row],[CODE]]=13, Table314[ [#This Row],[Account Deposit Amount] ]-Table314[ [#This Row],[Account Withdrawl Amount] ], )</f>
        <v>0</v>
      </c>
      <c r="R83" s="128">
        <f>IF(Table314[[#This Row],[CODE]]=14, Table314[ [#This Row],[Account Deposit Amount] ]-Table314[ [#This Row],[Account Withdrawl Amount] ], )</f>
        <v>0</v>
      </c>
      <c r="S83" s="128">
        <f>IF(Table314[[#This Row],[CODE]]=15, Table314[ [#This Row],[Account Deposit Amount] ]-Table314[ [#This Row],[Account Withdrawl Amount] ], )</f>
        <v>0</v>
      </c>
      <c r="T83" s="128">
        <f>IF(Table314[[#This Row],[CODE]]=16, Table314[ [#This Row],[Account Deposit Amount] ]-Table314[ [#This Row],[Account Withdrawl Amount] ], )</f>
        <v>0</v>
      </c>
      <c r="U83" s="127">
        <f>IF(Table314[[#This Row],[CODE]]=17, Table314[ [#This Row],[Account Deposit Amount] ]-Table314[ [#This Row],[Account Withdrawl Amount] ], )</f>
        <v>0</v>
      </c>
      <c r="V83" s="166">
        <f>IF(Table314[[#This Row],[CODE]]=18, Table314[ [#This Row],[Account Deposit Amount] ]-Table312[ [#This Row],[Account Withdrawl Amount] ], )</f>
        <v>0</v>
      </c>
    </row>
    <row r="84" spans="1:22" ht="16.2" thickBot="1">
      <c r="A84" s="130"/>
      <c r="B84" s="133"/>
      <c r="C84" s="130"/>
      <c r="D84" s="132"/>
      <c r="E84" s="128"/>
      <c r="F84" s="128"/>
      <c r="G84" s="131">
        <f t="shared" si="4"/>
        <v>16857.209999999995</v>
      </c>
      <c r="H84" s="130"/>
      <c r="I84" s="127">
        <f>IF(Table314[[#This Row],[CODE]]=1, Table314[ [#This Row],[Account Deposit Amount] ]-Table314[ [#This Row],[Account Withdrawl Amount] ], )</f>
        <v>0</v>
      </c>
      <c r="J84" s="129">
        <f>IF(Table314[[#This Row],[CODE]]=2, Table314[ [#This Row],[Account Deposit Amount] ]-Table314[ [#This Row],[Account Withdrawl Amount] ], )</f>
        <v>0</v>
      </c>
      <c r="K84" s="129">
        <f>IF(Table314[[#This Row],[CODE]]=3, Table314[ [#This Row],[Account Deposit Amount] ]-Table314[ [#This Row],[Account Withdrawl Amount] ], )</f>
        <v>0</v>
      </c>
      <c r="L84" s="128">
        <f>IF(Table314[[#This Row],[CODE]]=4, Table314[ [#This Row],[Account Deposit Amount] ]-Table314[ [#This Row],[Account Withdrawl Amount] ], )</f>
        <v>0</v>
      </c>
      <c r="M84" s="128">
        <f>IF(Table314[[#This Row],[CODE]]=5, Table314[ [#This Row],[Account Deposit Amount] ]-Table314[ [#This Row],[Account Withdrawl Amount] ], )</f>
        <v>0</v>
      </c>
      <c r="N84" s="128">
        <f>IF(Table314[[#This Row],[CODE]]=6, Table314[ [#This Row],[Account Deposit Amount] ]-Table314[ [#This Row],[Account Withdrawl Amount] ], )</f>
        <v>0</v>
      </c>
      <c r="O84" s="128">
        <f>IF(Table314[[#This Row],[CODE]]=11, Table314[ [#This Row],[Account Deposit Amount] ]-Table314[ [#This Row],[Account Withdrawl Amount] ], )</f>
        <v>0</v>
      </c>
      <c r="P84" s="128">
        <f>IF(Table314[[#This Row],[CODE]]=12, Table314[ [#This Row],[Account Deposit Amount] ]-Table314[ [#This Row],[Account Withdrawl Amount] ], )</f>
        <v>0</v>
      </c>
      <c r="Q84" s="128">
        <f>IF(Table314[[#This Row],[CODE]]=13, Table314[ [#This Row],[Account Deposit Amount] ]-Table314[ [#This Row],[Account Withdrawl Amount] ], )</f>
        <v>0</v>
      </c>
      <c r="R84" s="128">
        <f>IF(Table314[[#This Row],[CODE]]=14, Table314[ [#This Row],[Account Deposit Amount] ]-Table314[ [#This Row],[Account Withdrawl Amount] ], )</f>
        <v>0</v>
      </c>
      <c r="S84" s="128">
        <f>IF(Table314[[#This Row],[CODE]]=15, Table314[ [#This Row],[Account Deposit Amount] ]-Table314[ [#This Row],[Account Withdrawl Amount] ], )</f>
        <v>0</v>
      </c>
      <c r="T84" s="128">
        <f>IF(Table314[[#This Row],[CODE]]=16, Table314[ [#This Row],[Account Deposit Amount] ]-Table314[ [#This Row],[Account Withdrawl Amount] ], )</f>
        <v>0</v>
      </c>
      <c r="U84" s="127">
        <f>IF(Table314[[#This Row],[CODE]]=17, Table314[ [#This Row],[Account Deposit Amount] ]-Table314[ [#This Row],[Account Withdrawl Amount] ], )</f>
        <v>0</v>
      </c>
      <c r="V84" s="166">
        <f>IF(Table314[[#This Row],[CODE]]=18, Table314[ [#This Row],[Account Deposit Amount] ]-Table312[ [#This Row],[Account Withdrawl Amount] ], )</f>
        <v>0</v>
      </c>
    </row>
    <row r="85" spans="1:22" ht="16.2" thickBot="1">
      <c r="A85" s="130"/>
      <c r="B85" s="133"/>
      <c r="C85" s="130"/>
      <c r="D85" s="132"/>
      <c r="E85" s="128"/>
      <c r="F85" s="128"/>
      <c r="G85" s="131">
        <f t="shared" si="4"/>
        <v>16857.209999999995</v>
      </c>
      <c r="H85" s="130"/>
      <c r="I85" s="127">
        <f>IF(Table314[[#This Row],[CODE]]=1, Table314[ [#This Row],[Account Deposit Amount] ]-Table314[ [#This Row],[Account Withdrawl Amount] ], )</f>
        <v>0</v>
      </c>
      <c r="J85" s="129">
        <f>IF(Table314[[#This Row],[CODE]]=2, Table314[ [#This Row],[Account Deposit Amount] ]-Table314[ [#This Row],[Account Withdrawl Amount] ], )</f>
        <v>0</v>
      </c>
      <c r="K85" s="129">
        <f>IF(Table314[[#This Row],[CODE]]=3, Table314[ [#This Row],[Account Deposit Amount] ]-Table314[ [#This Row],[Account Withdrawl Amount] ], )</f>
        <v>0</v>
      </c>
      <c r="L85" s="128">
        <f>IF(Table314[[#This Row],[CODE]]=4, Table314[ [#This Row],[Account Deposit Amount] ]-Table314[ [#This Row],[Account Withdrawl Amount] ], )</f>
        <v>0</v>
      </c>
      <c r="M85" s="128">
        <f>IF(Table314[[#This Row],[CODE]]=5, Table314[ [#This Row],[Account Deposit Amount] ]-Table314[ [#This Row],[Account Withdrawl Amount] ], )</f>
        <v>0</v>
      </c>
      <c r="N85" s="128">
        <f>IF(Table314[[#This Row],[CODE]]=6, Table314[ [#This Row],[Account Deposit Amount] ]-Table314[ [#This Row],[Account Withdrawl Amount] ], )</f>
        <v>0</v>
      </c>
      <c r="O85" s="128">
        <f>IF(Table314[[#This Row],[CODE]]=11, Table314[ [#This Row],[Account Deposit Amount] ]-Table314[ [#This Row],[Account Withdrawl Amount] ], )</f>
        <v>0</v>
      </c>
      <c r="P85" s="128">
        <f>IF(Table314[[#This Row],[CODE]]=12, Table314[ [#This Row],[Account Deposit Amount] ]-Table314[ [#This Row],[Account Withdrawl Amount] ], )</f>
        <v>0</v>
      </c>
      <c r="Q85" s="128">
        <f>IF(Table314[[#This Row],[CODE]]=13, Table314[ [#This Row],[Account Deposit Amount] ]-Table314[ [#This Row],[Account Withdrawl Amount] ], )</f>
        <v>0</v>
      </c>
      <c r="R85" s="128">
        <f>IF(Table314[[#This Row],[CODE]]=14, Table314[ [#This Row],[Account Deposit Amount] ]-Table314[ [#This Row],[Account Withdrawl Amount] ], )</f>
        <v>0</v>
      </c>
      <c r="S85" s="128">
        <f>IF(Table314[[#This Row],[CODE]]=15, Table314[ [#This Row],[Account Deposit Amount] ]-Table314[ [#This Row],[Account Withdrawl Amount] ], )</f>
        <v>0</v>
      </c>
      <c r="T85" s="128">
        <f>IF(Table314[[#This Row],[CODE]]=16, Table314[ [#This Row],[Account Deposit Amount] ]-Table314[ [#This Row],[Account Withdrawl Amount] ], )</f>
        <v>0</v>
      </c>
      <c r="U85" s="127">
        <f>IF(Table314[[#This Row],[CODE]]=17, Table314[ [#This Row],[Account Deposit Amount] ]-Table314[ [#This Row],[Account Withdrawl Amount] ], )</f>
        <v>0</v>
      </c>
      <c r="V85" s="166">
        <f>IF(Table314[[#This Row],[CODE]]=18, Table314[ [#This Row],[Account Deposit Amount] ]-Table312[ [#This Row],[Account Withdrawl Amount] ], )</f>
        <v>0</v>
      </c>
    </row>
    <row r="86" spans="1:22" ht="16.2" thickBot="1">
      <c r="A86" s="130"/>
      <c r="B86" s="133"/>
      <c r="C86" s="130"/>
      <c r="D86" s="132"/>
      <c r="E86" s="128"/>
      <c r="F86" s="128"/>
      <c r="G86" s="131">
        <f t="shared" si="4"/>
        <v>16857.209999999995</v>
      </c>
      <c r="H86" s="130"/>
      <c r="I86" s="127">
        <f>IF(Table314[[#This Row],[CODE]]=1, Table314[ [#This Row],[Account Deposit Amount] ]-Table314[ [#This Row],[Account Withdrawl Amount] ], )</f>
        <v>0</v>
      </c>
      <c r="J86" s="129">
        <f>IF(Table314[[#This Row],[CODE]]=2, Table314[ [#This Row],[Account Deposit Amount] ]-Table314[ [#This Row],[Account Withdrawl Amount] ], )</f>
        <v>0</v>
      </c>
      <c r="K86" s="129">
        <f>IF(Table314[[#This Row],[CODE]]=3, Table314[ [#This Row],[Account Deposit Amount] ]-Table314[ [#This Row],[Account Withdrawl Amount] ], )</f>
        <v>0</v>
      </c>
      <c r="L86" s="128">
        <f>IF(Table314[[#This Row],[CODE]]=4, Table314[ [#This Row],[Account Deposit Amount] ]-Table314[ [#This Row],[Account Withdrawl Amount] ], )</f>
        <v>0</v>
      </c>
      <c r="M86" s="128">
        <f>IF(Table314[[#This Row],[CODE]]=5, Table314[ [#This Row],[Account Deposit Amount] ]-Table314[ [#This Row],[Account Withdrawl Amount] ], )</f>
        <v>0</v>
      </c>
      <c r="N86" s="128">
        <f>IF(Table314[[#This Row],[CODE]]=6, Table314[ [#This Row],[Account Deposit Amount] ]-Table314[ [#This Row],[Account Withdrawl Amount] ], )</f>
        <v>0</v>
      </c>
      <c r="O86" s="128">
        <f>IF(Table314[[#This Row],[CODE]]=11, Table314[ [#This Row],[Account Deposit Amount] ]-Table314[ [#This Row],[Account Withdrawl Amount] ], )</f>
        <v>0</v>
      </c>
      <c r="P86" s="128">
        <f>IF(Table314[[#This Row],[CODE]]=12, Table314[ [#This Row],[Account Deposit Amount] ]-Table314[ [#This Row],[Account Withdrawl Amount] ], )</f>
        <v>0</v>
      </c>
      <c r="Q86" s="128">
        <f>IF(Table314[[#This Row],[CODE]]=13, Table314[ [#This Row],[Account Deposit Amount] ]-Table314[ [#This Row],[Account Withdrawl Amount] ], )</f>
        <v>0</v>
      </c>
      <c r="R86" s="128">
        <f>IF(Table314[[#This Row],[CODE]]=14, Table314[ [#This Row],[Account Deposit Amount] ]-Table314[ [#This Row],[Account Withdrawl Amount] ], )</f>
        <v>0</v>
      </c>
      <c r="S86" s="128">
        <f>IF(Table314[[#This Row],[CODE]]=15, Table314[ [#This Row],[Account Deposit Amount] ]-Table314[ [#This Row],[Account Withdrawl Amount] ], )</f>
        <v>0</v>
      </c>
      <c r="T86" s="128">
        <f>IF(Table314[[#This Row],[CODE]]=16, Table314[ [#This Row],[Account Deposit Amount] ]-Table314[ [#This Row],[Account Withdrawl Amount] ], )</f>
        <v>0</v>
      </c>
      <c r="U86" s="127">
        <f>IF(Table314[[#This Row],[CODE]]=17, Table314[ [#This Row],[Account Deposit Amount] ]-Table314[ [#This Row],[Account Withdrawl Amount] ], )</f>
        <v>0</v>
      </c>
      <c r="V86" s="166">
        <f>IF(Table314[[#This Row],[CODE]]=18, Table314[ [#This Row],[Account Deposit Amount] ]-Table312[ [#This Row],[Account Withdrawl Amount] ], )</f>
        <v>0</v>
      </c>
    </row>
    <row r="87" spans="1:22" ht="16.2" thickBot="1">
      <c r="A87" s="130"/>
      <c r="B87" s="133"/>
      <c r="C87" s="130"/>
      <c r="D87" s="132"/>
      <c r="E87" s="128"/>
      <c r="F87" s="128"/>
      <c r="G87" s="131">
        <f t="shared" si="4"/>
        <v>16857.209999999995</v>
      </c>
      <c r="H87" s="130"/>
      <c r="I87" s="127">
        <f>IF(Table314[[#This Row],[CODE]]=1, Table314[ [#This Row],[Account Deposit Amount] ]-Table314[ [#This Row],[Account Withdrawl Amount] ], )</f>
        <v>0</v>
      </c>
      <c r="J87" s="129">
        <f>IF(Table314[[#This Row],[CODE]]=2, Table314[ [#This Row],[Account Deposit Amount] ]-Table314[ [#This Row],[Account Withdrawl Amount] ], )</f>
        <v>0</v>
      </c>
      <c r="K87" s="129">
        <f>IF(Table314[[#This Row],[CODE]]=3, Table314[ [#This Row],[Account Deposit Amount] ]-Table314[ [#This Row],[Account Withdrawl Amount] ], )</f>
        <v>0</v>
      </c>
      <c r="L87" s="128">
        <f>IF(Table314[[#This Row],[CODE]]=4, Table314[ [#This Row],[Account Deposit Amount] ]-Table314[ [#This Row],[Account Withdrawl Amount] ], )</f>
        <v>0</v>
      </c>
      <c r="M87" s="128">
        <f>IF(Table314[[#This Row],[CODE]]=5, Table314[ [#This Row],[Account Deposit Amount] ]-Table314[ [#This Row],[Account Withdrawl Amount] ], )</f>
        <v>0</v>
      </c>
      <c r="N87" s="128">
        <f>IF(Table314[[#This Row],[CODE]]=6, Table314[ [#This Row],[Account Deposit Amount] ]-Table314[ [#This Row],[Account Withdrawl Amount] ], )</f>
        <v>0</v>
      </c>
      <c r="O87" s="128">
        <f>IF(Table314[[#This Row],[CODE]]=11, Table314[ [#This Row],[Account Deposit Amount] ]-Table314[ [#This Row],[Account Withdrawl Amount] ], )</f>
        <v>0</v>
      </c>
      <c r="P87" s="128">
        <f>IF(Table314[[#This Row],[CODE]]=12, Table314[ [#This Row],[Account Deposit Amount] ]-Table314[ [#This Row],[Account Withdrawl Amount] ], )</f>
        <v>0</v>
      </c>
      <c r="Q87" s="128">
        <f>IF(Table314[[#This Row],[CODE]]=13, Table314[ [#This Row],[Account Deposit Amount] ]-Table314[ [#This Row],[Account Withdrawl Amount] ], )</f>
        <v>0</v>
      </c>
      <c r="R87" s="128">
        <f>IF(Table314[[#This Row],[CODE]]=14, Table314[ [#This Row],[Account Deposit Amount] ]-Table314[ [#This Row],[Account Withdrawl Amount] ], )</f>
        <v>0</v>
      </c>
      <c r="S87" s="128">
        <f>IF(Table314[[#This Row],[CODE]]=15, Table314[ [#This Row],[Account Deposit Amount] ]-Table314[ [#This Row],[Account Withdrawl Amount] ], )</f>
        <v>0</v>
      </c>
      <c r="T87" s="128">
        <f>IF(Table314[[#This Row],[CODE]]=16, Table314[ [#This Row],[Account Deposit Amount] ]-Table314[ [#This Row],[Account Withdrawl Amount] ], )</f>
        <v>0</v>
      </c>
      <c r="U87" s="127">
        <f>IF(Table314[[#This Row],[CODE]]=17, Table314[ [#This Row],[Account Deposit Amount] ]-Table314[ [#This Row],[Account Withdrawl Amount] ], )</f>
        <v>0</v>
      </c>
      <c r="V87" s="166">
        <f>IF(Table314[[#This Row],[CODE]]=18, Table314[ [#This Row],[Account Deposit Amount] ]-Table312[ [#This Row],[Account Withdrawl Amount] ], )</f>
        <v>0</v>
      </c>
    </row>
    <row r="88" spans="1:22" ht="16.2" thickBot="1">
      <c r="A88" s="130"/>
      <c r="B88" s="133"/>
      <c r="C88" s="130"/>
      <c r="D88" s="132"/>
      <c r="E88" s="128"/>
      <c r="F88" s="128"/>
      <c r="G88" s="131">
        <f t="shared" si="4"/>
        <v>16857.209999999995</v>
      </c>
      <c r="H88" s="130"/>
      <c r="I88" s="127">
        <f>IF(Table314[[#This Row],[CODE]]=1, Table314[ [#This Row],[Account Deposit Amount] ]-Table314[ [#This Row],[Account Withdrawl Amount] ], )</f>
        <v>0</v>
      </c>
      <c r="J88" s="129">
        <f>IF(Table314[[#This Row],[CODE]]=2, Table314[ [#This Row],[Account Deposit Amount] ]-Table314[ [#This Row],[Account Withdrawl Amount] ], )</f>
        <v>0</v>
      </c>
      <c r="K88" s="129">
        <f>IF(Table314[[#This Row],[CODE]]=3, Table314[ [#This Row],[Account Deposit Amount] ]-Table314[ [#This Row],[Account Withdrawl Amount] ], )</f>
        <v>0</v>
      </c>
      <c r="L88" s="128">
        <f>IF(Table314[[#This Row],[CODE]]=4, Table314[ [#This Row],[Account Deposit Amount] ]-Table314[ [#This Row],[Account Withdrawl Amount] ], )</f>
        <v>0</v>
      </c>
      <c r="M88" s="128">
        <f>IF(Table314[[#This Row],[CODE]]=5, Table314[ [#This Row],[Account Deposit Amount] ]-Table314[ [#This Row],[Account Withdrawl Amount] ], )</f>
        <v>0</v>
      </c>
      <c r="N88" s="128">
        <f>IF(Table314[[#This Row],[CODE]]=6, Table314[ [#This Row],[Account Deposit Amount] ]-Table314[ [#This Row],[Account Withdrawl Amount] ], )</f>
        <v>0</v>
      </c>
      <c r="O88" s="128">
        <f>IF(Table314[[#This Row],[CODE]]=11, Table314[ [#This Row],[Account Deposit Amount] ]-Table314[ [#This Row],[Account Withdrawl Amount] ], )</f>
        <v>0</v>
      </c>
      <c r="P88" s="128">
        <f>IF(Table314[[#This Row],[CODE]]=12, Table314[ [#This Row],[Account Deposit Amount] ]-Table314[ [#This Row],[Account Withdrawl Amount] ], )</f>
        <v>0</v>
      </c>
      <c r="Q88" s="128">
        <f>IF(Table314[[#This Row],[CODE]]=13, Table314[ [#This Row],[Account Deposit Amount] ]-Table314[ [#This Row],[Account Withdrawl Amount] ], )</f>
        <v>0</v>
      </c>
      <c r="R88" s="128">
        <f>IF(Table314[[#This Row],[CODE]]=14, Table314[ [#This Row],[Account Deposit Amount] ]-Table314[ [#This Row],[Account Withdrawl Amount] ], )</f>
        <v>0</v>
      </c>
      <c r="S88" s="128">
        <f>IF(Table314[[#This Row],[CODE]]=15, Table314[ [#This Row],[Account Deposit Amount] ]-Table314[ [#This Row],[Account Withdrawl Amount] ], )</f>
        <v>0</v>
      </c>
      <c r="T88" s="128">
        <f>IF(Table314[[#This Row],[CODE]]=16, Table314[ [#This Row],[Account Deposit Amount] ]-Table314[ [#This Row],[Account Withdrawl Amount] ], )</f>
        <v>0</v>
      </c>
      <c r="U88" s="127">
        <f>IF(Table314[[#This Row],[CODE]]=17, Table314[ [#This Row],[Account Deposit Amount] ]-Table314[ [#This Row],[Account Withdrawl Amount] ], )</f>
        <v>0</v>
      </c>
      <c r="V88" s="166">
        <f>IF(Table314[[#This Row],[CODE]]=18, Table314[ [#This Row],[Account Deposit Amount] ]-Table312[ [#This Row],[Account Withdrawl Amount] ], )</f>
        <v>0</v>
      </c>
    </row>
    <row r="89" spans="1:22" ht="16.2" thickBot="1">
      <c r="A89" s="130"/>
      <c r="B89" s="133"/>
      <c r="C89" s="130"/>
      <c r="D89" s="132"/>
      <c r="E89" s="128"/>
      <c r="F89" s="128"/>
      <c r="G89" s="131">
        <f t="shared" si="4"/>
        <v>16857.209999999995</v>
      </c>
      <c r="H89" s="130"/>
      <c r="I89" s="127">
        <f>IF(Table314[[#This Row],[CODE]]=1, Table314[ [#This Row],[Account Deposit Amount] ]-Table314[ [#This Row],[Account Withdrawl Amount] ], )</f>
        <v>0</v>
      </c>
      <c r="J89" s="129">
        <f>IF(Table314[[#This Row],[CODE]]=2, Table314[ [#This Row],[Account Deposit Amount] ]-Table314[ [#This Row],[Account Withdrawl Amount] ], )</f>
        <v>0</v>
      </c>
      <c r="K89" s="129">
        <f>IF(Table314[[#This Row],[CODE]]=3, Table314[ [#This Row],[Account Deposit Amount] ]-Table314[ [#This Row],[Account Withdrawl Amount] ], )</f>
        <v>0</v>
      </c>
      <c r="L89" s="128">
        <f>IF(Table314[[#This Row],[CODE]]=4, Table314[ [#This Row],[Account Deposit Amount] ]-Table314[ [#This Row],[Account Withdrawl Amount] ], )</f>
        <v>0</v>
      </c>
      <c r="M89" s="128">
        <f>IF(Table314[[#This Row],[CODE]]=5, Table314[ [#This Row],[Account Deposit Amount] ]-Table314[ [#This Row],[Account Withdrawl Amount] ], )</f>
        <v>0</v>
      </c>
      <c r="N89" s="128">
        <f>IF(Table314[[#This Row],[CODE]]=6, Table314[ [#This Row],[Account Deposit Amount] ]-Table314[ [#This Row],[Account Withdrawl Amount] ], )</f>
        <v>0</v>
      </c>
      <c r="O89" s="128">
        <f>IF(Table314[[#This Row],[CODE]]=11, Table314[ [#This Row],[Account Deposit Amount] ]-Table314[ [#This Row],[Account Withdrawl Amount] ], )</f>
        <v>0</v>
      </c>
      <c r="P89" s="128">
        <f>IF(Table314[[#This Row],[CODE]]=12, Table314[ [#This Row],[Account Deposit Amount] ]-Table314[ [#This Row],[Account Withdrawl Amount] ], )</f>
        <v>0</v>
      </c>
      <c r="Q89" s="128">
        <f>IF(Table314[[#This Row],[CODE]]=13, Table314[ [#This Row],[Account Deposit Amount] ]-Table314[ [#This Row],[Account Withdrawl Amount] ], )</f>
        <v>0</v>
      </c>
      <c r="R89" s="128">
        <f>IF(Table314[[#This Row],[CODE]]=14, Table314[ [#This Row],[Account Deposit Amount] ]-Table314[ [#This Row],[Account Withdrawl Amount] ], )</f>
        <v>0</v>
      </c>
      <c r="S89" s="128">
        <f>IF(Table314[[#This Row],[CODE]]=15, Table314[ [#This Row],[Account Deposit Amount] ]-Table314[ [#This Row],[Account Withdrawl Amount] ], )</f>
        <v>0</v>
      </c>
      <c r="T89" s="128">
        <f>IF(Table314[[#This Row],[CODE]]=16, Table314[ [#This Row],[Account Deposit Amount] ]-Table314[ [#This Row],[Account Withdrawl Amount] ], )</f>
        <v>0</v>
      </c>
      <c r="U89" s="127">
        <f>IF(Table314[[#This Row],[CODE]]=17, Table314[ [#This Row],[Account Deposit Amount] ]-Table314[ [#This Row],[Account Withdrawl Amount] ], )</f>
        <v>0</v>
      </c>
      <c r="V89" s="166">
        <f>IF(Table314[[#This Row],[CODE]]=18, Table314[ [#This Row],[Account Deposit Amount] ]-Table312[ [#This Row],[Account Withdrawl Amount] ], )</f>
        <v>0</v>
      </c>
    </row>
    <row r="90" spans="1:22" ht="16.2" thickBot="1">
      <c r="A90" s="130"/>
      <c r="B90" s="133"/>
      <c r="C90" s="130"/>
      <c r="D90" s="132"/>
      <c r="E90" s="128"/>
      <c r="F90" s="128"/>
      <c r="G90" s="131">
        <f t="shared" si="4"/>
        <v>16857.209999999995</v>
      </c>
      <c r="H90" s="130"/>
      <c r="I90" s="127">
        <f>IF(Table314[[#This Row],[CODE]]=1, Table314[ [#This Row],[Account Deposit Amount] ]-Table314[ [#This Row],[Account Withdrawl Amount] ], )</f>
        <v>0</v>
      </c>
      <c r="J90" s="129">
        <f>IF(Table314[[#This Row],[CODE]]=2, Table314[ [#This Row],[Account Deposit Amount] ]-Table314[ [#This Row],[Account Withdrawl Amount] ], )</f>
        <v>0</v>
      </c>
      <c r="K90" s="129">
        <f>IF(Table314[[#This Row],[CODE]]=3, Table314[ [#This Row],[Account Deposit Amount] ]-Table314[ [#This Row],[Account Withdrawl Amount] ], )</f>
        <v>0</v>
      </c>
      <c r="L90" s="128">
        <f>IF(Table314[[#This Row],[CODE]]=4, Table314[ [#This Row],[Account Deposit Amount] ]-Table314[ [#This Row],[Account Withdrawl Amount] ], )</f>
        <v>0</v>
      </c>
      <c r="M90" s="128">
        <f>IF(Table314[[#This Row],[CODE]]=5, Table314[ [#This Row],[Account Deposit Amount] ]-Table314[ [#This Row],[Account Withdrawl Amount] ], )</f>
        <v>0</v>
      </c>
      <c r="N90" s="128">
        <f>IF(Table314[[#This Row],[CODE]]=6, Table314[ [#This Row],[Account Deposit Amount] ]-Table314[ [#This Row],[Account Withdrawl Amount] ], )</f>
        <v>0</v>
      </c>
      <c r="O90" s="128">
        <f>IF(Table314[[#This Row],[CODE]]=11, Table314[ [#This Row],[Account Deposit Amount] ]-Table314[ [#This Row],[Account Withdrawl Amount] ], )</f>
        <v>0</v>
      </c>
      <c r="P90" s="128">
        <f>IF(Table314[[#This Row],[CODE]]=12, Table314[ [#This Row],[Account Deposit Amount] ]-Table314[ [#This Row],[Account Withdrawl Amount] ], )</f>
        <v>0</v>
      </c>
      <c r="Q90" s="128">
        <f>IF(Table314[[#This Row],[CODE]]=13, Table314[ [#This Row],[Account Deposit Amount] ]-Table314[ [#This Row],[Account Withdrawl Amount] ], )</f>
        <v>0</v>
      </c>
      <c r="R90" s="128">
        <f>IF(Table314[[#This Row],[CODE]]=14, Table314[ [#This Row],[Account Deposit Amount] ]-Table314[ [#This Row],[Account Withdrawl Amount] ], )</f>
        <v>0</v>
      </c>
      <c r="S90" s="128">
        <f>IF(Table314[[#This Row],[CODE]]=15, Table314[ [#This Row],[Account Deposit Amount] ]-Table314[ [#This Row],[Account Withdrawl Amount] ], )</f>
        <v>0</v>
      </c>
      <c r="T90" s="128">
        <f>IF(Table314[[#This Row],[CODE]]=16, Table314[ [#This Row],[Account Deposit Amount] ]-Table314[ [#This Row],[Account Withdrawl Amount] ], )</f>
        <v>0</v>
      </c>
      <c r="U90" s="127">
        <f>IF(Table314[[#This Row],[CODE]]=17, Table314[ [#This Row],[Account Deposit Amount] ]-Table314[ [#This Row],[Account Withdrawl Amount] ], )</f>
        <v>0</v>
      </c>
      <c r="V90" s="166">
        <f>IF(Table314[[#This Row],[CODE]]=18, Table314[ [#This Row],[Account Deposit Amount] ]-Table312[ [#This Row],[Account Withdrawl Amount] ], )</f>
        <v>0</v>
      </c>
    </row>
    <row r="91" spans="1:22" ht="16.2" thickBot="1">
      <c r="A91" s="130"/>
      <c r="B91" s="133"/>
      <c r="C91" s="130"/>
      <c r="D91" s="132"/>
      <c r="E91" s="128"/>
      <c r="F91" s="128"/>
      <c r="G91" s="131">
        <f t="shared" si="4"/>
        <v>16857.209999999995</v>
      </c>
      <c r="H91" s="130"/>
      <c r="I91" s="127">
        <f>IF(Table314[[#This Row],[CODE]]=1, Table314[ [#This Row],[Account Deposit Amount] ]-Table314[ [#This Row],[Account Withdrawl Amount] ], )</f>
        <v>0</v>
      </c>
      <c r="J91" s="129">
        <f>IF(Table314[[#This Row],[CODE]]=2, Table314[ [#This Row],[Account Deposit Amount] ]-Table314[ [#This Row],[Account Withdrawl Amount] ], )</f>
        <v>0</v>
      </c>
      <c r="K91" s="129">
        <f>IF(Table314[[#This Row],[CODE]]=3, Table314[ [#This Row],[Account Deposit Amount] ]-Table314[ [#This Row],[Account Withdrawl Amount] ], )</f>
        <v>0</v>
      </c>
      <c r="L91" s="128">
        <f>IF(Table314[[#This Row],[CODE]]=4, Table314[ [#This Row],[Account Deposit Amount] ]-Table314[ [#This Row],[Account Withdrawl Amount] ], )</f>
        <v>0</v>
      </c>
      <c r="M91" s="128">
        <f>IF(Table314[[#This Row],[CODE]]=5, Table314[ [#This Row],[Account Deposit Amount] ]-Table314[ [#This Row],[Account Withdrawl Amount] ], )</f>
        <v>0</v>
      </c>
      <c r="N91" s="128">
        <f>IF(Table314[[#This Row],[CODE]]=6, Table314[ [#This Row],[Account Deposit Amount] ]-Table314[ [#This Row],[Account Withdrawl Amount] ], )</f>
        <v>0</v>
      </c>
      <c r="O91" s="128">
        <f>IF(Table314[[#This Row],[CODE]]=11, Table314[ [#This Row],[Account Deposit Amount] ]-Table314[ [#This Row],[Account Withdrawl Amount] ], )</f>
        <v>0</v>
      </c>
      <c r="P91" s="128">
        <f>IF(Table314[[#This Row],[CODE]]=12, Table314[ [#This Row],[Account Deposit Amount] ]-Table314[ [#This Row],[Account Withdrawl Amount] ], )</f>
        <v>0</v>
      </c>
      <c r="Q91" s="128">
        <f>IF(Table314[[#This Row],[CODE]]=13, Table314[ [#This Row],[Account Deposit Amount] ]-Table314[ [#This Row],[Account Withdrawl Amount] ], )</f>
        <v>0</v>
      </c>
      <c r="R91" s="128">
        <f>IF(Table314[[#This Row],[CODE]]=14, Table314[ [#This Row],[Account Deposit Amount] ]-Table314[ [#This Row],[Account Withdrawl Amount] ], )</f>
        <v>0</v>
      </c>
      <c r="S91" s="128">
        <f>IF(Table314[[#This Row],[CODE]]=15, Table314[ [#This Row],[Account Deposit Amount] ]-Table314[ [#This Row],[Account Withdrawl Amount] ], )</f>
        <v>0</v>
      </c>
      <c r="T91" s="128">
        <f>IF(Table314[[#This Row],[CODE]]=16, Table314[ [#This Row],[Account Deposit Amount] ]-Table314[ [#This Row],[Account Withdrawl Amount] ], )</f>
        <v>0</v>
      </c>
      <c r="U91" s="127">
        <f>IF(Table314[[#This Row],[CODE]]=17, Table314[ [#This Row],[Account Deposit Amount] ]-Table314[ [#This Row],[Account Withdrawl Amount] ], )</f>
        <v>0</v>
      </c>
      <c r="V91" s="166">
        <f>IF(Table314[[#This Row],[CODE]]=18, Table314[ [#This Row],[Account Deposit Amount] ]-Table312[ [#This Row],[Account Withdrawl Amount] ], )</f>
        <v>0</v>
      </c>
    </row>
    <row r="92" spans="1:22" ht="16.2" thickBot="1">
      <c r="A92" s="130"/>
      <c r="B92" s="133"/>
      <c r="C92" s="130"/>
      <c r="D92" s="132"/>
      <c r="E92" s="128"/>
      <c r="F92" s="128"/>
      <c r="G92" s="131">
        <f t="shared" si="4"/>
        <v>16857.209999999995</v>
      </c>
      <c r="H92" s="130"/>
      <c r="I92" s="127">
        <f>IF(Table314[[#This Row],[CODE]]=1, Table314[ [#This Row],[Account Deposit Amount] ]-Table314[ [#This Row],[Account Withdrawl Amount] ], )</f>
        <v>0</v>
      </c>
      <c r="J92" s="129">
        <f>IF(Table314[[#This Row],[CODE]]=2, Table314[ [#This Row],[Account Deposit Amount] ]-Table314[ [#This Row],[Account Withdrawl Amount] ], )</f>
        <v>0</v>
      </c>
      <c r="K92" s="129">
        <f>IF(Table314[[#This Row],[CODE]]=3, Table314[ [#This Row],[Account Deposit Amount] ]-Table314[ [#This Row],[Account Withdrawl Amount] ], )</f>
        <v>0</v>
      </c>
      <c r="L92" s="128">
        <f>IF(Table314[[#This Row],[CODE]]=4, Table314[ [#This Row],[Account Deposit Amount] ]-Table314[ [#This Row],[Account Withdrawl Amount] ], )</f>
        <v>0</v>
      </c>
      <c r="M92" s="128">
        <f>IF(Table314[[#This Row],[CODE]]=5, Table314[ [#This Row],[Account Deposit Amount] ]-Table314[ [#This Row],[Account Withdrawl Amount] ], )</f>
        <v>0</v>
      </c>
      <c r="N92" s="128">
        <f>IF(Table314[[#This Row],[CODE]]=6, Table314[ [#This Row],[Account Deposit Amount] ]-Table314[ [#This Row],[Account Withdrawl Amount] ], )</f>
        <v>0</v>
      </c>
      <c r="O92" s="128">
        <f>IF(Table314[[#This Row],[CODE]]=11, Table314[ [#This Row],[Account Deposit Amount] ]-Table314[ [#This Row],[Account Withdrawl Amount] ], )</f>
        <v>0</v>
      </c>
      <c r="P92" s="128">
        <f>IF(Table314[[#This Row],[CODE]]=12, Table314[ [#This Row],[Account Deposit Amount] ]-Table314[ [#This Row],[Account Withdrawl Amount] ], )</f>
        <v>0</v>
      </c>
      <c r="Q92" s="128">
        <f>IF(Table314[[#This Row],[CODE]]=13, Table314[ [#This Row],[Account Deposit Amount] ]-Table314[ [#This Row],[Account Withdrawl Amount] ], )</f>
        <v>0</v>
      </c>
      <c r="R92" s="128">
        <f>IF(Table314[[#This Row],[CODE]]=14, Table314[ [#This Row],[Account Deposit Amount] ]-Table314[ [#This Row],[Account Withdrawl Amount] ], )</f>
        <v>0</v>
      </c>
      <c r="S92" s="128">
        <f>IF(Table314[[#This Row],[CODE]]=15, Table314[ [#This Row],[Account Deposit Amount] ]-Table314[ [#This Row],[Account Withdrawl Amount] ], )</f>
        <v>0</v>
      </c>
      <c r="T92" s="128">
        <f>IF(Table314[[#This Row],[CODE]]=16, Table314[ [#This Row],[Account Deposit Amount] ]-Table314[ [#This Row],[Account Withdrawl Amount] ], )</f>
        <v>0</v>
      </c>
      <c r="U92" s="127">
        <f>IF(Table314[[#This Row],[CODE]]=17, Table314[ [#This Row],[Account Deposit Amount] ]-Table314[ [#This Row],[Account Withdrawl Amount] ], )</f>
        <v>0</v>
      </c>
      <c r="V92" s="166">
        <f>IF(Table314[[#This Row],[CODE]]=18, Table314[ [#This Row],[Account Deposit Amount] ]-Table312[ [#This Row],[Account Withdrawl Amount] ], )</f>
        <v>0</v>
      </c>
    </row>
    <row r="93" spans="1:22" ht="16.2" thickBot="1">
      <c r="A93" s="130"/>
      <c r="B93" s="133"/>
      <c r="C93" s="130"/>
      <c r="D93" s="132"/>
      <c r="E93" s="128"/>
      <c r="F93" s="128"/>
      <c r="G93" s="131">
        <f t="shared" si="4"/>
        <v>16857.209999999995</v>
      </c>
      <c r="H93" s="130"/>
      <c r="I93" s="127">
        <f>IF(Table314[[#This Row],[CODE]]=1, Table314[ [#This Row],[Account Deposit Amount] ]-Table314[ [#This Row],[Account Withdrawl Amount] ], )</f>
        <v>0</v>
      </c>
      <c r="J93" s="129">
        <f>IF(Table314[[#This Row],[CODE]]=2, Table314[ [#This Row],[Account Deposit Amount] ]-Table314[ [#This Row],[Account Withdrawl Amount] ], )</f>
        <v>0</v>
      </c>
      <c r="K93" s="129">
        <f>IF(Table314[[#This Row],[CODE]]=3, Table314[ [#This Row],[Account Deposit Amount] ]-Table314[ [#This Row],[Account Withdrawl Amount] ], )</f>
        <v>0</v>
      </c>
      <c r="L93" s="128">
        <f>IF(Table314[[#This Row],[CODE]]=4, Table314[ [#This Row],[Account Deposit Amount] ]-Table314[ [#This Row],[Account Withdrawl Amount] ], )</f>
        <v>0</v>
      </c>
      <c r="M93" s="128">
        <f>IF(Table314[[#This Row],[CODE]]=5, Table314[ [#This Row],[Account Deposit Amount] ]-Table314[ [#This Row],[Account Withdrawl Amount] ], )</f>
        <v>0</v>
      </c>
      <c r="N93" s="128">
        <f>IF(Table314[[#This Row],[CODE]]=6, Table314[ [#This Row],[Account Deposit Amount] ]-Table314[ [#This Row],[Account Withdrawl Amount] ], )</f>
        <v>0</v>
      </c>
      <c r="O93" s="128">
        <f>IF(Table314[[#This Row],[CODE]]=11, Table314[ [#This Row],[Account Deposit Amount] ]-Table314[ [#This Row],[Account Withdrawl Amount] ], )</f>
        <v>0</v>
      </c>
      <c r="P93" s="128">
        <f>IF(Table314[[#This Row],[CODE]]=12, Table314[ [#This Row],[Account Deposit Amount] ]-Table314[ [#This Row],[Account Withdrawl Amount] ], )</f>
        <v>0</v>
      </c>
      <c r="Q93" s="128">
        <f>IF(Table314[[#This Row],[CODE]]=13, Table314[ [#This Row],[Account Deposit Amount] ]-Table314[ [#This Row],[Account Withdrawl Amount] ], )</f>
        <v>0</v>
      </c>
      <c r="R93" s="128">
        <f>IF(Table314[[#This Row],[CODE]]=14, Table314[ [#This Row],[Account Deposit Amount] ]-Table314[ [#This Row],[Account Withdrawl Amount] ], )</f>
        <v>0</v>
      </c>
      <c r="S93" s="128">
        <f>IF(Table314[[#This Row],[CODE]]=15, Table314[ [#This Row],[Account Deposit Amount] ]-Table314[ [#This Row],[Account Withdrawl Amount] ], )</f>
        <v>0</v>
      </c>
      <c r="T93" s="128">
        <f>IF(Table314[[#This Row],[CODE]]=16, Table314[ [#This Row],[Account Deposit Amount] ]-Table314[ [#This Row],[Account Withdrawl Amount] ], )</f>
        <v>0</v>
      </c>
      <c r="U93" s="127">
        <f>IF(Table314[[#This Row],[CODE]]=17, Table314[ [#This Row],[Account Deposit Amount] ]-Table314[ [#This Row],[Account Withdrawl Amount] ], )</f>
        <v>0</v>
      </c>
      <c r="V93" s="166">
        <f>IF(Table314[[#This Row],[CODE]]=18, Table314[ [#This Row],[Account Deposit Amount] ]-Table312[ [#This Row],[Account Withdrawl Amount] ], )</f>
        <v>0</v>
      </c>
    </row>
    <row r="94" spans="1:22" ht="16.2" thickBot="1">
      <c r="A94" s="130"/>
      <c r="B94" s="133"/>
      <c r="C94" s="130"/>
      <c r="D94" s="132"/>
      <c r="E94" s="128"/>
      <c r="F94" s="128"/>
      <c r="G94" s="131">
        <f t="shared" si="4"/>
        <v>16857.209999999995</v>
      </c>
      <c r="H94" s="130"/>
      <c r="I94" s="127">
        <f>IF(Table314[[#This Row],[CODE]]=1, Table314[ [#This Row],[Account Deposit Amount] ]-Table314[ [#This Row],[Account Withdrawl Amount] ], )</f>
        <v>0</v>
      </c>
      <c r="J94" s="129">
        <f>IF(Table314[[#This Row],[CODE]]=2, Table314[ [#This Row],[Account Deposit Amount] ]-Table314[ [#This Row],[Account Withdrawl Amount] ], )</f>
        <v>0</v>
      </c>
      <c r="K94" s="129">
        <f>IF(Table314[[#This Row],[CODE]]=3, Table314[ [#This Row],[Account Deposit Amount] ]-Table314[ [#This Row],[Account Withdrawl Amount] ], )</f>
        <v>0</v>
      </c>
      <c r="L94" s="128">
        <f>IF(Table314[[#This Row],[CODE]]=4, Table314[ [#This Row],[Account Deposit Amount] ]-Table314[ [#This Row],[Account Withdrawl Amount] ], )</f>
        <v>0</v>
      </c>
      <c r="M94" s="128">
        <f>IF(Table314[[#This Row],[CODE]]=5, Table314[ [#This Row],[Account Deposit Amount] ]-Table314[ [#This Row],[Account Withdrawl Amount] ], )</f>
        <v>0</v>
      </c>
      <c r="N94" s="128">
        <f>IF(Table314[[#This Row],[CODE]]=6, Table314[ [#This Row],[Account Deposit Amount] ]-Table314[ [#This Row],[Account Withdrawl Amount] ], )</f>
        <v>0</v>
      </c>
      <c r="O94" s="128">
        <f>IF(Table314[[#This Row],[CODE]]=11, Table314[ [#This Row],[Account Deposit Amount] ]-Table314[ [#This Row],[Account Withdrawl Amount] ], )</f>
        <v>0</v>
      </c>
      <c r="P94" s="128">
        <f>IF(Table314[[#This Row],[CODE]]=12, Table314[ [#This Row],[Account Deposit Amount] ]-Table314[ [#This Row],[Account Withdrawl Amount] ], )</f>
        <v>0</v>
      </c>
      <c r="Q94" s="128">
        <f>IF(Table314[[#This Row],[CODE]]=13, Table314[ [#This Row],[Account Deposit Amount] ]-Table314[ [#This Row],[Account Withdrawl Amount] ], )</f>
        <v>0</v>
      </c>
      <c r="R94" s="128">
        <f>IF(Table314[[#This Row],[CODE]]=14, Table314[ [#This Row],[Account Deposit Amount] ]-Table314[ [#This Row],[Account Withdrawl Amount] ], )</f>
        <v>0</v>
      </c>
      <c r="S94" s="128">
        <f>IF(Table314[[#This Row],[CODE]]=15, Table314[ [#This Row],[Account Deposit Amount] ]-Table314[ [#This Row],[Account Withdrawl Amount] ], )</f>
        <v>0</v>
      </c>
      <c r="T94" s="128">
        <f>IF(Table314[[#This Row],[CODE]]=16, Table314[ [#This Row],[Account Deposit Amount] ]-Table314[ [#This Row],[Account Withdrawl Amount] ], )</f>
        <v>0</v>
      </c>
      <c r="U94" s="127">
        <f>IF(Table314[[#This Row],[CODE]]=17, Table314[ [#This Row],[Account Deposit Amount] ]-Table314[ [#This Row],[Account Withdrawl Amount] ], )</f>
        <v>0</v>
      </c>
      <c r="V94" s="166">
        <f>IF(Table314[[#This Row],[CODE]]=18, Table314[ [#This Row],[Account Deposit Amount] ]-Table312[ [#This Row],[Account Withdrawl Amount] ], )</f>
        <v>0</v>
      </c>
    </row>
    <row r="95" spans="1:22" ht="16.2" thickBot="1">
      <c r="A95" s="130"/>
      <c r="B95" s="133"/>
      <c r="C95" s="130"/>
      <c r="D95" s="132"/>
      <c r="E95" s="128"/>
      <c r="F95" s="128"/>
      <c r="G95" s="131">
        <f t="shared" si="4"/>
        <v>16857.209999999995</v>
      </c>
      <c r="H95" s="130"/>
      <c r="I95" s="127">
        <f>IF(Table314[[#This Row],[CODE]]=1, Table314[ [#This Row],[Account Deposit Amount] ]-Table314[ [#This Row],[Account Withdrawl Amount] ], )</f>
        <v>0</v>
      </c>
      <c r="J95" s="129">
        <f>IF(Table314[[#This Row],[CODE]]=2, Table314[ [#This Row],[Account Deposit Amount] ]-Table314[ [#This Row],[Account Withdrawl Amount] ], )</f>
        <v>0</v>
      </c>
      <c r="K95" s="129">
        <f>IF(Table314[[#This Row],[CODE]]=3, Table314[ [#This Row],[Account Deposit Amount] ]-Table314[ [#This Row],[Account Withdrawl Amount] ], )</f>
        <v>0</v>
      </c>
      <c r="L95" s="128">
        <f>IF(Table314[[#This Row],[CODE]]=4, Table314[ [#This Row],[Account Deposit Amount] ]-Table314[ [#This Row],[Account Withdrawl Amount] ], )</f>
        <v>0</v>
      </c>
      <c r="M95" s="128">
        <f>IF(Table314[[#This Row],[CODE]]=5, Table314[ [#This Row],[Account Deposit Amount] ]-Table314[ [#This Row],[Account Withdrawl Amount] ], )</f>
        <v>0</v>
      </c>
      <c r="N95" s="128">
        <f>IF(Table314[[#This Row],[CODE]]=6, Table314[ [#This Row],[Account Deposit Amount] ]-Table314[ [#This Row],[Account Withdrawl Amount] ], )</f>
        <v>0</v>
      </c>
      <c r="O95" s="128">
        <f>IF(Table314[[#This Row],[CODE]]=11, Table314[ [#This Row],[Account Deposit Amount] ]-Table314[ [#This Row],[Account Withdrawl Amount] ], )</f>
        <v>0</v>
      </c>
      <c r="P95" s="128">
        <f>IF(Table314[[#This Row],[CODE]]=12, Table314[ [#This Row],[Account Deposit Amount] ]-Table314[ [#This Row],[Account Withdrawl Amount] ], )</f>
        <v>0</v>
      </c>
      <c r="Q95" s="128">
        <f>IF(Table314[[#This Row],[CODE]]=13, Table314[ [#This Row],[Account Deposit Amount] ]-Table314[ [#This Row],[Account Withdrawl Amount] ], )</f>
        <v>0</v>
      </c>
      <c r="R95" s="128">
        <f>IF(Table314[[#This Row],[CODE]]=14, Table314[ [#This Row],[Account Deposit Amount] ]-Table314[ [#This Row],[Account Withdrawl Amount] ], )</f>
        <v>0</v>
      </c>
      <c r="S95" s="128">
        <f>IF(Table314[[#This Row],[CODE]]=15, Table314[ [#This Row],[Account Deposit Amount] ]-Table314[ [#This Row],[Account Withdrawl Amount] ], )</f>
        <v>0</v>
      </c>
      <c r="T95" s="128">
        <f>IF(Table314[[#This Row],[CODE]]=16, Table314[ [#This Row],[Account Deposit Amount] ]-Table314[ [#This Row],[Account Withdrawl Amount] ], )</f>
        <v>0</v>
      </c>
      <c r="U95" s="127">
        <f>IF(Table314[[#This Row],[CODE]]=17, Table314[ [#This Row],[Account Deposit Amount] ]-Table314[ [#This Row],[Account Withdrawl Amount] ], )</f>
        <v>0</v>
      </c>
      <c r="V95" s="166">
        <f>IF(Table314[[#This Row],[CODE]]=18, Table314[ [#This Row],[Account Deposit Amount] ]-Table312[ [#This Row],[Account Withdrawl Amount] ], )</f>
        <v>0</v>
      </c>
    </row>
    <row r="96" spans="1:22" ht="16.2" thickBot="1">
      <c r="A96" s="130"/>
      <c r="B96" s="133"/>
      <c r="C96" s="130"/>
      <c r="D96" s="132"/>
      <c r="E96" s="128"/>
      <c r="F96" s="128"/>
      <c r="G96" s="131">
        <f t="shared" si="4"/>
        <v>16857.209999999995</v>
      </c>
      <c r="H96" s="130"/>
      <c r="I96" s="127">
        <f>IF(Table314[[#This Row],[CODE]]=1, Table314[ [#This Row],[Account Deposit Amount] ]-Table314[ [#This Row],[Account Withdrawl Amount] ], )</f>
        <v>0</v>
      </c>
      <c r="J96" s="129">
        <f>IF(Table314[[#This Row],[CODE]]=2, Table314[ [#This Row],[Account Deposit Amount] ]-Table314[ [#This Row],[Account Withdrawl Amount] ], )</f>
        <v>0</v>
      </c>
      <c r="K96" s="129">
        <f>IF(Table314[[#This Row],[CODE]]=3, Table314[ [#This Row],[Account Deposit Amount] ]-Table314[ [#This Row],[Account Withdrawl Amount] ], )</f>
        <v>0</v>
      </c>
      <c r="L96" s="128">
        <f>IF(Table314[[#This Row],[CODE]]=4, Table314[ [#This Row],[Account Deposit Amount] ]-Table314[ [#This Row],[Account Withdrawl Amount] ], )</f>
        <v>0</v>
      </c>
      <c r="M96" s="128">
        <f>IF(Table314[[#This Row],[CODE]]=5, Table314[ [#This Row],[Account Deposit Amount] ]-Table314[ [#This Row],[Account Withdrawl Amount] ], )</f>
        <v>0</v>
      </c>
      <c r="N96" s="128">
        <f>IF(Table314[[#This Row],[CODE]]=6, Table314[ [#This Row],[Account Deposit Amount] ]-Table314[ [#This Row],[Account Withdrawl Amount] ], )</f>
        <v>0</v>
      </c>
      <c r="O96" s="128">
        <f>IF(Table314[[#This Row],[CODE]]=11, Table314[ [#This Row],[Account Deposit Amount] ]-Table314[ [#This Row],[Account Withdrawl Amount] ], )</f>
        <v>0</v>
      </c>
      <c r="P96" s="128">
        <f>IF(Table314[[#This Row],[CODE]]=12, Table314[ [#This Row],[Account Deposit Amount] ]-Table314[ [#This Row],[Account Withdrawl Amount] ], )</f>
        <v>0</v>
      </c>
      <c r="Q96" s="128">
        <f>IF(Table314[[#This Row],[CODE]]=13, Table314[ [#This Row],[Account Deposit Amount] ]-Table314[ [#This Row],[Account Withdrawl Amount] ], )</f>
        <v>0</v>
      </c>
      <c r="R96" s="128">
        <f>IF(Table314[[#This Row],[CODE]]=14, Table314[ [#This Row],[Account Deposit Amount] ]-Table314[ [#This Row],[Account Withdrawl Amount] ], )</f>
        <v>0</v>
      </c>
      <c r="S96" s="128">
        <f>IF(Table314[[#This Row],[CODE]]=15, Table314[ [#This Row],[Account Deposit Amount] ]-Table314[ [#This Row],[Account Withdrawl Amount] ], )</f>
        <v>0</v>
      </c>
      <c r="T96" s="128">
        <f>IF(Table314[[#This Row],[CODE]]=16, Table314[ [#This Row],[Account Deposit Amount] ]-Table314[ [#This Row],[Account Withdrawl Amount] ], )</f>
        <v>0</v>
      </c>
      <c r="U96" s="127">
        <f>IF(Table314[[#This Row],[CODE]]=17, Table314[ [#This Row],[Account Deposit Amount] ]-Table314[ [#This Row],[Account Withdrawl Amount] ], )</f>
        <v>0</v>
      </c>
      <c r="V96" s="166">
        <f>IF(Table314[[#This Row],[CODE]]=18, Table314[ [#This Row],[Account Deposit Amount] ]-Table312[ [#This Row],[Account Withdrawl Amount] ], )</f>
        <v>0</v>
      </c>
    </row>
    <row r="97" spans="1:22" ht="16.2" thickBot="1">
      <c r="A97" s="130"/>
      <c r="B97" s="133"/>
      <c r="C97" s="130"/>
      <c r="D97" s="132"/>
      <c r="E97" s="128"/>
      <c r="F97" s="128"/>
      <c r="G97" s="131">
        <f t="shared" si="4"/>
        <v>16857.209999999995</v>
      </c>
      <c r="H97" s="130"/>
      <c r="I97" s="127">
        <f>IF(Table314[[#This Row],[CODE]]=1, Table314[ [#This Row],[Account Deposit Amount] ]-Table314[ [#This Row],[Account Withdrawl Amount] ], )</f>
        <v>0</v>
      </c>
      <c r="J97" s="129">
        <f>IF(Table314[[#This Row],[CODE]]=2, Table314[ [#This Row],[Account Deposit Amount] ]-Table314[ [#This Row],[Account Withdrawl Amount] ], )</f>
        <v>0</v>
      </c>
      <c r="K97" s="129">
        <f>IF(Table314[[#This Row],[CODE]]=3, Table314[ [#This Row],[Account Deposit Amount] ]-Table314[ [#This Row],[Account Withdrawl Amount] ], )</f>
        <v>0</v>
      </c>
      <c r="L97" s="128">
        <f>IF(Table314[[#This Row],[CODE]]=4, Table314[ [#This Row],[Account Deposit Amount] ]-Table314[ [#This Row],[Account Withdrawl Amount] ], )</f>
        <v>0</v>
      </c>
      <c r="M97" s="128">
        <f>IF(Table314[[#This Row],[CODE]]=5, Table314[ [#This Row],[Account Deposit Amount] ]-Table314[ [#This Row],[Account Withdrawl Amount] ], )</f>
        <v>0</v>
      </c>
      <c r="N97" s="128">
        <f>IF(Table314[[#This Row],[CODE]]=6, Table314[ [#This Row],[Account Deposit Amount] ]-Table314[ [#This Row],[Account Withdrawl Amount] ], )</f>
        <v>0</v>
      </c>
      <c r="O97" s="128">
        <f>IF(Table314[[#This Row],[CODE]]=11, Table314[ [#This Row],[Account Deposit Amount] ]-Table314[ [#This Row],[Account Withdrawl Amount] ], )</f>
        <v>0</v>
      </c>
      <c r="P97" s="128">
        <f>IF(Table314[[#This Row],[CODE]]=12, Table314[ [#This Row],[Account Deposit Amount] ]-Table314[ [#This Row],[Account Withdrawl Amount] ], )</f>
        <v>0</v>
      </c>
      <c r="Q97" s="128">
        <f>IF(Table314[[#This Row],[CODE]]=13, Table314[ [#This Row],[Account Deposit Amount] ]-Table314[ [#This Row],[Account Withdrawl Amount] ], )</f>
        <v>0</v>
      </c>
      <c r="R97" s="128">
        <f>IF(Table314[[#This Row],[CODE]]=14, Table314[ [#This Row],[Account Deposit Amount] ]-Table314[ [#This Row],[Account Withdrawl Amount] ], )</f>
        <v>0</v>
      </c>
      <c r="S97" s="128">
        <f>IF(Table314[[#This Row],[CODE]]=15, Table314[ [#This Row],[Account Deposit Amount] ]-Table314[ [#This Row],[Account Withdrawl Amount] ], )</f>
        <v>0</v>
      </c>
      <c r="T97" s="128">
        <f>IF(Table314[[#This Row],[CODE]]=16, Table314[ [#This Row],[Account Deposit Amount] ]-Table314[ [#This Row],[Account Withdrawl Amount] ], )</f>
        <v>0</v>
      </c>
      <c r="U97" s="127">
        <f>IF(Table314[[#This Row],[CODE]]=17, Table314[ [#This Row],[Account Deposit Amount] ]-Table314[ [#This Row],[Account Withdrawl Amount] ], )</f>
        <v>0</v>
      </c>
      <c r="V97" s="166">
        <f>IF(Table314[[#This Row],[CODE]]=18, Table314[ [#This Row],[Account Deposit Amount] ]-Table312[ [#This Row],[Account Withdrawl Amount] ], )</f>
        <v>0</v>
      </c>
    </row>
    <row r="98" spans="1:22" ht="16.2" thickBot="1">
      <c r="A98" s="130"/>
      <c r="B98" s="133"/>
      <c r="C98" s="130"/>
      <c r="D98" s="132"/>
      <c r="E98" s="128"/>
      <c r="F98" s="128"/>
      <c r="G98" s="131">
        <f t="shared" si="4"/>
        <v>16857.209999999995</v>
      </c>
      <c r="H98" s="130"/>
      <c r="I98" s="127">
        <f>IF(Table314[[#This Row],[CODE]]=1, Table314[ [#This Row],[Account Deposit Amount] ]-Table314[ [#This Row],[Account Withdrawl Amount] ], )</f>
        <v>0</v>
      </c>
      <c r="J98" s="129">
        <f>IF(Table314[[#This Row],[CODE]]=2, Table314[ [#This Row],[Account Deposit Amount] ]-Table314[ [#This Row],[Account Withdrawl Amount] ], )</f>
        <v>0</v>
      </c>
      <c r="K98" s="129">
        <f>IF(Table314[[#This Row],[CODE]]=3, Table314[ [#This Row],[Account Deposit Amount] ]-Table314[ [#This Row],[Account Withdrawl Amount] ], )</f>
        <v>0</v>
      </c>
      <c r="L98" s="128">
        <f>IF(Table314[[#This Row],[CODE]]=4, Table314[ [#This Row],[Account Deposit Amount] ]-Table314[ [#This Row],[Account Withdrawl Amount] ], )</f>
        <v>0</v>
      </c>
      <c r="M98" s="128">
        <f>IF(Table314[[#This Row],[CODE]]=5, Table314[ [#This Row],[Account Deposit Amount] ]-Table314[ [#This Row],[Account Withdrawl Amount] ], )</f>
        <v>0</v>
      </c>
      <c r="N98" s="128">
        <f>IF(Table314[[#This Row],[CODE]]=6, Table314[ [#This Row],[Account Deposit Amount] ]-Table314[ [#This Row],[Account Withdrawl Amount] ], )</f>
        <v>0</v>
      </c>
      <c r="O98" s="128">
        <f>IF(Table314[[#This Row],[CODE]]=11, Table314[ [#This Row],[Account Deposit Amount] ]-Table314[ [#This Row],[Account Withdrawl Amount] ], )</f>
        <v>0</v>
      </c>
      <c r="P98" s="128">
        <f>IF(Table314[[#This Row],[CODE]]=12, Table314[ [#This Row],[Account Deposit Amount] ]-Table314[ [#This Row],[Account Withdrawl Amount] ], )</f>
        <v>0</v>
      </c>
      <c r="Q98" s="128">
        <f>IF(Table314[[#This Row],[CODE]]=13, Table314[ [#This Row],[Account Deposit Amount] ]-Table314[ [#This Row],[Account Withdrawl Amount] ], )</f>
        <v>0</v>
      </c>
      <c r="R98" s="128">
        <f>IF(Table314[[#This Row],[CODE]]=14, Table314[ [#This Row],[Account Deposit Amount] ]-Table314[ [#This Row],[Account Withdrawl Amount] ], )</f>
        <v>0</v>
      </c>
      <c r="S98" s="128">
        <f>IF(Table314[[#This Row],[CODE]]=15, Table314[ [#This Row],[Account Deposit Amount] ]-Table314[ [#This Row],[Account Withdrawl Amount] ], )</f>
        <v>0</v>
      </c>
      <c r="T98" s="128">
        <f>IF(Table314[[#This Row],[CODE]]=16, Table314[ [#This Row],[Account Deposit Amount] ]-Table314[ [#This Row],[Account Withdrawl Amount] ], )</f>
        <v>0</v>
      </c>
      <c r="U98" s="127">
        <f>IF(Table314[[#This Row],[CODE]]=17, Table314[ [#This Row],[Account Deposit Amount] ]-Table314[ [#This Row],[Account Withdrawl Amount] ], )</f>
        <v>0</v>
      </c>
      <c r="V98" s="166">
        <f>IF(Table314[[#This Row],[CODE]]=18, Table314[ [#This Row],[Account Deposit Amount] ]-Table312[ [#This Row],[Account Withdrawl Amount] ], )</f>
        <v>0</v>
      </c>
    </row>
    <row r="99" spans="1:22" ht="16.2" thickBot="1">
      <c r="A99" s="130"/>
      <c r="B99" s="133"/>
      <c r="C99" s="130"/>
      <c r="D99" s="132"/>
      <c r="E99" s="128"/>
      <c r="F99" s="128"/>
      <c r="G99" s="131">
        <f t="shared" si="4"/>
        <v>16857.209999999995</v>
      </c>
      <c r="H99" s="130"/>
      <c r="I99" s="127">
        <f>IF(Table314[[#This Row],[CODE]]=1, Table314[ [#This Row],[Account Deposit Amount] ]-Table314[ [#This Row],[Account Withdrawl Amount] ], )</f>
        <v>0</v>
      </c>
      <c r="J99" s="129">
        <f>IF(Table314[[#This Row],[CODE]]=2, Table314[ [#This Row],[Account Deposit Amount] ]-Table314[ [#This Row],[Account Withdrawl Amount] ], )</f>
        <v>0</v>
      </c>
      <c r="K99" s="129">
        <f>IF(Table314[[#This Row],[CODE]]=3, Table314[ [#This Row],[Account Deposit Amount] ]-Table314[ [#This Row],[Account Withdrawl Amount] ], )</f>
        <v>0</v>
      </c>
      <c r="L99" s="128">
        <f>IF(Table314[[#This Row],[CODE]]=4, Table314[ [#This Row],[Account Deposit Amount] ]-Table314[ [#This Row],[Account Withdrawl Amount] ], )</f>
        <v>0</v>
      </c>
      <c r="M99" s="128">
        <f>IF(Table314[[#This Row],[CODE]]=5, Table314[ [#This Row],[Account Deposit Amount] ]-Table314[ [#This Row],[Account Withdrawl Amount] ], )</f>
        <v>0</v>
      </c>
      <c r="N99" s="128">
        <f>IF(Table314[[#This Row],[CODE]]=6, Table314[ [#This Row],[Account Deposit Amount] ]-Table314[ [#This Row],[Account Withdrawl Amount] ], )</f>
        <v>0</v>
      </c>
      <c r="O99" s="128">
        <f>IF(Table314[[#This Row],[CODE]]=11, Table314[ [#This Row],[Account Deposit Amount] ]-Table314[ [#This Row],[Account Withdrawl Amount] ], )</f>
        <v>0</v>
      </c>
      <c r="P99" s="128">
        <f>IF(Table314[[#This Row],[CODE]]=12, Table314[ [#This Row],[Account Deposit Amount] ]-Table314[ [#This Row],[Account Withdrawl Amount] ], )</f>
        <v>0</v>
      </c>
      <c r="Q99" s="128">
        <f>IF(Table314[[#This Row],[CODE]]=13, Table314[ [#This Row],[Account Deposit Amount] ]-Table314[ [#This Row],[Account Withdrawl Amount] ], )</f>
        <v>0</v>
      </c>
      <c r="R99" s="128">
        <f>IF(Table314[[#This Row],[CODE]]=14, Table314[ [#This Row],[Account Deposit Amount] ]-Table314[ [#This Row],[Account Withdrawl Amount] ], )</f>
        <v>0</v>
      </c>
      <c r="S99" s="128">
        <f>IF(Table314[[#This Row],[CODE]]=15, Table314[ [#This Row],[Account Deposit Amount] ]-Table314[ [#This Row],[Account Withdrawl Amount] ], )</f>
        <v>0</v>
      </c>
      <c r="T99" s="128">
        <f>IF(Table314[[#This Row],[CODE]]=16, Table314[ [#This Row],[Account Deposit Amount] ]-Table314[ [#This Row],[Account Withdrawl Amount] ], )</f>
        <v>0</v>
      </c>
      <c r="U99" s="127">
        <f>IF(Table314[[#This Row],[CODE]]=17, Table314[ [#This Row],[Account Deposit Amount] ]-Table314[ [#This Row],[Account Withdrawl Amount] ], )</f>
        <v>0</v>
      </c>
      <c r="V99" s="166">
        <f>IF(Table314[[#This Row],[CODE]]=18, Table314[ [#This Row],[Account Deposit Amount] ]-Table312[ [#This Row],[Account Withdrawl Amount] ], )</f>
        <v>0</v>
      </c>
    </row>
    <row r="100" spans="1:22" ht="16.2" thickBot="1">
      <c r="A100" s="130"/>
      <c r="B100" s="133"/>
      <c r="C100" s="130"/>
      <c r="D100" s="132"/>
      <c r="E100" s="128"/>
      <c r="F100" s="128"/>
      <c r="G100" s="131">
        <f t="shared" si="4"/>
        <v>16857.209999999995</v>
      </c>
      <c r="H100" s="130"/>
      <c r="I100" s="127">
        <f>IF(Table314[[#This Row],[CODE]]=1, Table314[ [#This Row],[Account Deposit Amount] ]-Table314[ [#This Row],[Account Withdrawl Amount] ], )</f>
        <v>0</v>
      </c>
      <c r="J100" s="129">
        <f>IF(Table314[[#This Row],[CODE]]=2, Table314[ [#This Row],[Account Deposit Amount] ]-Table314[ [#This Row],[Account Withdrawl Amount] ], )</f>
        <v>0</v>
      </c>
      <c r="K100" s="129">
        <f>IF(Table314[[#This Row],[CODE]]=3, Table314[ [#This Row],[Account Deposit Amount] ]-Table314[ [#This Row],[Account Withdrawl Amount] ], )</f>
        <v>0</v>
      </c>
      <c r="L100" s="128">
        <f>IF(Table314[[#This Row],[CODE]]=4, Table314[ [#This Row],[Account Deposit Amount] ]-Table314[ [#This Row],[Account Withdrawl Amount] ], )</f>
        <v>0</v>
      </c>
      <c r="M100" s="128">
        <f>IF(Table314[[#This Row],[CODE]]=5, Table314[ [#This Row],[Account Deposit Amount] ]-Table314[ [#This Row],[Account Withdrawl Amount] ], )</f>
        <v>0</v>
      </c>
      <c r="N100" s="128">
        <f>IF(Table314[[#This Row],[CODE]]=6, Table314[ [#This Row],[Account Deposit Amount] ]-Table314[ [#This Row],[Account Withdrawl Amount] ], )</f>
        <v>0</v>
      </c>
      <c r="O100" s="128">
        <f>IF(Table314[[#This Row],[CODE]]=11, Table314[ [#This Row],[Account Deposit Amount] ]-Table314[ [#This Row],[Account Withdrawl Amount] ], )</f>
        <v>0</v>
      </c>
      <c r="P100" s="128">
        <f>IF(Table314[[#This Row],[CODE]]=12, Table314[ [#This Row],[Account Deposit Amount] ]-Table314[ [#This Row],[Account Withdrawl Amount] ], )</f>
        <v>0</v>
      </c>
      <c r="Q100" s="128">
        <f>IF(Table314[[#This Row],[CODE]]=13, Table314[ [#This Row],[Account Deposit Amount] ]-Table314[ [#This Row],[Account Withdrawl Amount] ], )</f>
        <v>0</v>
      </c>
      <c r="R100" s="128">
        <f>IF(Table314[[#This Row],[CODE]]=14, Table314[ [#This Row],[Account Deposit Amount] ]-Table314[ [#This Row],[Account Withdrawl Amount] ], )</f>
        <v>0</v>
      </c>
      <c r="S100" s="128">
        <f>IF(Table314[[#This Row],[CODE]]=15, Table314[ [#This Row],[Account Deposit Amount] ]-Table314[ [#This Row],[Account Withdrawl Amount] ], )</f>
        <v>0</v>
      </c>
      <c r="T100" s="128">
        <f>IF(Table314[[#This Row],[CODE]]=16, Table314[ [#This Row],[Account Deposit Amount] ]-Table314[ [#This Row],[Account Withdrawl Amount] ], )</f>
        <v>0</v>
      </c>
      <c r="U100" s="127">
        <f>IF(Table314[[#This Row],[CODE]]=17, Table314[ [#This Row],[Account Deposit Amount] ]-Table314[ [#This Row],[Account Withdrawl Amount] ], )</f>
        <v>0</v>
      </c>
      <c r="V100" s="166">
        <f>IF(Table314[[#This Row],[CODE]]=18, Table314[ [#This Row],[Account Deposit Amount] ]-Table312[ [#This Row],[Account Withdrawl Amount] ], )</f>
        <v>0</v>
      </c>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2BC0-EAF8-4538-9735-EEFADCF2BA07}">
  <dimension ref="A1:AA100"/>
  <sheetViews>
    <sheetView zoomScale="70" zoomScaleNormal="70" workbookViewId="0">
      <selection activeCell="G4" sqref="G4"/>
    </sheetView>
  </sheetViews>
  <sheetFormatPr defaultColWidth="12.44140625" defaultRowHeight="15.6"/>
  <cols>
    <col min="1" max="2" width="12.44140625" style="126"/>
    <col min="3" max="3" width="32" style="126" customWidth="1"/>
    <col min="4" max="16384" width="12.44140625" style="126"/>
  </cols>
  <sheetData>
    <row r="1" spans="1:27" s="4" customFormat="1" ht="15.75" customHeight="1" thickBot="1">
      <c r="A1" s="16"/>
      <c r="B1" s="2"/>
      <c r="C1" s="1"/>
      <c r="D1" s="1"/>
      <c r="E1" s="29"/>
      <c r="F1" s="30"/>
      <c r="G1" s="3" t="s">
        <v>180</v>
      </c>
      <c r="H1" s="3"/>
      <c r="I1" s="338" t="s">
        <v>49</v>
      </c>
      <c r="J1" s="339"/>
      <c r="K1" s="339"/>
      <c r="L1" s="339"/>
      <c r="M1" s="340">
        <f>SUM(I2:N2)</f>
        <v>0</v>
      </c>
      <c r="N1" s="340"/>
      <c r="O1" s="344" t="s">
        <v>50</v>
      </c>
      <c r="P1" s="344"/>
      <c r="Q1" s="344"/>
      <c r="R1" s="344"/>
      <c r="S1" s="344"/>
      <c r="T1" s="344"/>
      <c r="U1" s="342">
        <f>SUM(O2:V2)</f>
        <v>-1281.0999999999999</v>
      </c>
      <c r="V1" s="343"/>
      <c r="W1" s="1"/>
      <c r="X1" s="1"/>
      <c r="Y1" s="1"/>
      <c r="Z1" s="1"/>
      <c r="AA1" s="1"/>
    </row>
    <row r="2" spans="1:27" s="4" customFormat="1" ht="12.6" thickBot="1">
      <c r="A2" s="1"/>
      <c r="B2" s="2"/>
      <c r="C2" s="1"/>
      <c r="D2" s="1" t="s">
        <v>51</v>
      </c>
      <c r="E2" s="5">
        <f>SUM(E4:E1173)</f>
        <v>25</v>
      </c>
      <c r="F2" s="5">
        <f>SUM(F4:F1173)</f>
        <v>1306.0999999999999</v>
      </c>
      <c r="G2" s="6">
        <f>G4+E2-F2</f>
        <v>15576.109999999995</v>
      </c>
      <c r="H2" s="81"/>
      <c r="I2" s="7">
        <f t="shared" ref="I2:T2" si="0">SUM(I4:I1173)</f>
        <v>0</v>
      </c>
      <c r="J2" s="8">
        <f t="shared" si="0"/>
        <v>0</v>
      </c>
      <c r="K2" s="8">
        <f t="shared" si="0"/>
        <v>0</v>
      </c>
      <c r="L2" s="7">
        <f t="shared" si="0"/>
        <v>0</v>
      </c>
      <c r="M2" s="7">
        <f t="shared" si="0"/>
        <v>0</v>
      </c>
      <c r="N2" s="7">
        <f t="shared" si="0"/>
        <v>0</v>
      </c>
      <c r="O2" s="9">
        <f t="shared" si="0"/>
        <v>0</v>
      </c>
      <c r="P2" s="9">
        <f t="shared" si="0"/>
        <v>0</v>
      </c>
      <c r="Q2" s="9">
        <f t="shared" si="0"/>
        <v>-590.82000000000005</v>
      </c>
      <c r="R2" s="9">
        <f t="shared" si="0"/>
        <v>0</v>
      </c>
      <c r="S2" s="9">
        <f t="shared" si="0"/>
        <v>-205.70999999999998</v>
      </c>
      <c r="T2" s="9">
        <f t="shared" si="0"/>
        <v>-484.57</v>
      </c>
      <c r="U2" s="9">
        <f t="shared" ref="U2:V2" si="1">SUM(U4:U1006)</f>
        <v>0</v>
      </c>
      <c r="V2" s="9">
        <f t="shared" si="1"/>
        <v>0</v>
      </c>
      <c r="W2" s="1"/>
      <c r="X2" s="1"/>
      <c r="Y2" s="1"/>
      <c r="Z2" s="1"/>
      <c r="AA2" s="1"/>
    </row>
    <row r="3" spans="1:27"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6" t="s">
        <v>198</v>
      </c>
      <c r="W3" s="14"/>
      <c r="X3" s="14"/>
      <c r="Y3" s="14"/>
      <c r="Z3" s="14"/>
      <c r="AA3" s="14"/>
    </row>
    <row r="4" spans="1:27" ht="16.2" thickBot="1">
      <c r="A4" s="138"/>
      <c r="B4" s="139">
        <v>44896</v>
      </c>
      <c r="C4" s="146" t="s">
        <v>423</v>
      </c>
      <c r="D4" s="138"/>
      <c r="E4" s="145"/>
      <c r="F4" s="144"/>
      <c r="G4" s="143">
        <f>Nov!G2</f>
        <v>16857.209999999995</v>
      </c>
      <c r="H4" s="155"/>
      <c r="I4" s="127">
        <f>IF(Table44[[#This Row],[CODE]]=1, Table44[ [#This Row],[Account Deposit Amount] ]-Table44[ [#This Row],[Account Withdrawl Amount] ], )</f>
        <v>0</v>
      </c>
      <c r="J4" s="142">
        <f>IF(Table44[[#This Row],[CODE]]=2, Table44[ [#This Row],[Account Deposit Amount] ]-Table44[ [#This Row],[Account Withdrawl Amount] ], )</f>
        <v>0</v>
      </c>
      <c r="K4" s="142">
        <f>IF(Table44[[#This Row],[CODE]]=3, Table44[ [#This Row],[Account Deposit Amount] ]-Table44[ [#This Row],[Account Withdrawl Amount] ], )</f>
        <v>0</v>
      </c>
      <c r="L4" s="141">
        <f>IF(Table44[[#This Row],[CODE]]=4, Table44[ [#This Row],[Account Deposit Amount] ]-Table44[ [#This Row],[Account Withdrawl Amount] ], )</f>
        <v>0</v>
      </c>
      <c r="M4" s="141">
        <f>IF(Table44[[#This Row],[CODE]]=5, Table44[ [#This Row],[Account Deposit Amount] ]-Table44[ [#This Row],[Account Withdrawl Amount] ], )</f>
        <v>0</v>
      </c>
      <c r="N4" s="141">
        <f>IF(Table44[[#This Row],[CODE]]=6, Table44[ [#This Row],[Account Deposit Amount] ]-Table44[ [#This Row],[Account Withdrawl Amount] ], )</f>
        <v>0</v>
      </c>
      <c r="O4" s="141">
        <f>IF(Table44[[#This Row],[CODE]]=11, Table44[ [#This Row],[Account Deposit Amount] ]-Table44[ [#This Row],[Account Withdrawl Amount] ], )</f>
        <v>0</v>
      </c>
      <c r="P4" s="141">
        <f>IF(Table44[[#This Row],[CODE]]=12, Table44[ [#This Row],[Account Deposit Amount] ]-Table44[ [#This Row],[Account Withdrawl Amount] ], )</f>
        <v>0</v>
      </c>
      <c r="Q4" s="141">
        <f>IF(Table44[[#This Row],[CODE]]=13, Table44[ [#This Row],[Account Deposit Amount] ]-Table44[ [#This Row],[Account Withdrawl Amount] ], )</f>
        <v>0</v>
      </c>
      <c r="R4" s="141">
        <f>IF(Table44[[#This Row],[CODE]]=14, Table44[ [#This Row],[Account Deposit Amount] ]-Table44[ [#This Row],[Account Withdrawl Amount] ], )</f>
        <v>0</v>
      </c>
      <c r="S4" s="141">
        <f>IF(Table44[[#This Row],[CODE]]=15, Table44[ [#This Row],[Account Deposit Amount] ]-Table44[ [#This Row],[Account Withdrawl Amount] ], )</f>
        <v>0</v>
      </c>
      <c r="T4" s="141">
        <f>IF(Table44[[#This Row],[CODE]]=16, Table44[ [#This Row],[Account Deposit Amount] ]-Table44[ [#This Row],[Account Withdrawl Amount] ], )</f>
        <v>0</v>
      </c>
      <c r="U4" s="141">
        <f>IF(Table44[[#This Row],[CODE]]=17, Table44[ [#This Row],[Account Deposit Amount] ]-Table44[ [#This Row],[Account Withdrawl Amount] ], )</f>
        <v>0</v>
      </c>
    </row>
    <row r="5" spans="1:27" ht="16.2" thickBot="1">
      <c r="A5" s="150" t="s">
        <v>241</v>
      </c>
      <c r="B5" s="151">
        <v>44896</v>
      </c>
      <c r="C5" s="150" t="s">
        <v>424</v>
      </c>
      <c r="D5" s="138" t="s">
        <v>425</v>
      </c>
      <c r="E5" s="150"/>
      <c r="F5" s="150">
        <v>10.06</v>
      </c>
      <c r="G5" s="134">
        <f t="shared" ref="G5:G36" si="2">G4+E5-F5</f>
        <v>16847.149999999994</v>
      </c>
      <c r="H5" s="138">
        <v>13</v>
      </c>
      <c r="I5" s="127">
        <f>IF(Table44[[#This Row],[CODE]]=1, Table44[ [#This Row],[Account Deposit Amount] ]-Table44[ [#This Row],[Account Withdrawl Amount] ], )</f>
        <v>0</v>
      </c>
      <c r="J5" s="137">
        <f>IF(Table44[[#This Row],[CODE]]=2, Table44[ [#This Row],[Account Deposit Amount] ]-Table44[ [#This Row],[Account Withdrawl Amount] ], )</f>
        <v>0</v>
      </c>
      <c r="K5" s="137">
        <f>IF(Table44[[#This Row],[CODE]]=3, Table44[ [#This Row],[Account Deposit Amount] ]-Table44[ [#This Row],[Account Withdrawl Amount] ], )</f>
        <v>0</v>
      </c>
      <c r="L5" s="136">
        <f>IF(Table44[[#This Row],[CODE]]=4, Table44[ [#This Row],[Account Deposit Amount] ]-Table44[ [#This Row],[Account Withdrawl Amount] ], )</f>
        <v>0</v>
      </c>
      <c r="M5" s="136">
        <f>IF(Table44[[#This Row],[CODE]]=5, Table44[ [#This Row],[Account Deposit Amount] ]-Table44[ [#This Row],[Account Withdrawl Amount] ], )</f>
        <v>0</v>
      </c>
      <c r="N5" s="136">
        <f>IF(Table44[[#This Row],[CODE]]=6, Table44[ [#This Row],[Account Deposit Amount] ]-Table44[ [#This Row],[Account Withdrawl Amount] ], )</f>
        <v>0</v>
      </c>
      <c r="O5" s="136">
        <f>IF(Table44[[#This Row],[CODE]]=11, Table44[ [#This Row],[Account Deposit Amount] ]-Table44[ [#This Row],[Account Withdrawl Amount] ], )</f>
        <v>0</v>
      </c>
      <c r="P5" s="136">
        <f>IF(Table44[[#This Row],[CODE]]=12, Table44[ [#This Row],[Account Deposit Amount] ]-Table44[ [#This Row],[Account Withdrawl Amount] ], )</f>
        <v>0</v>
      </c>
      <c r="Q5" s="136">
        <f>IF(Table44[[#This Row],[CODE]]=13, Table44[ [#This Row],[Account Deposit Amount] ]-Table44[ [#This Row],[Account Withdrawl Amount] ], )</f>
        <v>-10.06</v>
      </c>
      <c r="R5" s="136">
        <f>IF(Table44[[#This Row],[CODE]]=14, Table44[ [#This Row],[Account Deposit Amount] ]-Table44[ [#This Row],[Account Withdrawl Amount] ], )</f>
        <v>0</v>
      </c>
      <c r="S5" s="136">
        <f>IF(Table44[[#This Row],[CODE]]=15, Table44[ [#This Row],[Account Deposit Amount] ]-Table44[ [#This Row],[Account Withdrawl Amount] ], )</f>
        <v>0</v>
      </c>
      <c r="T5" s="136">
        <f>IF(Table44[[#This Row],[CODE]]=16, Table44[ [#This Row],[Account Deposit Amount] ]-Table44[ [#This Row],[Account Withdrawl Amount] ], )</f>
        <v>0</v>
      </c>
      <c r="U5" s="135">
        <f>IF(Table44[[#This Row],[CODE]]=17, Table44[ [#This Row],[Account Deposit Amount] ]-Table44[ [#This Row],[Account Withdrawl Amount] ], )</f>
        <v>0</v>
      </c>
    </row>
    <row r="6" spans="1:27" ht="16.2" thickBot="1">
      <c r="A6" s="150" t="s">
        <v>241</v>
      </c>
      <c r="B6" s="151">
        <v>44898</v>
      </c>
      <c r="C6" s="150" t="s">
        <v>244</v>
      </c>
      <c r="D6" s="132" t="s">
        <v>426</v>
      </c>
      <c r="E6" s="150"/>
      <c r="F6" s="150">
        <v>69.92</v>
      </c>
      <c r="G6" s="134">
        <f t="shared" si="2"/>
        <v>16777.229999999996</v>
      </c>
      <c r="H6" s="130">
        <v>15</v>
      </c>
      <c r="I6" s="127">
        <f>IF(Table44[[#This Row],[CODE]]=1, Table44[ [#This Row],[Account Deposit Amount] ]-Table44[ [#This Row],[Account Withdrawl Amount] ], )</f>
        <v>0</v>
      </c>
      <c r="J6" s="129">
        <f>IF(Table44[[#This Row],[CODE]]=2, Table44[ [#This Row],[Account Deposit Amount] ]-Table44[ [#This Row],[Account Withdrawl Amount] ], )</f>
        <v>0</v>
      </c>
      <c r="K6" s="129">
        <f>IF(Table44[[#This Row],[CODE]]=3, Table44[ [#This Row],[Account Deposit Amount] ]-Table44[ [#This Row],[Account Withdrawl Amount] ], )</f>
        <v>0</v>
      </c>
      <c r="L6" s="128">
        <f>IF(Table44[[#This Row],[CODE]]=4, Table44[ [#This Row],[Account Deposit Amount] ]-Table44[ [#This Row],[Account Withdrawl Amount] ], )</f>
        <v>0</v>
      </c>
      <c r="M6" s="128">
        <f>IF(Table44[[#This Row],[CODE]]=5, Table44[ [#This Row],[Account Deposit Amount] ]-Table44[ [#This Row],[Account Withdrawl Amount] ], )</f>
        <v>0</v>
      </c>
      <c r="N6" s="128">
        <f>IF(Table44[[#This Row],[CODE]]=6, Table44[ [#This Row],[Account Deposit Amount] ]-Table44[ [#This Row],[Account Withdrawl Amount] ], )</f>
        <v>0</v>
      </c>
      <c r="O6" s="128">
        <f>IF(Table44[[#This Row],[CODE]]=11, Table44[ [#This Row],[Account Deposit Amount] ]-Table44[ [#This Row],[Account Withdrawl Amount] ], )</f>
        <v>0</v>
      </c>
      <c r="P6" s="128">
        <f>IF(Table44[[#This Row],[CODE]]=12, Table44[ [#This Row],[Account Deposit Amount] ]-Table44[ [#This Row],[Account Withdrawl Amount] ], )</f>
        <v>0</v>
      </c>
      <c r="Q6" s="128">
        <f>IF(Table44[[#This Row],[CODE]]=13, Table44[ [#This Row],[Account Deposit Amount] ]-Table44[ [#This Row],[Account Withdrawl Amount] ], )</f>
        <v>0</v>
      </c>
      <c r="R6" s="128">
        <f>IF(Table44[[#This Row],[CODE]]=14, Table44[ [#This Row],[Account Deposit Amount] ]-Table44[ [#This Row],[Account Withdrawl Amount] ], )</f>
        <v>0</v>
      </c>
      <c r="S6" s="128">
        <f>IF(Table44[[#This Row],[CODE]]=15, Table44[ [#This Row],[Account Deposit Amount] ]-Table44[ [#This Row],[Account Withdrawl Amount] ], )</f>
        <v>-69.92</v>
      </c>
      <c r="T6" s="128">
        <f>IF(Table44[[#This Row],[CODE]]=16, Table44[ [#This Row],[Account Deposit Amount] ]-Table44[ [#This Row],[Account Withdrawl Amount] ], )</f>
        <v>0</v>
      </c>
      <c r="U6" s="127">
        <f>IF(Table44[[#This Row],[CODE]]=17, Table44[ [#This Row],[Account Deposit Amount] ]-Table44[ [#This Row],[Account Withdrawl Amount] ], )</f>
        <v>0</v>
      </c>
    </row>
    <row r="7" spans="1:27" ht="16.2" thickBot="1">
      <c r="A7" s="150" t="s">
        <v>241</v>
      </c>
      <c r="B7" s="151">
        <v>44898</v>
      </c>
      <c r="C7" s="150" t="s">
        <v>427</v>
      </c>
      <c r="D7" s="132" t="s">
        <v>426</v>
      </c>
      <c r="E7" s="150"/>
      <c r="F7" s="150">
        <v>12.66</v>
      </c>
      <c r="G7" s="134">
        <f t="shared" si="2"/>
        <v>16764.569999999996</v>
      </c>
      <c r="H7" s="130">
        <v>15</v>
      </c>
      <c r="I7" s="127">
        <f>IF(Table44[[#This Row],[CODE]]=1, Table44[ [#This Row],[Account Deposit Amount] ]-Table44[ [#This Row],[Account Withdrawl Amount] ], )</f>
        <v>0</v>
      </c>
      <c r="J7" s="129">
        <f>IF(Table44[[#This Row],[CODE]]=2, Table44[ [#This Row],[Account Deposit Amount] ]-Table44[ [#This Row],[Account Withdrawl Amount] ], )</f>
        <v>0</v>
      </c>
      <c r="K7" s="129">
        <f>IF(Table44[[#This Row],[CODE]]=3, Table44[ [#This Row],[Account Deposit Amount] ]-Table44[ [#This Row],[Account Withdrawl Amount] ], )</f>
        <v>0</v>
      </c>
      <c r="L7" s="128">
        <f>IF(Table44[[#This Row],[CODE]]=4, Table44[ [#This Row],[Account Deposit Amount] ]-Table44[ [#This Row],[Account Withdrawl Amount] ], )</f>
        <v>0</v>
      </c>
      <c r="M7" s="128">
        <f>IF(Table44[[#This Row],[CODE]]=5, Table44[ [#This Row],[Account Deposit Amount] ]-Table44[ [#This Row],[Account Withdrawl Amount] ], )</f>
        <v>0</v>
      </c>
      <c r="N7" s="128">
        <f>IF(Table44[[#This Row],[CODE]]=6, Table44[ [#This Row],[Account Deposit Amount] ]-Table44[ [#This Row],[Account Withdrawl Amount] ], )</f>
        <v>0</v>
      </c>
      <c r="O7" s="128">
        <f>IF(Table44[[#This Row],[CODE]]=11, Table44[ [#This Row],[Account Deposit Amount] ]-Table44[ [#This Row],[Account Withdrawl Amount] ], )</f>
        <v>0</v>
      </c>
      <c r="P7" s="128">
        <f>IF(Table44[[#This Row],[CODE]]=12, Table44[ [#This Row],[Account Deposit Amount] ]-Table44[ [#This Row],[Account Withdrawl Amount] ], )</f>
        <v>0</v>
      </c>
      <c r="Q7" s="128">
        <f>IF(Table44[[#This Row],[CODE]]=13, Table44[ [#This Row],[Account Deposit Amount] ]-Table44[ [#This Row],[Account Withdrawl Amount] ], )</f>
        <v>0</v>
      </c>
      <c r="R7" s="128">
        <f>IF(Table44[[#This Row],[CODE]]=14, Table44[ [#This Row],[Account Deposit Amount] ]-Table44[ [#This Row],[Account Withdrawl Amount] ], )</f>
        <v>0</v>
      </c>
      <c r="S7" s="128">
        <f>IF(Table44[[#This Row],[CODE]]=15, Table44[ [#This Row],[Account Deposit Amount] ]-Table44[ [#This Row],[Account Withdrawl Amount] ], )</f>
        <v>-12.66</v>
      </c>
      <c r="T7" s="128">
        <f>IF(Table44[[#This Row],[CODE]]=16, Table44[ [#This Row],[Account Deposit Amount] ]-Table44[ [#This Row],[Account Withdrawl Amount] ], )</f>
        <v>0</v>
      </c>
      <c r="U7" s="127">
        <f>IF(Table44[[#This Row],[CODE]]=17, Table44[ [#This Row],[Account Deposit Amount] ]-Table44[ [#This Row],[Account Withdrawl Amount] ], )</f>
        <v>0</v>
      </c>
    </row>
    <row r="8" spans="1:27" ht="16.2" thickBot="1">
      <c r="A8" s="150" t="s">
        <v>241</v>
      </c>
      <c r="B8" s="151">
        <v>44898</v>
      </c>
      <c r="C8" s="150" t="s">
        <v>362</v>
      </c>
      <c r="D8" s="132" t="s">
        <v>428</v>
      </c>
      <c r="E8" s="150"/>
      <c r="F8" s="150">
        <v>16.54</v>
      </c>
      <c r="G8" s="134">
        <f t="shared" si="2"/>
        <v>16748.029999999995</v>
      </c>
      <c r="H8" s="130">
        <v>15</v>
      </c>
      <c r="I8" s="127">
        <f>IF(Table44[[#This Row],[CODE]]=1, Table44[ [#This Row],[Account Deposit Amount] ]-Table44[ [#This Row],[Account Withdrawl Amount] ], )</f>
        <v>0</v>
      </c>
      <c r="J8" s="129">
        <f>IF(Table44[[#This Row],[CODE]]=2, Table44[ [#This Row],[Account Deposit Amount] ]-Table44[ [#This Row],[Account Withdrawl Amount] ], )</f>
        <v>0</v>
      </c>
      <c r="K8" s="129">
        <f>IF(Table44[[#This Row],[CODE]]=3, Table44[ [#This Row],[Account Deposit Amount] ]-Table44[ [#This Row],[Account Withdrawl Amount] ], )</f>
        <v>0</v>
      </c>
      <c r="L8" s="128">
        <f>IF(Table44[[#This Row],[CODE]]=4, Table44[ [#This Row],[Account Deposit Amount] ]-Table44[ [#This Row],[Account Withdrawl Amount] ], )</f>
        <v>0</v>
      </c>
      <c r="M8" s="128">
        <f>IF(Table44[[#This Row],[CODE]]=5, Table44[ [#This Row],[Account Deposit Amount] ]-Table44[ [#This Row],[Account Withdrawl Amount] ], )</f>
        <v>0</v>
      </c>
      <c r="N8" s="128">
        <f>IF(Table44[[#This Row],[CODE]]=6, Table44[ [#This Row],[Account Deposit Amount] ]-Table44[ [#This Row],[Account Withdrawl Amount] ], )</f>
        <v>0</v>
      </c>
      <c r="O8" s="128">
        <f>IF(Table44[[#This Row],[CODE]]=11, Table44[ [#This Row],[Account Deposit Amount] ]-Table44[ [#This Row],[Account Withdrawl Amount] ], )</f>
        <v>0</v>
      </c>
      <c r="P8" s="128">
        <f>IF(Table44[[#This Row],[CODE]]=12, Table44[ [#This Row],[Account Deposit Amount] ]-Table44[ [#This Row],[Account Withdrawl Amount] ], )</f>
        <v>0</v>
      </c>
      <c r="Q8" s="128">
        <f>IF(Table44[[#This Row],[CODE]]=13, Table44[ [#This Row],[Account Deposit Amount] ]-Table44[ [#This Row],[Account Withdrawl Amount] ], )</f>
        <v>0</v>
      </c>
      <c r="R8" s="128">
        <f>IF(Table44[[#This Row],[CODE]]=14, Table44[ [#This Row],[Account Deposit Amount] ]-Table44[ [#This Row],[Account Withdrawl Amount] ], )</f>
        <v>0</v>
      </c>
      <c r="S8" s="128">
        <f>IF(Table44[[#This Row],[CODE]]=15, Table44[ [#This Row],[Account Deposit Amount] ]-Table44[ [#This Row],[Account Withdrawl Amount] ], )</f>
        <v>-16.54</v>
      </c>
      <c r="T8" s="128">
        <f>IF(Table44[[#This Row],[CODE]]=16, Table44[ [#This Row],[Account Deposit Amount] ]-Table44[ [#This Row],[Account Withdrawl Amount] ], )</f>
        <v>0</v>
      </c>
      <c r="U8" s="127">
        <f>IF(Table44[[#This Row],[CODE]]=17, Table44[ [#This Row],[Account Deposit Amount] ]-Table44[ [#This Row],[Account Withdrawl Amount] ], )</f>
        <v>0</v>
      </c>
    </row>
    <row r="9" spans="1:27" ht="16.2" thickBot="1">
      <c r="A9" s="150" t="s">
        <v>241</v>
      </c>
      <c r="B9" s="151">
        <v>44900</v>
      </c>
      <c r="C9" s="150" t="s">
        <v>375</v>
      </c>
      <c r="D9" s="132" t="s">
        <v>426</v>
      </c>
      <c r="E9" s="150"/>
      <c r="F9" s="150">
        <v>66.709999999999994</v>
      </c>
      <c r="G9" s="134">
        <f t="shared" si="2"/>
        <v>16681.319999999996</v>
      </c>
      <c r="H9" s="156">
        <v>15</v>
      </c>
      <c r="I9" s="127">
        <f>IF(Table44[[#This Row],[CODE]]=1, Table44[ [#This Row],[Account Deposit Amount] ]-Table44[ [#This Row],[Account Withdrawl Amount] ], )</f>
        <v>0</v>
      </c>
      <c r="J9" s="129">
        <f>IF(Table44[[#This Row],[CODE]]=2, Table44[ [#This Row],[Account Deposit Amount] ]-Table44[ [#This Row],[Account Withdrawl Amount] ], )</f>
        <v>0</v>
      </c>
      <c r="K9" s="129">
        <f>IF(Table44[[#This Row],[CODE]]=3, Table44[ [#This Row],[Account Deposit Amount] ]-Table44[ [#This Row],[Account Withdrawl Amount] ], )</f>
        <v>0</v>
      </c>
      <c r="L9" s="128">
        <f>IF(Table44[[#This Row],[CODE]]=4, Table44[ [#This Row],[Account Deposit Amount] ]-Table44[ [#This Row],[Account Withdrawl Amount] ], )</f>
        <v>0</v>
      </c>
      <c r="M9" s="128">
        <f>IF(Table44[[#This Row],[CODE]]=5, Table44[ [#This Row],[Account Deposit Amount] ]-Table44[ [#This Row],[Account Withdrawl Amount] ], )</f>
        <v>0</v>
      </c>
      <c r="N9" s="128">
        <f>IF(Table44[[#This Row],[CODE]]=6, Table44[ [#This Row],[Account Deposit Amount] ]-Table44[ [#This Row],[Account Withdrawl Amount] ], )</f>
        <v>0</v>
      </c>
      <c r="O9" s="128">
        <f>IF(Table44[[#This Row],[CODE]]=11, Table44[ [#This Row],[Account Deposit Amount] ]-Table44[ [#This Row],[Account Withdrawl Amount] ], )</f>
        <v>0</v>
      </c>
      <c r="P9" s="128">
        <f>IF(Table44[[#This Row],[CODE]]=12, Table44[ [#This Row],[Account Deposit Amount] ]-Table44[ [#This Row],[Account Withdrawl Amount] ], )</f>
        <v>0</v>
      </c>
      <c r="Q9" s="128">
        <f>IF(Table44[[#This Row],[CODE]]=13, Table44[ [#This Row],[Account Deposit Amount] ]-Table44[ [#This Row],[Account Withdrawl Amount] ], )</f>
        <v>0</v>
      </c>
      <c r="R9" s="128">
        <f>IF(Table44[[#This Row],[CODE]]=14, Table44[ [#This Row],[Account Deposit Amount] ]-Table44[ [#This Row],[Account Withdrawl Amount] ], )</f>
        <v>0</v>
      </c>
      <c r="S9" s="128">
        <f>IF(Table44[[#This Row],[CODE]]=15, Table44[ [#This Row],[Account Deposit Amount] ]-Table44[ [#This Row],[Account Withdrawl Amount] ], )</f>
        <v>-66.709999999999994</v>
      </c>
      <c r="T9" s="128">
        <f>IF(Table44[[#This Row],[CODE]]=16, Table44[ [#This Row],[Account Deposit Amount] ]-Table44[ [#This Row],[Account Withdrawl Amount] ], )</f>
        <v>0</v>
      </c>
      <c r="U9" s="127">
        <f>IF(Table44[[#This Row],[CODE]]=17, Table44[ [#This Row],[Account Deposit Amount] ]-Table44[ [#This Row],[Account Withdrawl Amount] ], )</f>
        <v>0</v>
      </c>
    </row>
    <row r="10" spans="1:27" ht="16.2" thickBot="1">
      <c r="A10" s="150" t="s">
        <v>238</v>
      </c>
      <c r="B10" s="151">
        <v>44903</v>
      </c>
      <c r="C10" s="150" t="s">
        <v>429</v>
      </c>
      <c r="D10" s="132" t="s">
        <v>430</v>
      </c>
      <c r="E10" s="150">
        <v>25</v>
      </c>
      <c r="F10" s="150"/>
      <c r="G10" s="134">
        <f t="shared" si="2"/>
        <v>16706.319999999996</v>
      </c>
      <c r="H10" s="130">
        <v>13</v>
      </c>
      <c r="I10" s="127">
        <f>IF(Table44[[#This Row],[CODE]]=1, Table44[ [#This Row],[Account Deposit Amount] ]-Table44[ [#This Row],[Account Withdrawl Amount] ], )</f>
        <v>0</v>
      </c>
      <c r="J10" s="129">
        <f>IF(Table44[[#This Row],[CODE]]=2, Table44[ [#This Row],[Account Deposit Amount] ]-Table44[ [#This Row],[Account Withdrawl Amount] ], )</f>
        <v>0</v>
      </c>
      <c r="K10" s="129">
        <f>IF(Table44[[#This Row],[CODE]]=3, Table44[ [#This Row],[Account Deposit Amount] ]-Table44[ [#This Row],[Account Withdrawl Amount] ], )</f>
        <v>0</v>
      </c>
      <c r="L10" s="128">
        <f>IF(Table44[[#This Row],[CODE]]=4, Table44[ [#This Row],[Account Deposit Amount] ]-Table44[ [#This Row],[Account Withdrawl Amount] ], )</f>
        <v>0</v>
      </c>
      <c r="M10" s="128">
        <f>IF(Table44[[#This Row],[CODE]]=5, Table44[ [#This Row],[Account Deposit Amount] ]-Table44[ [#This Row],[Account Withdrawl Amount] ], )</f>
        <v>0</v>
      </c>
      <c r="N10" s="128">
        <f>IF(Table44[[#This Row],[CODE]]=6, Table44[ [#This Row],[Account Deposit Amount] ]-Table44[ [#This Row],[Account Withdrawl Amount] ], )</f>
        <v>0</v>
      </c>
      <c r="O10" s="128">
        <f>IF(Table44[[#This Row],[CODE]]=11, Table44[ [#This Row],[Account Deposit Amount] ]-Table44[ [#This Row],[Account Withdrawl Amount] ], )</f>
        <v>0</v>
      </c>
      <c r="P10" s="128">
        <f>IF(Table44[[#This Row],[CODE]]=12, Table44[ [#This Row],[Account Deposit Amount] ]-Table44[ [#This Row],[Account Withdrawl Amount] ], )</f>
        <v>0</v>
      </c>
      <c r="Q10" s="128">
        <f>IF(Table44[[#This Row],[CODE]]=13, Table44[ [#This Row],[Account Deposit Amount] ]-Table44[ [#This Row],[Account Withdrawl Amount] ], )</f>
        <v>25</v>
      </c>
      <c r="R10" s="128">
        <f>IF(Table44[[#This Row],[CODE]]=14, Table44[ [#This Row],[Account Deposit Amount] ]-Table44[ [#This Row],[Account Withdrawl Amount] ], )</f>
        <v>0</v>
      </c>
      <c r="S10" s="128">
        <f>IF(Table44[[#This Row],[CODE]]=15, Table44[ [#This Row],[Account Deposit Amount] ]-Table44[ [#This Row],[Account Withdrawl Amount] ], )</f>
        <v>0</v>
      </c>
      <c r="T10" s="128">
        <f>IF(Table44[[#This Row],[CODE]]=16, Table44[ [#This Row],[Account Deposit Amount] ]-Table44[ [#This Row],[Account Withdrawl Amount] ], )</f>
        <v>0</v>
      </c>
      <c r="U10" s="127">
        <f>IF(Table44[[#This Row],[CODE]]=17, Table44[ [#This Row],[Account Deposit Amount] ]-Table44[ [#This Row],[Account Withdrawl Amount] ], )</f>
        <v>0</v>
      </c>
    </row>
    <row r="11" spans="1:27" ht="25.2" thickBot="1">
      <c r="A11" s="150" t="s">
        <v>431</v>
      </c>
      <c r="B11" s="151">
        <v>44908</v>
      </c>
      <c r="C11" s="150" t="s">
        <v>432</v>
      </c>
      <c r="D11" s="132" t="s">
        <v>433</v>
      </c>
      <c r="E11" s="150"/>
      <c r="F11" s="150">
        <v>134.57</v>
      </c>
      <c r="G11" s="134">
        <f t="shared" si="2"/>
        <v>16571.749999999996</v>
      </c>
      <c r="H11" s="130">
        <v>16</v>
      </c>
      <c r="I11" s="127">
        <f>IF(Table44[[#This Row],[CODE]]=1, Table44[ [#This Row],[Account Deposit Amount] ]-Table44[ [#This Row],[Account Withdrawl Amount] ], )</f>
        <v>0</v>
      </c>
      <c r="J11" s="129">
        <f>IF(Table44[[#This Row],[CODE]]=2, Table44[ [#This Row],[Account Deposit Amount] ]-Table44[ [#This Row],[Account Withdrawl Amount] ], )</f>
        <v>0</v>
      </c>
      <c r="K11" s="129">
        <f>IF(Table44[[#This Row],[CODE]]=3, Table44[ [#This Row],[Account Deposit Amount] ]-Table44[ [#This Row],[Account Withdrawl Amount] ], )</f>
        <v>0</v>
      </c>
      <c r="L11" s="128">
        <f>IF(Table44[[#This Row],[CODE]]=4, Table44[ [#This Row],[Account Deposit Amount] ]-Table44[ [#This Row],[Account Withdrawl Amount] ], )</f>
        <v>0</v>
      </c>
      <c r="M11" s="128">
        <f>IF(Table44[[#This Row],[CODE]]=5, Table44[ [#This Row],[Account Deposit Amount] ]-Table44[ [#This Row],[Account Withdrawl Amount] ], )</f>
        <v>0</v>
      </c>
      <c r="N11" s="128">
        <f>IF(Table44[[#This Row],[CODE]]=6, Table44[ [#This Row],[Account Deposit Amount] ]-Table44[ [#This Row],[Account Withdrawl Amount] ], )</f>
        <v>0</v>
      </c>
      <c r="O11" s="128">
        <f>IF(Table44[[#This Row],[CODE]]=11, Table44[ [#This Row],[Account Deposit Amount] ]-Table44[ [#This Row],[Account Withdrawl Amount] ], )</f>
        <v>0</v>
      </c>
      <c r="P11" s="128">
        <f>IF(Table44[[#This Row],[CODE]]=12, Table44[ [#This Row],[Account Deposit Amount] ]-Table44[ [#This Row],[Account Withdrawl Amount] ], )</f>
        <v>0</v>
      </c>
      <c r="Q11" s="128">
        <f>IF(Table44[[#This Row],[CODE]]=13, Table44[ [#This Row],[Account Deposit Amount] ]-Table44[ [#This Row],[Account Withdrawl Amount] ], )</f>
        <v>0</v>
      </c>
      <c r="R11" s="128">
        <f>IF(Table44[[#This Row],[CODE]]=14, Table44[ [#This Row],[Account Deposit Amount] ]-Table44[ [#This Row],[Account Withdrawl Amount] ], )</f>
        <v>0</v>
      </c>
      <c r="S11" s="128">
        <f>IF(Table44[[#This Row],[CODE]]=15, Table44[ [#This Row],[Account Deposit Amount] ]-Table44[ [#This Row],[Account Withdrawl Amount] ], )</f>
        <v>0</v>
      </c>
      <c r="T11" s="128">
        <f>IF(Table44[[#This Row],[CODE]]=16, Table44[ [#This Row],[Account Deposit Amount] ]-Table44[ [#This Row],[Account Withdrawl Amount] ], )</f>
        <v>-134.57</v>
      </c>
      <c r="U11" s="127">
        <f>IF(Table44[[#This Row],[CODE]]=17, Table44[ [#This Row],[Account Deposit Amount] ]-Table44[ [#This Row],[Account Withdrawl Amount] ], )</f>
        <v>0</v>
      </c>
    </row>
    <row r="12" spans="1:27" ht="16.2" thickBot="1">
      <c r="A12" s="150" t="s">
        <v>434</v>
      </c>
      <c r="B12" s="151">
        <v>44910</v>
      </c>
      <c r="C12" s="150" t="s">
        <v>435</v>
      </c>
      <c r="D12" s="132" t="s">
        <v>436</v>
      </c>
      <c r="E12" s="150"/>
      <c r="F12" s="150">
        <v>300</v>
      </c>
      <c r="G12" s="134">
        <f t="shared" si="2"/>
        <v>16271.749999999996</v>
      </c>
      <c r="H12" s="130">
        <v>16</v>
      </c>
      <c r="I12" s="127">
        <f>IF(Table44[[#This Row],[CODE]]=1, Table44[ [#This Row],[Account Deposit Amount] ]-Table44[ [#This Row],[Account Withdrawl Amount] ], )</f>
        <v>0</v>
      </c>
      <c r="J12" s="129">
        <f>IF(Table44[[#This Row],[CODE]]=2, Table44[ [#This Row],[Account Deposit Amount] ]-Table44[ [#This Row],[Account Withdrawl Amount] ], )</f>
        <v>0</v>
      </c>
      <c r="K12" s="129">
        <f>IF(Table44[[#This Row],[CODE]]=3, Table44[ [#This Row],[Account Deposit Amount] ]-Table44[ [#This Row],[Account Withdrawl Amount] ], )</f>
        <v>0</v>
      </c>
      <c r="L12" s="128">
        <f>IF(Table44[[#This Row],[CODE]]=4, Table44[ [#This Row],[Account Deposit Amount] ]-Table44[ [#This Row],[Account Withdrawl Amount] ], )</f>
        <v>0</v>
      </c>
      <c r="M12" s="128">
        <f>IF(Table44[[#This Row],[CODE]]=5, Table44[ [#This Row],[Account Deposit Amount] ]-Table44[ [#This Row],[Account Withdrawl Amount] ], )</f>
        <v>0</v>
      </c>
      <c r="N12" s="128">
        <f>IF(Table44[[#This Row],[CODE]]=6, Table44[ [#This Row],[Account Deposit Amount] ]-Table44[ [#This Row],[Account Withdrawl Amount] ], )</f>
        <v>0</v>
      </c>
      <c r="O12" s="128">
        <f>IF(Table44[[#This Row],[CODE]]=11, Table44[ [#This Row],[Account Deposit Amount] ]-Table44[ [#This Row],[Account Withdrawl Amount] ], )</f>
        <v>0</v>
      </c>
      <c r="P12" s="128">
        <f>IF(Table44[[#This Row],[CODE]]=12, Table44[ [#This Row],[Account Deposit Amount] ]-Table44[ [#This Row],[Account Withdrawl Amount] ], )</f>
        <v>0</v>
      </c>
      <c r="Q12" s="128">
        <f>IF(Table44[[#This Row],[CODE]]=13, Table44[ [#This Row],[Account Deposit Amount] ]-Table44[ [#This Row],[Account Withdrawl Amount] ], )</f>
        <v>0</v>
      </c>
      <c r="R12" s="128">
        <f>IF(Table44[[#This Row],[CODE]]=14, Table44[ [#This Row],[Account Deposit Amount] ]-Table44[ [#This Row],[Account Withdrawl Amount] ], )</f>
        <v>0</v>
      </c>
      <c r="S12" s="128">
        <f>IF(Table44[[#This Row],[CODE]]=15, Table44[ [#This Row],[Account Deposit Amount] ]-Table44[ [#This Row],[Account Withdrawl Amount] ], )</f>
        <v>0</v>
      </c>
      <c r="T12" s="128">
        <f>IF(Table44[[#This Row],[CODE]]=16, Table44[ [#This Row],[Account Deposit Amount] ]-Table44[ [#This Row],[Account Withdrawl Amount] ], )</f>
        <v>-300</v>
      </c>
      <c r="U12" s="127">
        <f>IF(Table44[[#This Row],[CODE]]=17, Table44[ [#This Row],[Account Deposit Amount] ]-Table44[ [#This Row],[Account Withdrawl Amount] ], )</f>
        <v>0</v>
      </c>
    </row>
    <row r="13" spans="1:27" ht="25.2" thickBot="1">
      <c r="A13" s="150" t="s">
        <v>241</v>
      </c>
      <c r="B13" s="151">
        <v>44910</v>
      </c>
      <c r="C13" s="150" t="s">
        <v>268</v>
      </c>
      <c r="D13" s="132" t="s">
        <v>437</v>
      </c>
      <c r="E13" s="150"/>
      <c r="F13" s="150">
        <v>53.27</v>
      </c>
      <c r="G13" s="134">
        <f t="shared" si="2"/>
        <v>16218.479999999996</v>
      </c>
      <c r="H13" s="130">
        <v>13</v>
      </c>
      <c r="I13" s="127">
        <f>IF(Table44[[#This Row],[CODE]]=1, Table44[ [#This Row],[Account Deposit Amount] ]-Table44[ [#This Row],[Account Withdrawl Amount] ], )</f>
        <v>0</v>
      </c>
      <c r="J13" s="129">
        <f>IF(Table44[[#This Row],[CODE]]=2, Table44[ [#This Row],[Account Deposit Amount] ]-Table44[ [#This Row],[Account Withdrawl Amount] ], )</f>
        <v>0</v>
      </c>
      <c r="K13" s="129">
        <f>IF(Table44[[#This Row],[CODE]]=3, Table44[ [#This Row],[Account Deposit Amount] ]-Table44[ [#This Row],[Account Withdrawl Amount] ], )</f>
        <v>0</v>
      </c>
      <c r="L13" s="128">
        <f>IF(Table44[[#This Row],[CODE]]=4, Table44[ [#This Row],[Account Deposit Amount] ]-Table44[ [#This Row],[Account Withdrawl Amount] ], )</f>
        <v>0</v>
      </c>
      <c r="M13" s="128">
        <f>IF(Table44[[#This Row],[CODE]]=5, Table44[ [#This Row],[Account Deposit Amount] ]-Table44[ [#This Row],[Account Withdrawl Amount] ], )</f>
        <v>0</v>
      </c>
      <c r="N13" s="128">
        <f>IF(Table44[[#This Row],[CODE]]=6, Table44[ [#This Row],[Account Deposit Amount] ]-Table44[ [#This Row],[Account Withdrawl Amount] ], )</f>
        <v>0</v>
      </c>
      <c r="O13" s="128">
        <f>IF(Table44[[#This Row],[CODE]]=11, Table44[ [#This Row],[Account Deposit Amount] ]-Table44[ [#This Row],[Account Withdrawl Amount] ], )</f>
        <v>0</v>
      </c>
      <c r="P13" s="128">
        <f>IF(Table44[[#This Row],[CODE]]=12, Table44[ [#This Row],[Account Deposit Amount] ]-Table44[ [#This Row],[Account Withdrawl Amount] ], )</f>
        <v>0</v>
      </c>
      <c r="Q13" s="128">
        <f>IF(Table44[[#This Row],[CODE]]=13, Table44[ [#This Row],[Account Deposit Amount] ]-Table44[ [#This Row],[Account Withdrawl Amount] ], )</f>
        <v>-53.27</v>
      </c>
      <c r="R13" s="128">
        <f>IF(Table44[[#This Row],[CODE]]=14, Table44[ [#This Row],[Account Deposit Amount] ]-Table44[ [#This Row],[Account Withdrawl Amount] ], )</f>
        <v>0</v>
      </c>
      <c r="S13" s="128">
        <f>IF(Table44[[#This Row],[CODE]]=15, Table44[ [#This Row],[Account Deposit Amount] ]-Table44[ [#This Row],[Account Withdrawl Amount] ], )</f>
        <v>0</v>
      </c>
      <c r="T13" s="128">
        <f>IF(Table44[[#This Row],[CODE]]=16, Table44[ [#This Row],[Account Deposit Amount] ]-Table44[ [#This Row],[Account Withdrawl Amount] ], )</f>
        <v>0</v>
      </c>
      <c r="U13" s="127">
        <f>IF(Table44[[#This Row],[CODE]]=17, Table44[ [#This Row],[Account Deposit Amount] ]-Table44[ [#This Row],[Account Withdrawl Amount] ], )</f>
        <v>0</v>
      </c>
    </row>
    <row r="14" spans="1:27" ht="16.2" thickBot="1">
      <c r="A14" s="150" t="s">
        <v>241</v>
      </c>
      <c r="B14" s="151">
        <v>44911</v>
      </c>
      <c r="C14" s="150" t="s">
        <v>427</v>
      </c>
      <c r="D14" s="132" t="s">
        <v>438</v>
      </c>
      <c r="E14" s="150"/>
      <c r="F14" s="150">
        <v>12.07</v>
      </c>
      <c r="G14" s="134">
        <f t="shared" si="2"/>
        <v>16206.409999999996</v>
      </c>
      <c r="H14" s="130">
        <v>15</v>
      </c>
      <c r="I14" s="127">
        <f>IF(Table44[[#This Row],[CODE]]=1, Table44[ [#This Row],[Account Deposit Amount] ]-Table44[ [#This Row],[Account Withdrawl Amount] ], )</f>
        <v>0</v>
      </c>
      <c r="J14" s="129">
        <f>IF(Table44[[#This Row],[CODE]]=2, Table44[ [#This Row],[Account Deposit Amount] ]-Table44[ [#This Row],[Account Withdrawl Amount] ], )</f>
        <v>0</v>
      </c>
      <c r="K14" s="129">
        <f>IF(Table44[[#This Row],[CODE]]=3, Table44[ [#This Row],[Account Deposit Amount] ]-Table44[ [#This Row],[Account Withdrawl Amount] ], )</f>
        <v>0</v>
      </c>
      <c r="L14" s="128">
        <f>IF(Table44[[#This Row],[CODE]]=4, Table44[ [#This Row],[Account Deposit Amount] ]-Table44[ [#This Row],[Account Withdrawl Amount] ], )</f>
        <v>0</v>
      </c>
      <c r="M14" s="128">
        <f>IF(Table44[[#This Row],[CODE]]=5, Table44[ [#This Row],[Account Deposit Amount] ]-Table44[ [#This Row],[Account Withdrawl Amount] ], )</f>
        <v>0</v>
      </c>
      <c r="N14" s="128">
        <f>IF(Table44[[#This Row],[CODE]]=6, Table44[ [#This Row],[Account Deposit Amount] ]-Table44[ [#This Row],[Account Withdrawl Amount] ], )</f>
        <v>0</v>
      </c>
      <c r="O14" s="128">
        <f>IF(Table44[[#This Row],[CODE]]=11, Table44[ [#This Row],[Account Deposit Amount] ]-Table44[ [#This Row],[Account Withdrawl Amount] ], )</f>
        <v>0</v>
      </c>
      <c r="P14" s="128">
        <f>IF(Table44[[#This Row],[CODE]]=12, Table44[ [#This Row],[Account Deposit Amount] ]-Table44[ [#This Row],[Account Withdrawl Amount] ], )</f>
        <v>0</v>
      </c>
      <c r="Q14" s="128">
        <f>IF(Table44[[#This Row],[CODE]]=13, Table44[ [#This Row],[Account Deposit Amount] ]-Table44[ [#This Row],[Account Withdrawl Amount] ], )</f>
        <v>0</v>
      </c>
      <c r="R14" s="128">
        <f>IF(Table44[[#This Row],[CODE]]=14, Table44[ [#This Row],[Account Deposit Amount] ]-Table44[ [#This Row],[Account Withdrawl Amount] ], )</f>
        <v>0</v>
      </c>
      <c r="S14" s="128">
        <f>IF(Table44[[#This Row],[CODE]]=15, Table44[ [#This Row],[Account Deposit Amount] ]-Table44[ [#This Row],[Account Withdrawl Amount] ], )</f>
        <v>-12.07</v>
      </c>
      <c r="T14" s="128">
        <f>IF(Table44[[#This Row],[CODE]]=16, Table44[ [#This Row],[Account Deposit Amount] ]-Table44[ [#This Row],[Account Withdrawl Amount] ], )</f>
        <v>0</v>
      </c>
      <c r="U14" s="127">
        <f>IF(Table44[[#This Row],[CODE]]=17, Table44[ [#This Row],[Account Deposit Amount] ]-Table44[ [#This Row],[Account Withdrawl Amount] ], )</f>
        <v>0</v>
      </c>
    </row>
    <row r="15" spans="1:27" ht="37.200000000000003" thickBot="1">
      <c r="A15" s="150" t="s">
        <v>241</v>
      </c>
      <c r="B15" s="151">
        <v>44911</v>
      </c>
      <c r="C15" s="150" t="s">
        <v>362</v>
      </c>
      <c r="D15" s="132" t="s">
        <v>439</v>
      </c>
      <c r="E15" s="150"/>
      <c r="F15" s="150">
        <v>47.49</v>
      </c>
      <c r="G15" s="134">
        <f t="shared" si="2"/>
        <v>16158.919999999996</v>
      </c>
      <c r="H15" s="130">
        <v>13</v>
      </c>
      <c r="I15" s="127">
        <f>IF(Table44[[#This Row],[CODE]]=1, Table44[ [#This Row],[Account Deposit Amount] ]-Table44[ [#This Row],[Account Withdrawl Amount] ], )</f>
        <v>0</v>
      </c>
      <c r="J15" s="129">
        <f>IF(Table44[[#This Row],[CODE]]=2, Table44[ [#This Row],[Account Deposit Amount] ]-Table44[ [#This Row],[Account Withdrawl Amount] ], )</f>
        <v>0</v>
      </c>
      <c r="K15" s="129">
        <f>IF(Table44[[#This Row],[CODE]]=3, Table44[ [#This Row],[Account Deposit Amount] ]-Table44[ [#This Row],[Account Withdrawl Amount] ], )</f>
        <v>0</v>
      </c>
      <c r="L15" s="128">
        <f>IF(Table44[[#This Row],[CODE]]=4, Table44[ [#This Row],[Account Deposit Amount] ]-Table44[ [#This Row],[Account Withdrawl Amount] ], )</f>
        <v>0</v>
      </c>
      <c r="M15" s="128">
        <f>IF(Table44[[#This Row],[CODE]]=5, Table44[ [#This Row],[Account Deposit Amount] ]-Table44[ [#This Row],[Account Withdrawl Amount] ], )</f>
        <v>0</v>
      </c>
      <c r="N15" s="128">
        <f>IF(Table44[[#This Row],[CODE]]=6, Table44[ [#This Row],[Account Deposit Amount] ]-Table44[ [#This Row],[Account Withdrawl Amount] ], )</f>
        <v>0</v>
      </c>
      <c r="O15" s="128">
        <f>IF(Table44[[#This Row],[CODE]]=11, Table44[ [#This Row],[Account Deposit Amount] ]-Table44[ [#This Row],[Account Withdrawl Amount] ], )</f>
        <v>0</v>
      </c>
      <c r="P15" s="128">
        <f>IF(Table44[[#This Row],[CODE]]=12, Table44[ [#This Row],[Account Deposit Amount] ]-Table44[ [#This Row],[Account Withdrawl Amount] ], )</f>
        <v>0</v>
      </c>
      <c r="Q15" s="128">
        <f>IF(Table44[[#This Row],[CODE]]=13, Table44[ [#This Row],[Account Deposit Amount] ]-Table44[ [#This Row],[Account Withdrawl Amount] ], )</f>
        <v>-47.49</v>
      </c>
      <c r="R15" s="128">
        <f>IF(Table44[[#This Row],[CODE]]=14, Table44[ [#This Row],[Account Deposit Amount] ]-Table44[ [#This Row],[Account Withdrawl Amount] ], )</f>
        <v>0</v>
      </c>
      <c r="S15" s="128">
        <f>IF(Table44[[#This Row],[CODE]]=15, Table44[ [#This Row],[Account Deposit Amount] ]-Table44[ [#This Row],[Account Withdrawl Amount] ], )</f>
        <v>0</v>
      </c>
      <c r="T15" s="128">
        <f>IF(Table44[[#This Row],[CODE]]=16, Table44[ [#This Row],[Account Deposit Amount] ]-Table44[ [#This Row],[Account Withdrawl Amount] ], )</f>
        <v>0</v>
      </c>
      <c r="U15" s="127">
        <f>IF(Table44[[#This Row],[CODE]]=17, Table44[ [#This Row],[Account Deposit Amount] ]-Table44[ [#This Row],[Account Withdrawl Amount] ], )</f>
        <v>0</v>
      </c>
    </row>
    <row r="16" spans="1:27" ht="25.2" thickBot="1">
      <c r="A16" s="150" t="s">
        <v>241</v>
      </c>
      <c r="B16" s="151">
        <v>44911</v>
      </c>
      <c r="C16" s="150" t="s">
        <v>268</v>
      </c>
      <c r="D16" s="132" t="s">
        <v>440</v>
      </c>
      <c r="E16" s="150"/>
      <c r="F16" s="150">
        <v>10</v>
      </c>
      <c r="G16" s="134">
        <f t="shared" si="2"/>
        <v>16148.919999999996</v>
      </c>
      <c r="H16" s="130">
        <v>13</v>
      </c>
      <c r="I16" s="127">
        <f>IF(Table44[[#This Row],[CODE]]=1, Table44[ [#This Row],[Account Deposit Amount] ]-Table44[ [#This Row],[Account Withdrawl Amount] ], )</f>
        <v>0</v>
      </c>
      <c r="J16" s="129">
        <f>IF(Table44[[#This Row],[CODE]]=2, Table44[ [#This Row],[Account Deposit Amount] ]-Table44[ [#This Row],[Account Withdrawl Amount] ], )</f>
        <v>0</v>
      </c>
      <c r="K16" s="129">
        <f>IF(Table44[[#This Row],[CODE]]=3, Table44[ [#This Row],[Account Deposit Amount] ]-Table44[ [#This Row],[Account Withdrawl Amount] ], )</f>
        <v>0</v>
      </c>
      <c r="L16" s="128">
        <f>IF(Table44[[#This Row],[CODE]]=4, Table44[ [#This Row],[Account Deposit Amount] ]-Table44[ [#This Row],[Account Withdrawl Amount] ], )</f>
        <v>0</v>
      </c>
      <c r="M16" s="128">
        <f>IF(Table44[[#This Row],[CODE]]=5, Table44[ [#This Row],[Account Deposit Amount] ]-Table44[ [#This Row],[Account Withdrawl Amount] ], )</f>
        <v>0</v>
      </c>
      <c r="N16" s="128">
        <f>IF(Table44[[#This Row],[CODE]]=6, Table44[ [#This Row],[Account Deposit Amount] ]-Table44[ [#This Row],[Account Withdrawl Amount] ], )</f>
        <v>0</v>
      </c>
      <c r="O16" s="128">
        <f>IF(Table44[[#This Row],[CODE]]=11, Table44[ [#This Row],[Account Deposit Amount] ]-Table44[ [#This Row],[Account Withdrawl Amount] ], )</f>
        <v>0</v>
      </c>
      <c r="P16" s="128">
        <f>IF(Table44[[#This Row],[CODE]]=12, Table44[ [#This Row],[Account Deposit Amount] ]-Table44[ [#This Row],[Account Withdrawl Amount] ], )</f>
        <v>0</v>
      </c>
      <c r="Q16" s="128">
        <f>IF(Table44[[#This Row],[CODE]]=13, Table44[ [#This Row],[Account Deposit Amount] ]-Table44[ [#This Row],[Account Withdrawl Amount] ], )</f>
        <v>-10</v>
      </c>
      <c r="R16" s="128">
        <f>IF(Table44[[#This Row],[CODE]]=14, Table44[ [#This Row],[Account Deposit Amount] ]-Table44[ [#This Row],[Account Withdrawl Amount] ], )</f>
        <v>0</v>
      </c>
      <c r="S16" s="128">
        <f>IF(Table44[[#This Row],[CODE]]=15, Table44[ [#This Row],[Account Deposit Amount] ]-Table44[ [#This Row],[Account Withdrawl Amount] ], )</f>
        <v>0</v>
      </c>
      <c r="T16" s="128">
        <f>IF(Table44[[#This Row],[CODE]]=16, Table44[ [#This Row],[Account Deposit Amount] ]-Table44[ [#This Row],[Account Withdrawl Amount] ], )</f>
        <v>0</v>
      </c>
      <c r="U16" s="127">
        <f>IF(Table44[[#This Row],[CODE]]=17, Table44[ [#This Row],[Account Deposit Amount] ]-Table44[ [#This Row],[Account Withdrawl Amount] ], )</f>
        <v>0</v>
      </c>
    </row>
    <row r="17" spans="1:21" ht="16.2" thickBot="1">
      <c r="A17" s="150" t="s">
        <v>241</v>
      </c>
      <c r="B17" s="151">
        <v>44919</v>
      </c>
      <c r="C17" s="150" t="s">
        <v>441</v>
      </c>
      <c r="D17" s="132" t="s">
        <v>442</v>
      </c>
      <c r="E17" s="150"/>
      <c r="F17" s="150">
        <v>495</v>
      </c>
      <c r="G17" s="134">
        <f t="shared" si="2"/>
        <v>15653.919999999996</v>
      </c>
      <c r="H17" s="130">
        <v>13</v>
      </c>
      <c r="I17" s="127">
        <f>IF(Table44[[#This Row],[CODE]]=1, Table44[ [#This Row],[Account Deposit Amount] ]-Table44[ [#This Row],[Account Withdrawl Amount] ], )</f>
        <v>0</v>
      </c>
      <c r="J17" s="129">
        <f>IF(Table44[[#This Row],[CODE]]=2, Table44[ [#This Row],[Account Deposit Amount] ]-Table44[ [#This Row],[Account Withdrawl Amount] ], )</f>
        <v>0</v>
      </c>
      <c r="K17" s="129">
        <f>IF(Table44[[#This Row],[CODE]]=3, Table44[ [#This Row],[Account Deposit Amount] ]-Table44[ [#This Row],[Account Withdrawl Amount] ], )</f>
        <v>0</v>
      </c>
      <c r="L17" s="128">
        <f>IF(Table44[[#This Row],[CODE]]=4, Table44[ [#This Row],[Account Deposit Amount] ]-Table44[ [#This Row],[Account Withdrawl Amount] ], )</f>
        <v>0</v>
      </c>
      <c r="M17" s="128">
        <f>IF(Table44[[#This Row],[CODE]]=5, Table44[ [#This Row],[Account Deposit Amount] ]-Table44[ [#This Row],[Account Withdrawl Amount] ], )</f>
        <v>0</v>
      </c>
      <c r="N17" s="128">
        <f>IF(Table44[[#This Row],[CODE]]=6, Table44[ [#This Row],[Account Deposit Amount] ]-Table44[ [#This Row],[Account Withdrawl Amount] ], )</f>
        <v>0</v>
      </c>
      <c r="O17" s="128">
        <f>IF(Table44[[#This Row],[CODE]]=11, Table44[ [#This Row],[Account Deposit Amount] ]-Table44[ [#This Row],[Account Withdrawl Amount] ], )</f>
        <v>0</v>
      </c>
      <c r="P17" s="128">
        <f>IF(Table44[[#This Row],[CODE]]=12, Table44[ [#This Row],[Account Deposit Amount] ]-Table44[ [#This Row],[Account Withdrawl Amount] ], )</f>
        <v>0</v>
      </c>
      <c r="Q17" s="128">
        <f>IF(Table44[[#This Row],[CODE]]=13, Table44[ [#This Row],[Account Deposit Amount] ]-Table44[ [#This Row],[Account Withdrawl Amount] ], )</f>
        <v>-495</v>
      </c>
      <c r="R17" s="128">
        <f>IF(Table44[[#This Row],[CODE]]=14, Table44[ [#This Row],[Account Deposit Amount] ]-Table44[ [#This Row],[Account Withdrawl Amount] ], )</f>
        <v>0</v>
      </c>
      <c r="S17" s="128">
        <f>IF(Table44[[#This Row],[CODE]]=15, Table44[ [#This Row],[Account Deposit Amount] ]-Table44[ [#This Row],[Account Withdrawl Amount] ], )</f>
        <v>0</v>
      </c>
      <c r="T17" s="128">
        <f>IF(Table44[[#This Row],[CODE]]=16, Table44[ [#This Row],[Account Deposit Amount] ]-Table44[ [#This Row],[Account Withdrawl Amount] ], )</f>
        <v>0</v>
      </c>
      <c r="U17" s="127">
        <f>IF(Table44[[#This Row],[CODE]]=17, Table44[ [#This Row],[Account Deposit Amount] ]-Table44[ [#This Row],[Account Withdrawl Amount] ], )</f>
        <v>0</v>
      </c>
    </row>
    <row r="18" spans="1:21" ht="25.2" thickBot="1">
      <c r="A18" s="150" t="s">
        <v>443</v>
      </c>
      <c r="B18" s="151">
        <v>44922</v>
      </c>
      <c r="C18" s="150" t="s">
        <v>396</v>
      </c>
      <c r="D18" s="132" t="s">
        <v>444</v>
      </c>
      <c r="E18" s="150"/>
      <c r="F18" s="150">
        <v>27.81</v>
      </c>
      <c r="G18" s="134">
        <f t="shared" si="2"/>
        <v>15626.109999999997</v>
      </c>
      <c r="H18" s="130">
        <v>15</v>
      </c>
      <c r="I18" s="127">
        <f>IF(Table44[[#This Row],[CODE]]=1, Table44[ [#This Row],[Account Deposit Amount] ]-Table44[ [#This Row],[Account Withdrawl Amount] ], )</f>
        <v>0</v>
      </c>
      <c r="J18" s="129">
        <f>IF(Table44[[#This Row],[CODE]]=2, Table44[ [#This Row],[Account Deposit Amount] ]-Table44[ [#This Row],[Account Withdrawl Amount] ], )</f>
        <v>0</v>
      </c>
      <c r="K18" s="129">
        <f>IF(Table44[[#This Row],[CODE]]=3, Table44[ [#This Row],[Account Deposit Amount] ]-Table44[ [#This Row],[Account Withdrawl Amount] ], )</f>
        <v>0</v>
      </c>
      <c r="L18" s="128">
        <f>IF(Table44[[#This Row],[CODE]]=4, Table44[ [#This Row],[Account Deposit Amount] ]-Table44[ [#This Row],[Account Withdrawl Amount] ], )</f>
        <v>0</v>
      </c>
      <c r="M18" s="128">
        <f>IF(Table44[[#This Row],[CODE]]=5, Table44[ [#This Row],[Account Deposit Amount] ]-Table44[ [#This Row],[Account Withdrawl Amount] ], )</f>
        <v>0</v>
      </c>
      <c r="N18" s="128">
        <f>IF(Table44[[#This Row],[CODE]]=6, Table44[ [#This Row],[Account Deposit Amount] ]-Table44[ [#This Row],[Account Withdrawl Amount] ], )</f>
        <v>0</v>
      </c>
      <c r="O18" s="128">
        <f>IF(Table44[[#This Row],[CODE]]=11, Table44[ [#This Row],[Account Deposit Amount] ]-Table44[ [#This Row],[Account Withdrawl Amount] ], )</f>
        <v>0</v>
      </c>
      <c r="P18" s="128">
        <f>IF(Table44[[#This Row],[CODE]]=12, Table44[ [#This Row],[Account Deposit Amount] ]-Table44[ [#This Row],[Account Withdrawl Amount] ], )</f>
        <v>0</v>
      </c>
      <c r="Q18" s="128">
        <f>IF(Table44[[#This Row],[CODE]]=13, Table44[ [#This Row],[Account Deposit Amount] ]-Table44[ [#This Row],[Account Withdrawl Amount] ], )</f>
        <v>0</v>
      </c>
      <c r="R18" s="128">
        <f>IF(Table44[[#This Row],[CODE]]=14, Table44[ [#This Row],[Account Deposit Amount] ]-Table44[ [#This Row],[Account Withdrawl Amount] ], )</f>
        <v>0</v>
      </c>
      <c r="S18" s="128">
        <f>IF(Table44[[#This Row],[CODE]]=15, Table44[ [#This Row],[Account Deposit Amount] ]-Table44[ [#This Row],[Account Withdrawl Amount] ], )</f>
        <v>-27.81</v>
      </c>
      <c r="T18" s="128">
        <f>IF(Table44[[#This Row],[CODE]]=16, Table44[ [#This Row],[Account Deposit Amount] ]-Table44[ [#This Row],[Account Withdrawl Amount] ], )</f>
        <v>0</v>
      </c>
      <c r="U18" s="127">
        <f>IF(Table44[[#This Row],[CODE]]=17, Table44[ [#This Row],[Account Deposit Amount] ]-Table44[ [#This Row],[Account Withdrawl Amount] ], )</f>
        <v>0</v>
      </c>
    </row>
    <row r="19" spans="1:21" ht="25.2" thickBot="1">
      <c r="A19" s="150" t="s">
        <v>445</v>
      </c>
      <c r="B19" s="151">
        <v>44924</v>
      </c>
      <c r="C19" s="150" t="s">
        <v>446</v>
      </c>
      <c r="D19" s="132" t="s">
        <v>447</v>
      </c>
      <c r="E19" s="150"/>
      <c r="F19" s="150">
        <v>50</v>
      </c>
      <c r="G19" s="134">
        <f t="shared" si="2"/>
        <v>15576.109999999997</v>
      </c>
      <c r="H19" s="130">
        <v>16</v>
      </c>
      <c r="I19" s="127">
        <f>IF(Table44[[#This Row],[CODE]]=1, Table44[ [#This Row],[Account Deposit Amount] ]-Table44[ [#This Row],[Account Withdrawl Amount] ], )</f>
        <v>0</v>
      </c>
      <c r="J19" s="129">
        <f>IF(Table44[[#This Row],[CODE]]=2, Table44[ [#This Row],[Account Deposit Amount] ]-Table44[ [#This Row],[Account Withdrawl Amount] ], )</f>
        <v>0</v>
      </c>
      <c r="K19" s="129">
        <f>IF(Table44[[#This Row],[CODE]]=3, Table44[ [#This Row],[Account Deposit Amount] ]-Table44[ [#This Row],[Account Withdrawl Amount] ], )</f>
        <v>0</v>
      </c>
      <c r="L19" s="128">
        <f>IF(Table44[[#This Row],[CODE]]=4, Table44[ [#This Row],[Account Deposit Amount] ]-Table44[ [#This Row],[Account Withdrawl Amount] ], )</f>
        <v>0</v>
      </c>
      <c r="M19" s="128">
        <f>IF(Table44[[#This Row],[CODE]]=5, Table44[ [#This Row],[Account Deposit Amount] ]-Table44[ [#This Row],[Account Withdrawl Amount] ], )</f>
        <v>0</v>
      </c>
      <c r="N19" s="128">
        <f>IF(Table44[[#This Row],[CODE]]=6, Table44[ [#This Row],[Account Deposit Amount] ]-Table44[ [#This Row],[Account Withdrawl Amount] ], )</f>
        <v>0</v>
      </c>
      <c r="O19" s="128">
        <f>IF(Table44[[#This Row],[CODE]]=11, Table44[ [#This Row],[Account Deposit Amount] ]-Table44[ [#This Row],[Account Withdrawl Amount] ], )</f>
        <v>0</v>
      </c>
      <c r="P19" s="128">
        <f>IF(Table44[[#This Row],[CODE]]=12, Table44[ [#This Row],[Account Deposit Amount] ]-Table44[ [#This Row],[Account Withdrawl Amount] ], )</f>
        <v>0</v>
      </c>
      <c r="Q19" s="128">
        <f>IF(Table44[[#This Row],[CODE]]=13, Table44[ [#This Row],[Account Deposit Amount] ]-Table44[ [#This Row],[Account Withdrawl Amount] ], )</f>
        <v>0</v>
      </c>
      <c r="R19" s="128">
        <f>IF(Table44[[#This Row],[CODE]]=14, Table44[ [#This Row],[Account Deposit Amount] ]-Table44[ [#This Row],[Account Withdrawl Amount] ], )</f>
        <v>0</v>
      </c>
      <c r="S19" s="128">
        <f>IF(Table44[[#This Row],[CODE]]=15, Table44[ [#This Row],[Account Deposit Amount] ]-Table44[ [#This Row],[Account Withdrawl Amount] ], )</f>
        <v>0</v>
      </c>
      <c r="T19" s="128">
        <f>IF(Table44[[#This Row],[CODE]]=16, Table44[ [#This Row],[Account Deposit Amount] ]-Table44[ [#This Row],[Account Withdrawl Amount] ], )</f>
        <v>-50</v>
      </c>
      <c r="U19" s="127">
        <f>IF(Table44[[#This Row],[CODE]]=17, Table44[ [#This Row],[Account Deposit Amount] ]-Table44[ [#This Row],[Account Withdrawl Amount] ], )</f>
        <v>0</v>
      </c>
    </row>
    <row r="20" spans="1:21" ht="16.2" thickBot="1">
      <c r="A20" s="130"/>
      <c r="B20" s="133"/>
      <c r="C20" s="130"/>
      <c r="D20" s="132"/>
      <c r="E20" s="128"/>
      <c r="F20" s="128"/>
      <c r="G20" s="134">
        <f t="shared" si="2"/>
        <v>15576.109999999997</v>
      </c>
      <c r="H20" s="130"/>
      <c r="I20" s="127">
        <f>IF(Table44[[#This Row],[CODE]]=1, Table44[ [#This Row],[Account Deposit Amount] ]-Table44[ [#This Row],[Account Withdrawl Amount] ], )</f>
        <v>0</v>
      </c>
      <c r="J20" s="129">
        <f>IF(Table44[[#This Row],[CODE]]=2, Table44[ [#This Row],[Account Deposit Amount] ]-Table44[ [#This Row],[Account Withdrawl Amount] ], )</f>
        <v>0</v>
      </c>
      <c r="K20" s="129">
        <f>IF(Table44[[#This Row],[CODE]]=3, Table44[ [#This Row],[Account Deposit Amount] ]-Table44[ [#This Row],[Account Withdrawl Amount] ], )</f>
        <v>0</v>
      </c>
      <c r="L20" s="128">
        <f>IF(Table44[[#This Row],[CODE]]=4, Table44[ [#This Row],[Account Deposit Amount] ]-Table44[ [#This Row],[Account Withdrawl Amount] ], )</f>
        <v>0</v>
      </c>
      <c r="M20" s="128">
        <f>IF(Table44[[#This Row],[CODE]]=5, Table44[ [#This Row],[Account Deposit Amount] ]-Table44[ [#This Row],[Account Withdrawl Amount] ], )</f>
        <v>0</v>
      </c>
      <c r="N20" s="128">
        <f>IF(Table44[[#This Row],[CODE]]=6, Table44[ [#This Row],[Account Deposit Amount] ]-Table44[ [#This Row],[Account Withdrawl Amount] ], )</f>
        <v>0</v>
      </c>
      <c r="O20" s="128">
        <f>IF(Table44[[#This Row],[CODE]]=11, Table44[ [#This Row],[Account Deposit Amount] ]-Table44[ [#This Row],[Account Withdrawl Amount] ], )</f>
        <v>0</v>
      </c>
      <c r="P20" s="128">
        <f>IF(Table44[[#This Row],[CODE]]=12, Table44[ [#This Row],[Account Deposit Amount] ]-Table44[ [#This Row],[Account Withdrawl Amount] ], )</f>
        <v>0</v>
      </c>
      <c r="Q20" s="128">
        <f>IF(Table44[[#This Row],[CODE]]=13, Table44[ [#This Row],[Account Deposit Amount] ]-Table44[ [#This Row],[Account Withdrawl Amount] ], )</f>
        <v>0</v>
      </c>
      <c r="R20" s="128">
        <f>IF(Table44[[#This Row],[CODE]]=14, Table44[ [#This Row],[Account Deposit Amount] ]-Table44[ [#This Row],[Account Withdrawl Amount] ], )</f>
        <v>0</v>
      </c>
      <c r="S20" s="128">
        <f>IF(Table44[[#This Row],[CODE]]=15, Table44[ [#This Row],[Account Deposit Amount] ]-Table44[ [#This Row],[Account Withdrawl Amount] ], )</f>
        <v>0</v>
      </c>
      <c r="T20" s="128">
        <f>IF(Table44[[#This Row],[CODE]]=16, Table44[ [#This Row],[Account Deposit Amount] ]-Table44[ [#This Row],[Account Withdrawl Amount] ], )</f>
        <v>0</v>
      </c>
      <c r="U20" s="127">
        <f>IF(Table44[[#This Row],[CODE]]=17, Table44[ [#This Row],[Account Deposit Amount] ]-Table44[ [#This Row],[Account Withdrawl Amount] ], )</f>
        <v>0</v>
      </c>
    </row>
    <row r="21" spans="1:21" ht="16.2" thickBot="1">
      <c r="A21" s="130"/>
      <c r="B21" s="133"/>
      <c r="C21" s="130"/>
      <c r="D21" s="132"/>
      <c r="E21" s="128"/>
      <c r="F21" s="128"/>
      <c r="G21" s="134">
        <f t="shared" si="2"/>
        <v>15576.109999999997</v>
      </c>
      <c r="H21" s="130"/>
      <c r="I21" s="127">
        <f>IF(Table44[[#This Row],[CODE]]=1, Table44[ [#This Row],[Account Deposit Amount] ]-Table44[ [#This Row],[Account Withdrawl Amount] ], )</f>
        <v>0</v>
      </c>
      <c r="J21" s="129">
        <f>IF(Table44[[#This Row],[CODE]]=2, Table44[ [#This Row],[Account Deposit Amount] ]-Table44[ [#This Row],[Account Withdrawl Amount] ], )</f>
        <v>0</v>
      </c>
      <c r="K21" s="129">
        <f>IF(Table44[[#This Row],[CODE]]=3, Table44[ [#This Row],[Account Deposit Amount] ]-Table44[ [#This Row],[Account Withdrawl Amount] ], )</f>
        <v>0</v>
      </c>
      <c r="L21" s="128">
        <f>IF(Table44[[#This Row],[CODE]]=4, Table44[ [#This Row],[Account Deposit Amount] ]-Table44[ [#This Row],[Account Withdrawl Amount] ], )</f>
        <v>0</v>
      </c>
      <c r="M21" s="128">
        <f>IF(Table44[[#This Row],[CODE]]=5, Table44[ [#This Row],[Account Deposit Amount] ]-Table44[ [#This Row],[Account Withdrawl Amount] ], )</f>
        <v>0</v>
      </c>
      <c r="N21" s="128">
        <f>IF(Table44[[#This Row],[CODE]]=6, Table44[ [#This Row],[Account Deposit Amount] ]-Table44[ [#This Row],[Account Withdrawl Amount] ], )</f>
        <v>0</v>
      </c>
      <c r="O21" s="128">
        <f>IF(Table44[[#This Row],[CODE]]=11, Table44[ [#This Row],[Account Deposit Amount] ]-Table44[ [#This Row],[Account Withdrawl Amount] ], )</f>
        <v>0</v>
      </c>
      <c r="P21" s="128">
        <f>IF(Table44[[#This Row],[CODE]]=12, Table44[ [#This Row],[Account Deposit Amount] ]-Table44[ [#This Row],[Account Withdrawl Amount] ], )</f>
        <v>0</v>
      </c>
      <c r="Q21" s="128">
        <f>IF(Table44[[#This Row],[CODE]]=13, Table44[ [#This Row],[Account Deposit Amount] ]-Table44[ [#This Row],[Account Withdrawl Amount] ], )</f>
        <v>0</v>
      </c>
      <c r="R21" s="128">
        <f>IF(Table44[[#This Row],[CODE]]=14, Table44[ [#This Row],[Account Deposit Amount] ]-Table44[ [#This Row],[Account Withdrawl Amount] ], )</f>
        <v>0</v>
      </c>
      <c r="S21" s="128">
        <f>IF(Table44[[#This Row],[CODE]]=15, Table44[ [#This Row],[Account Deposit Amount] ]-Table44[ [#This Row],[Account Withdrawl Amount] ], )</f>
        <v>0</v>
      </c>
      <c r="T21" s="128">
        <f>IF(Table44[[#This Row],[CODE]]=16, Table44[ [#This Row],[Account Deposit Amount] ]-Table44[ [#This Row],[Account Withdrawl Amount] ], )</f>
        <v>0</v>
      </c>
      <c r="U21" s="127">
        <f>IF(Table44[[#This Row],[CODE]]=17, Table44[ [#This Row],[Account Deposit Amount] ]-Table44[ [#This Row],[Account Withdrawl Amount] ], )</f>
        <v>0</v>
      </c>
    </row>
    <row r="22" spans="1:21" ht="16.2" thickBot="1">
      <c r="A22" s="130"/>
      <c r="B22" s="133"/>
      <c r="C22" s="130"/>
      <c r="D22" s="132"/>
      <c r="E22" s="128"/>
      <c r="F22" s="128"/>
      <c r="G22" s="134">
        <f t="shared" si="2"/>
        <v>15576.109999999997</v>
      </c>
      <c r="H22" s="130"/>
      <c r="I22" s="127">
        <f>IF(Table44[[#This Row],[CODE]]=1, Table44[ [#This Row],[Account Deposit Amount] ]-Table44[ [#This Row],[Account Withdrawl Amount] ], )</f>
        <v>0</v>
      </c>
      <c r="J22" s="129">
        <f>IF(Table44[[#This Row],[CODE]]=2, Table44[ [#This Row],[Account Deposit Amount] ]-Table44[ [#This Row],[Account Withdrawl Amount] ], )</f>
        <v>0</v>
      </c>
      <c r="K22" s="129">
        <f>IF(Table44[[#This Row],[CODE]]=3, Table44[ [#This Row],[Account Deposit Amount] ]-Table44[ [#This Row],[Account Withdrawl Amount] ], )</f>
        <v>0</v>
      </c>
      <c r="L22" s="128">
        <f>IF(Table44[[#This Row],[CODE]]=4, Table44[ [#This Row],[Account Deposit Amount] ]-Table44[ [#This Row],[Account Withdrawl Amount] ], )</f>
        <v>0</v>
      </c>
      <c r="M22" s="128">
        <f>IF(Table44[[#This Row],[CODE]]=5, Table44[ [#This Row],[Account Deposit Amount] ]-Table44[ [#This Row],[Account Withdrawl Amount] ], )</f>
        <v>0</v>
      </c>
      <c r="N22" s="128">
        <f>IF(Table44[[#This Row],[CODE]]=6, Table44[ [#This Row],[Account Deposit Amount] ]-Table44[ [#This Row],[Account Withdrawl Amount] ], )</f>
        <v>0</v>
      </c>
      <c r="O22" s="128">
        <f>IF(Table44[[#This Row],[CODE]]=11, Table44[ [#This Row],[Account Deposit Amount] ]-Table44[ [#This Row],[Account Withdrawl Amount] ], )</f>
        <v>0</v>
      </c>
      <c r="P22" s="128">
        <f>IF(Table44[[#This Row],[CODE]]=12, Table44[ [#This Row],[Account Deposit Amount] ]-Table44[ [#This Row],[Account Withdrawl Amount] ], )</f>
        <v>0</v>
      </c>
      <c r="Q22" s="128">
        <f>IF(Table44[[#This Row],[CODE]]=13, Table44[ [#This Row],[Account Deposit Amount] ]-Table44[ [#This Row],[Account Withdrawl Amount] ], )</f>
        <v>0</v>
      </c>
      <c r="R22" s="128">
        <f>IF(Table44[[#This Row],[CODE]]=14, Table44[ [#This Row],[Account Deposit Amount] ]-Table44[ [#This Row],[Account Withdrawl Amount] ], )</f>
        <v>0</v>
      </c>
      <c r="S22" s="128">
        <f>IF(Table44[[#This Row],[CODE]]=15, Table44[ [#This Row],[Account Deposit Amount] ]-Table44[ [#This Row],[Account Withdrawl Amount] ], )</f>
        <v>0</v>
      </c>
      <c r="T22" s="128">
        <f>IF(Table44[[#This Row],[CODE]]=16, Table44[ [#This Row],[Account Deposit Amount] ]-Table44[ [#This Row],[Account Withdrawl Amount] ], )</f>
        <v>0</v>
      </c>
      <c r="U22" s="127">
        <f>IF(Table44[[#This Row],[CODE]]=17, Table44[ [#This Row],[Account Deposit Amount] ]-Table44[ [#This Row],[Account Withdrawl Amount] ], )</f>
        <v>0</v>
      </c>
    </row>
    <row r="23" spans="1:21" ht="16.2" thickBot="1">
      <c r="A23" s="130"/>
      <c r="B23" s="133"/>
      <c r="C23" s="130"/>
      <c r="D23" s="132"/>
      <c r="E23" s="128"/>
      <c r="F23" s="128"/>
      <c r="G23" s="134">
        <f t="shared" si="2"/>
        <v>15576.109999999997</v>
      </c>
      <c r="H23" s="130"/>
      <c r="I23" s="127">
        <f>IF(Table44[[#This Row],[CODE]]=1, Table44[ [#This Row],[Account Deposit Amount] ]-Table44[ [#This Row],[Account Withdrawl Amount] ], )</f>
        <v>0</v>
      </c>
      <c r="J23" s="129">
        <f>IF(Table44[[#This Row],[CODE]]=2, Table44[ [#This Row],[Account Deposit Amount] ]-Table44[ [#This Row],[Account Withdrawl Amount] ], )</f>
        <v>0</v>
      </c>
      <c r="K23" s="129">
        <f>IF(Table44[[#This Row],[CODE]]=3, Table44[ [#This Row],[Account Deposit Amount] ]-Table44[ [#This Row],[Account Withdrawl Amount] ], )</f>
        <v>0</v>
      </c>
      <c r="L23" s="128">
        <f>IF(Table44[[#This Row],[CODE]]=4, Table44[ [#This Row],[Account Deposit Amount] ]-Table44[ [#This Row],[Account Withdrawl Amount] ], )</f>
        <v>0</v>
      </c>
      <c r="M23" s="128">
        <f>IF(Table44[[#This Row],[CODE]]=5, Table44[ [#This Row],[Account Deposit Amount] ]-Table44[ [#This Row],[Account Withdrawl Amount] ], )</f>
        <v>0</v>
      </c>
      <c r="N23" s="128">
        <f>IF(Table44[[#This Row],[CODE]]=6, Table44[ [#This Row],[Account Deposit Amount] ]-Table44[ [#This Row],[Account Withdrawl Amount] ], )</f>
        <v>0</v>
      </c>
      <c r="O23" s="128">
        <f>IF(Table44[[#This Row],[CODE]]=11, Table44[ [#This Row],[Account Deposit Amount] ]-Table44[ [#This Row],[Account Withdrawl Amount] ], )</f>
        <v>0</v>
      </c>
      <c r="P23" s="128">
        <f>IF(Table44[[#This Row],[CODE]]=12, Table44[ [#This Row],[Account Deposit Amount] ]-Table44[ [#This Row],[Account Withdrawl Amount] ], )</f>
        <v>0</v>
      </c>
      <c r="Q23" s="128">
        <f>IF(Table44[[#This Row],[CODE]]=13, Table44[ [#This Row],[Account Deposit Amount] ]-Table44[ [#This Row],[Account Withdrawl Amount] ], )</f>
        <v>0</v>
      </c>
      <c r="R23" s="128">
        <f>IF(Table44[[#This Row],[CODE]]=14, Table44[ [#This Row],[Account Deposit Amount] ]-Table44[ [#This Row],[Account Withdrawl Amount] ], )</f>
        <v>0</v>
      </c>
      <c r="S23" s="128">
        <f>IF(Table44[[#This Row],[CODE]]=15, Table44[ [#This Row],[Account Deposit Amount] ]-Table44[ [#This Row],[Account Withdrawl Amount] ], )</f>
        <v>0</v>
      </c>
      <c r="T23" s="128">
        <f>IF(Table44[[#This Row],[CODE]]=16, Table44[ [#This Row],[Account Deposit Amount] ]-Table44[ [#This Row],[Account Withdrawl Amount] ], )</f>
        <v>0</v>
      </c>
      <c r="U23" s="127">
        <f>IF(Table44[[#This Row],[CODE]]=17, Table44[ [#This Row],[Account Deposit Amount] ]-Table44[ [#This Row],[Account Withdrawl Amount] ], )</f>
        <v>0</v>
      </c>
    </row>
    <row r="24" spans="1:21" ht="16.2" thickBot="1">
      <c r="A24" s="130"/>
      <c r="B24" s="133"/>
      <c r="C24" s="130"/>
      <c r="D24" s="132"/>
      <c r="E24" s="128"/>
      <c r="F24" s="128"/>
      <c r="G24" s="134">
        <f t="shared" si="2"/>
        <v>15576.109999999997</v>
      </c>
      <c r="H24" s="130"/>
      <c r="I24" s="127">
        <f>IF(Table44[[#This Row],[CODE]]=1, Table44[ [#This Row],[Account Deposit Amount] ]-Table44[ [#This Row],[Account Withdrawl Amount] ], )</f>
        <v>0</v>
      </c>
      <c r="J24" s="129">
        <f>IF(Table44[[#This Row],[CODE]]=2, Table44[ [#This Row],[Account Deposit Amount] ]-Table44[ [#This Row],[Account Withdrawl Amount] ], )</f>
        <v>0</v>
      </c>
      <c r="K24" s="129">
        <f>IF(Table44[[#This Row],[CODE]]=3, Table44[ [#This Row],[Account Deposit Amount] ]-Table44[ [#This Row],[Account Withdrawl Amount] ], )</f>
        <v>0</v>
      </c>
      <c r="L24" s="128">
        <f>IF(Table44[[#This Row],[CODE]]=4, Table44[ [#This Row],[Account Deposit Amount] ]-Table44[ [#This Row],[Account Withdrawl Amount] ], )</f>
        <v>0</v>
      </c>
      <c r="M24" s="128">
        <f>IF(Table44[[#This Row],[CODE]]=5, Table44[ [#This Row],[Account Deposit Amount] ]-Table44[ [#This Row],[Account Withdrawl Amount] ], )</f>
        <v>0</v>
      </c>
      <c r="N24" s="128">
        <f>IF(Table44[[#This Row],[CODE]]=6, Table44[ [#This Row],[Account Deposit Amount] ]-Table44[ [#This Row],[Account Withdrawl Amount] ], )</f>
        <v>0</v>
      </c>
      <c r="O24" s="128">
        <f>IF(Table44[[#This Row],[CODE]]=11, Table44[ [#This Row],[Account Deposit Amount] ]-Table44[ [#This Row],[Account Withdrawl Amount] ], )</f>
        <v>0</v>
      </c>
      <c r="P24" s="128">
        <f>IF(Table44[[#This Row],[CODE]]=12, Table44[ [#This Row],[Account Deposit Amount] ]-Table44[ [#This Row],[Account Withdrawl Amount] ], )</f>
        <v>0</v>
      </c>
      <c r="Q24" s="128">
        <f>IF(Table44[[#This Row],[CODE]]=13, Table44[ [#This Row],[Account Deposit Amount] ]-Table44[ [#This Row],[Account Withdrawl Amount] ], )</f>
        <v>0</v>
      </c>
      <c r="R24" s="128">
        <f>IF(Table44[[#This Row],[CODE]]=14, Table44[ [#This Row],[Account Deposit Amount] ]-Table44[ [#This Row],[Account Withdrawl Amount] ], )</f>
        <v>0</v>
      </c>
      <c r="S24" s="128">
        <f>IF(Table44[[#This Row],[CODE]]=15, Table44[ [#This Row],[Account Deposit Amount] ]-Table44[ [#This Row],[Account Withdrawl Amount] ], )</f>
        <v>0</v>
      </c>
      <c r="T24" s="128">
        <f>IF(Table44[[#This Row],[CODE]]=16, Table44[ [#This Row],[Account Deposit Amount] ]-Table44[ [#This Row],[Account Withdrawl Amount] ], )</f>
        <v>0</v>
      </c>
      <c r="U24" s="127">
        <f>IF(Table44[[#This Row],[CODE]]=17, Table44[ [#This Row],[Account Deposit Amount] ]-Table44[ [#This Row],[Account Withdrawl Amount] ], )</f>
        <v>0</v>
      </c>
    </row>
    <row r="25" spans="1:21" ht="16.2" thickBot="1">
      <c r="A25" s="130"/>
      <c r="B25" s="133"/>
      <c r="C25" s="130"/>
      <c r="D25" s="132"/>
      <c r="E25" s="128"/>
      <c r="F25" s="128"/>
      <c r="G25" s="134">
        <f t="shared" si="2"/>
        <v>15576.109999999997</v>
      </c>
      <c r="H25" s="130"/>
      <c r="I25" s="127">
        <f>IF(Table44[[#This Row],[CODE]]=1, Table44[ [#This Row],[Account Deposit Amount] ]-Table44[ [#This Row],[Account Withdrawl Amount] ], )</f>
        <v>0</v>
      </c>
      <c r="J25" s="129">
        <f>IF(Table44[[#This Row],[CODE]]=2, Table44[ [#This Row],[Account Deposit Amount] ]-Table44[ [#This Row],[Account Withdrawl Amount] ], )</f>
        <v>0</v>
      </c>
      <c r="K25" s="129">
        <f>IF(Table44[[#This Row],[CODE]]=3, Table44[ [#This Row],[Account Deposit Amount] ]-Table44[ [#This Row],[Account Withdrawl Amount] ], )</f>
        <v>0</v>
      </c>
      <c r="L25" s="128">
        <f>IF(Table44[[#This Row],[CODE]]=4, Table44[ [#This Row],[Account Deposit Amount] ]-Table44[ [#This Row],[Account Withdrawl Amount] ], )</f>
        <v>0</v>
      </c>
      <c r="M25" s="128">
        <f>IF(Table44[[#This Row],[CODE]]=5, Table44[ [#This Row],[Account Deposit Amount] ]-Table44[ [#This Row],[Account Withdrawl Amount] ], )</f>
        <v>0</v>
      </c>
      <c r="N25" s="128">
        <f>IF(Table44[[#This Row],[CODE]]=6, Table44[ [#This Row],[Account Deposit Amount] ]-Table44[ [#This Row],[Account Withdrawl Amount] ], )</f>
        <v>0</v>
      </c>
      <c r="O25" s="128">
        <f>IF(Table44[[#This Row],[CODE]]=11, Table44[ [#This Row],[Account Deposit Amount] ]-Table44[ [#This Row],[Account Withdrawl Amount] ], )</f>
        <v>0</v>
      </c>
      <c r="P25" s="128">
        <f>IF(Table44[[#This Row],[CODE]]=12, Table44[ [#This Row],[Account Deposit Amount] ]-Table44[ [#This Row],[Account Withdrawl Amount] ], )</f>
        <v>0</v>
      </c>
      <c r="Q25" s="128">
        <f>IF(Table44[[#This Row],[CODE]]=13, Table44[ [#This Row],[Account Deposit Amount] ]-Table44[ [#This Row],[Account Withdrawl Amount] ], )</f>
        <v>0</v>
      </c>
      <c r="R25" s="128">
        <f>IF(Table44[[#This Row],[CODE]]=14, Table44[ [#This Row],[Account Deposit Amount] ]-Table44[ [#This Row],[Account Withdrawl Amount] ], )</f>
        <v>0</v>
      </c>
      <c r="S25" s="128">
        <f>IF(Table44[[#This Row],[CODE]]=15, Table44[ [#This Row],[Account Deposit Amount] ]-Table44[ [#This Row],[Account Withdrawl Amount] ], )</f>
        <v>0</v>
      </c>
      <c r="T25" s="128">
        <f>IF(Table44[[#This Row],[CODE]]=16, Table44[ [#This Row],[Account Deposit Amount] ]-Table44[ [#This Row],[Account Withdrawl Amount] ], )</f>
        <v>0</v>
      </c>
      <c r="U25" s="127">
        <f>IF(Table44[[#This Row],[CODE]]=17, Table44[ [#This Row],[Account Deposit Amount] ]-Table44[ [#This Row],[Account Withdrawl Amount] ], )</f>
        <v>0</v>
      </c>
    </row>
    <row r="26" spans="1:21" ht="16.2" thickBot="1">
      <c r="A26" s="130"/>
      <c r="B26" s="133"/>
      <c r="C26" s="130"/>
      <c r="D26" s="132"/>
      <c r="E26" s="128"/>
      <c r="F26" s="128"/>
      <c r="G26" s="134">
        <f t="shared" si="2"/>
        <v>15576.109999999997</v>
      </c>
      <c r="H26" s="130"/>
      <c r="I26" s="127">
        <f>IF(Table44[[#This Row],[CODE]]=1, Table44[ [#This Row],[Account Deposit Amount] ]-Table44[ [#This Row],[Account Withdrawl Amount] ], )</f>
        <v>0</v>
      </c>
      <c r="J26" s="129">
        <f>IF(Table44[[#This Row],[CODE]]=2, Table44[ [#This Row],[Account Deposit Amount] ]-Table44[ [#This Row],[Account Withdrawl Amount] ], )</f>
        <v>0</v>
      </c>
      <c r="K26" s="129">
        <f>IF(Table44[[#This Row],[CODE]]=3, Table44[ [#This Row],[Account Deposit Amount] ]-Table44[ [#This Row],[Account Withdrawl Amount] ], )</f>
        <v>0</v>
      </c>
      <c r="L26" s="128">
        <f>IF(Table44[[#This Row],[CODE]]=4, Table44[ [#This Row],[Account Deposit Amount] ]-Table44[ [#This Row],[Account Withdrawl Amount] ], )</f>
        <v>0</v>
      </c>
      <c r="M26" s="128">
        <f>IF(Table44[[#This Row],[CODE]]=5, Table44[ [#This Row],[Account Deposit Amount] ]-Table44[ [#This Row],[Account Withdrawl Amount] ], )</f>
        <v>0</v>
      </c>
      <c r="N26" s="128">
        <f>IF(Table44[[#This Row],[CODE]]=6, Table44[ [#This Row],[Account Deposit Amount] ]-Table44[ [#This Row],[Account Withdrawl Amount] ], )</f>
        <v>0</v>
      </c>
      <c r="O26" s="128">
        <f>IF(Table44[[#This Row],[CODE]]=11, Table44[ [#This Row],[Account Deposit Amount] ]-Table44[ [#This Row],[Account Withdrawl Amount] ], )</f>
        <v>0</v>
      </c>
      <c r="P26" s="128">
        <f>IF(Table44[[#This Row],[CODE]]=12, Table44[ [#This Row],[Account Deposit Amount] ]-Table44[ [#This Row],[Account Withdrawl Amount] ], )</f>
        <v>0</v>
      </c>
      <c r="Q26" s="128">
        <f>IF(Table44[[#This Row],[CODE]]=13, Table44[ [#This Row],[Account Deposit Amount] ]-Table44[ [#This Row],[Account Withdrawl Amount] ], )</f>
        <v>0</v>
      </c>
      <c r="R26" s="128">
        <f>IF(Table44[[#This Row],[CODE]]=14, Table44[ [#This Row],[Account Deposit Amount] ]-Table44[ [#This Row],[Account Withdrawl Amount] ], )</f>
        <v>0</v>
      </c>
      <c r="S26" s="128">
        <f>IF(Table44[[#This Row],[CODE]]=15, Table44[ [#This Row],[Account Deposit Amount] ]-Table44[ [#This Row],[Account Withdrawl Amount] ], )</f>
        <v>0</v>
      </c>
      <c r="T26" s="128">
        <f>IF(Table44[[#This Row],[CODE]]=16, Table44[ [#This Row],[Account Deposit Amount] ]-Table44[ [#This Row],[Account Withdrawl Amount] ], )</f>
        <v>0</v>
      </c>
      <c r="U26" s="127">
        <f>IF(Table44[[#This Row],[CODE]]=17, Table44[ [#This Row],[Account Deposit Amount] ]-Table44[ [#This Row],[Account Withdrawl Amount] ], )</f>
        <v>0</v>
      </c>
    </row>
    <row r="27" spans="1:21" ht="16.2" thickBot="1">
      <c r="A27" s="130"/>
      <c r="B27" s="133"/>
      <c r="C27" s="130"/>
      <c r="D27" s="132"/>
      <c r="E27" s="128"/>
      <c r="F27" s="128"/>
      <c r="G27" s="134">
        <f t="shared" si="2"/>
        <v>15576.109999999997</v>
      </c>
      <c r="H27" s="130"/>
      <c r="I27" s="127">
        <f>IF(Table44[[#This Row],[CODE]]=1, Table44[ [#This Row],[Account Deposit Amount] ]-Table44[ [#This Row],[Account Withdrawl Amount] ], )</f>
        <v>0</v>
      </c>
      <c r="J27" s="129">
        <f>IF(Table44[[#This Row],[CODE]]=2, Table44[ [#This Row],[Account Deposit Amount] ]-Table44[ [#This Row],[Account Withdrawl Amount] ], )</f>
        <v>0</v>
      </c>
      <c r="K27" s="129">
        <f>IF(Table44[[#This Row],[CODE]]=3, Table44[ [#This Row],[Account Deposit Amount] ]-Table44[ [#This Row],[Account Withdrawl Amount] ], )</f>
        <v>0</v>
      </c>
      <c r="L27" s="128">
        <f>IF(Table44[[#This Row],[CODE]]=4, Table44[ [#This Row],[Account Deposit Amount] ]-Table44[ [#This Row],[Account Withdrawl Amount] ], )</f>
        <v>0</v>
      </c>
      <c r="M27" s="128">
        <f>IF(Table44[[#This Row],[CODE]]=5, Table44[ [#This Row],[Account Deposit Amount] ]-Table44[ [#This Row],[Account Withdrawl Amount] ], )</f>
        <v>0</v>
      </c>
      <c r="N27" s="128">
        <f>IF(Table44[[#This Row],[CODE]]=6, Table44[ [#This Row],[Account Deposit Amount] ]-Table44[ [#This Row],[Account Withdrawl Amount] ], )</f>
        <v>0</v>
      </c>
      <c r="O27" s="128">
        <f>IF(Table44[[#This Row],[CODE]]=11, Table44[ [#This Row],[Account Deposit Amount] ]-Table44[ [#This Row],[Account Withdrawl Amount] ], )</f>
        <v>0</v>
      </c>
      <c r="P27" s="128">
        <f>IF(Table44[[#This Row],[CODE]]=12, Table44[ [#This Row],[Account Deposit Amount] ]-Table44[ [#This Row],[Account Withdrawl Amount] ], )</f>
        <v>0</v>
      </c>
      <c r="Q27" s="128">
        <f>IF(Table44[[#This Row],[CODE]]=13, Table44[ [#This Row],[Account Deposit Amount] ]-Table44[ [#This Row],[Account Withdrawl Amount] ], )</f>
        <v>0</v>
      </c>
      <c r="R27" s="128">
        <f>IF(Table44[[#This Row],[CODE]]=14, Table44[ [#This Row],[Account Deposit Amount] ]-Table44[ [#This Row],[Account Withdrawl Amount] ], )</f>
        <v>0</v>
      </c>
      <c r="S27" s="128">
        <f>IF(Table44[[#This Row],[CODE]]=15, Table44[ [#This Row],[Account Deposit Amount] ]-Table44[ [#This Row],[Account Withdrawl Amount] ], )</f>
        <v>0</v>
      </c>
      <c r="T27" s="128">
        <f>IF(Table44[[#This Row],[CODE]]=16, Table44[ [#This Row],[Account Deposit Amount] ]-Table44[ [#This Row],[Account Withdrawl Amount] ], )</f>
        <v>0</v>
      </c>
      <c r="U27" s="127">
        <f>IF(Table44[[#This Row],[CODE]]=17, Table44[ [#This Row],[Account Deposit Amount] ]-Table44[ [#This Row],[Account Withdrawl Amount] ], )</f>
        <v>0</v>
      </c>
    </row>
    <row r="28" spans="1:21" ht="16.2" thickBot="1">
      <c r="A28" s="130"/>
      <c r="B28" s="133"/>
      <c r="C28" s="130"/>
      <c r="D28" s="132"/>
      <c r="E28" s="128"/>
      <c r="F28" s="128"/>
      <c r="G28" s="134">
        <f t="shared" si="2"/>
        <v>15576.109999999997</v>
      </c>
      <c r="H28" s="130"/>
      <c r="I28" s="127">
        <f>IF(Table44[[#This Row],[CODE]]=1, Table44[ [#This Row],[Account Deposit Amount] ]-Table44[ [#This Row],[Account Withdrawl Amount] ], )</f>
        <v>0</v>
      </c>
      <c r="J28" s="129">
        <f>IF(Table44[[#This Row],[CODE]]=2, Table44[ [#This Row],[Account Deposit Amount] ]-Table44[ [#This Row],[Account Withdrawl Amount] ], )</f>
        <v>0</v>
      </c>
      <c r="K28" s="129">
        <f>IF(Table44[[#This Row],[CODE]]=3, Table44[ [#This Row],[Account Deposit Amount] ]-Table44[ [#This Row],[Account Withdrawl Amount] ], )</f>
        <v>0</v>
      </c>
      <c r="L28" s="128">
        <f>IF(Table44[[#This Row],[CODE]]=4, Table44[ [#This Row],[Account Deposit Amount] ]-Table44[ [#This Row],[Account Withdrawl Amount] ], )</f>
        <v>0</v>
      </c>
      <c r="M28" s="128">
        <f>IF(Table44[[#This Row],[CODE]]=5, Table44[ [#This Row],[Account Deposit Amount] ]-Table44[ [#This Row],[Account Withdrawl Amount] ], )</f>
        <v>0</v>
      </c>
      <c r="N28" s="128">
        <f>IF(Table44[[#This Row],[CODE]]=6, Table44[ [#This Row],[Account Deposit Amount] ]-Table44[ [#This Row],[Account Withdrawl Amount] ], )</f>
        <v>0</v>
      </c>
      <c r="O28" s="128">
        <f>IF(Table44[[#This Row],[CODE]]=11, Table44[ [#This Row],[Account Deposit Amount] ]-Table44[ [#This Row],[Account Withdrawl Amount] ], )</f>
        <v>0</v>
      </c>
      <c r="P28" s="128">
        <f>IF(Table44[[#This Row],[CODE]]=12, Table44[ [#This Row],[Account Deposit Amount] ]-Table44[ [#This Row],[Account Withdrawl Amount] ], )</f>
        <v>0</v>
      </c>
      <c r="Q28" s="128">
        <f>IF(Table44[[#This Row],[CODE]]=13, Table44[ [#This Row],[Account Deposit Amount] ]-Table44[ [#This Row],[Account Withdrawl Amount] ], )</f>
        <v>0</v>
      </c>
      <c r="R28" s="128">
        <f>IF(Table44[[#This Row],[CODE]]=14, Table44[ [#This Row],[Account Deposit Amount] ]-Table44[ [#This Row],[Account Withdrawl Amount] ], )</f>
        <v>0</v>
      </c>
      <c r="S28" s="128">
        <f>IF(Table44[[#This Row],[CODE]]=15, Table44[ [#This Row],[Account Deposit Amount] ]-Table44[ [#This Row],[Account Withdrawl Amount] ], )</f>
        <v>0</v>
      </c>
      <c r="T28" s="128">
        <f>IF(Table44[[#This Row],[CODE]]=16, Table44[ [#This Row],[Account Deposit Amount] ]-Table44[ [#This Row],[Account Withdrawl Amount] ], )</f>
        <v>0</v>
      </c>
      <c r="U28" s="127">
        <f>IF(Table44[[#This Row],[CODE]]=17, Table44[ [#This Row],[Account Deposit Amount] ]-Table44[ [#This Row],[Account Withdrawl Amount] ], )</f>
        <v>0</v>
      </c>
    </row>
    <row r="29" spans="1:21" ht="16.2" thickBot="1">
      <c r="A29" s="130"/>
      <c r="B29" s="133"/>
      <c r="C29" s="130"/>
      <c r="D29" s="132"/>
      <c r="E29" s="128"/>
      <c r="F29" s="128"/>
      <c r="G29" s="134">
        <f t="shared" si="2"/>
        <v>15576.109999999997</v>
      </c>
      <c r="H29" s="130"/>
      <c r="I29" s="127">
        <f>IF(Table44[[#This Row],[CODE]]=1, Table44[ [#This Row],[Account Deposit Amount] ]-Table44[ [#This Row],[Account Withdrawl Amount] ], )</f>
        <v>0</v>
      </c>
      <c r="J29" s="129">
        <f>IF(Table44[[#This Row],[CODE]]=2, Table44[ [#This Row],[Account Deposit Amount] ]-Table44[ [#This Row],[Account Withdrawl Amount] ], )</f>
        <v>0</v>
      </c>
      <c r="K29" s="129">
        <f>IF(Table44[[#This Row],[CODE]]=3, Table44[ [#This Row],[Account Deposit Amount] ]-Table44[ [#This Row],[Account Withdrawl Amount] ], )</f>
        <v>0</v>
      </c>
      <c r="L29" s="128">
        <f>IF(Table44[[#This Row],[CODE]]=4, Table44[ [#This Row],[Account Deposit Amount] ]-Table44[ [#This Row],[Account Withdrawl Amount] ], )</f>
        <v>0</v>
      </c>
      <c r="M29" s="128">
        <f>IF(Table44[[#This Row],[CODE]]=5, Table44[ [#This Row],[Account Deposit Amount] ]-Table44[ [#This Row],[Account Withdrawl Amount] ], )</f>
        <v>0</v>
      </c>
      <c r="N29" s="128">
        <f>IF(Table44[[#This Row],[CODE]]=6, Table44[ [#This Row],[Account Deposit Amount] ]-Table44[ [#This Row],[Account Withdrawl Amount] ], )</f>
        <v>0</v>
      </c>
      <c r="O29" s="128">
        <f>IF(Table44[[#This Row],[CODE]]=11, Table44[ [#This Row],[Account Deposit Amount] ]-Table44[ [#This Row],[Account Withdrawl Amount] ], )</f>
        <v>0</v>
      </c>
      <c r="P29" s="128">
        <f>IF(Table44[[#This Row],[CODE]]=12, Table44[ [#This Row],[Account Deposit Amount] ]-Table44[ [#This Row],[Account Withdrawl Amount] ], )</f>
        <v>0</v>
      </c>
      <c r="Q29" s="128">
        <f>IF(Table44[[#This Row],[CODE]]=13, Table44[ [#This Row],[Account Deposit Amount] ]-Table44[ [#This Row],[Account Withdrawl Amount] ], )</f>
        <v>0</v>
      </c>
      <c r="R29" s="128">
        <f>IF(Table44[[#This Row],[CODE]]=14, Table44[ [#This Row],[Account Deposit Amount] ]-Table44[ [#This Row],[Account Withdrawl Amount] ], )</f>
        <v>0</v>
      </c>
      <c r="S29" s="128">
        <f>IF(Table44[[#This Row],[CODE]]=15, Table44[ [#This Row],[Account Deposit Amount] ]-Table44[ [#This Row],[Account Withdrawl Amount] ], )</f>
        <v>0</v>
      </c>
      <c r="T29" s="128">
        <f>IF(Table44[[#This Row],[CODE]]=16, Table44[ [#This Row],[Account Deposit Amount] ]-Table44[ [#This Row],[Account Withdrawl Amount] ], )</f>
        <v>0</v>
      </c>
      <c r="U29" s="127">
        <f>IF(Table44[[#This Row],[CODE]]=17, Table44[ [#This Row],[Account Deposit Amount] ]-Table44[ [#This Row],[Account Withdrawl Amount] ], )</f>
        <v>0</v>
      </c>
    </row>
    <row r="30" spans="1:21" ht="16.2" thickBot="1">
      <c r="A30" s="130"/>
      <c r="B30" s="133"/>
      <c r="C30" s="130"/>
      <c r="D30" s="132"/>
      <c r="E30" s="128"/>
      <c r="F30" s="128"/>
      <c r="G30" s="134">
        <f t="shared" si="2"/>
        <v>15576.109999999997</v>
      </c>
      <c r="H30" s="130"/>
      <c r="I30" s="127">
        <f>IF(Table44[[#This Row],[CODE]]=1, Table44[ [#This Row],[Account Deposit Amount] ]-Table44[ [#This Row],[Account Withdrawl Amount] ], )</f>
        <v>0</v>
      </c>
      <c r="J30" s="129">
        <f>IF(Table44[[#This Row],[CODE]]=2, Table44[ [#This Row],[Account Deposit Amount] ]-Table44[ [#This Row],[Account Withdrawl Amount] ], )</f>
        <v>0</v>
      </c>
      <c r="K30" s="129">
        <f>IF(Table44[[#This Row],[CODE]]=3, Table44[ [#This Row],[Account Deposit Amount] ]-Table44[ [#This Row],[Account Withdrawl Amount] ], )</f>
        <v>0</v>
      </c>
      <c r="L30" s="128">
        <f>IF(Table44[[#This Row],[CODE]]=4, Table44[ [#This Row],[Account Deposit Amount] ]-Table44[ [#This Row],[Account Withdrawl Amount] ], )</f>
        <v>0</v>
      </c>
      <c r="M30" s="128">
        <f>IF(Table44[[#This Row],[CODE]]=5, Table44[ [#This Row],[Account Deposit Amount] ]-Table44[ [#This Row],[Account Withdrawl Amount] ], )</f>
        <v>0</v>
      </c>
      <c r="N30" s="128">
        <f>IF(Table44[[#This Row],[CODE]]=6, Table44[ [#This Row],[Account Deposit Amount] ]-Table44[ [#This Row],[Account Withdrawl Amount] ], )</f>
        <v>0</v>
      </c>
      <c r="O30" s="128">
        <f>IF(Table44[[#This Row],[CODE]]=11, Table44[ [#This Row],[Account Deposit Amount] ]-Table44[ [#This Row],[Account Withdrawl Amount] ], )</f>
        <v>0</v>
      </c>
      <c r="P30" s="128">
        <f>IF(Table44[[#This Row],[CODE]]=12, Table44[ [#This Row],[Account Deposit Amount] ]-Table44[ [#This Row],[Account Withdrawl Amount] ], )</f>
        <v>0</v>
      </c>
      <c r="Q30" s="128">
        <f>IF(Table44[[#This Row],[CODE]]=13, Table44[ [#This Row],[Account Deposit Amount] ]-Table44[ [#This Row],[Account Withdrawl Amount] ], )</f>
        <v>0</v>
      </c>
      <c r="R30" s="128">
        <f>IF(Table44[[#This Row],[CODE]]=14, Table44[ [#This Row],[Account Deposit Amount] ]-Table44[ [#This Row],[Account Withdrawl Amount] ], )</f>
        <v>0</v>
      </c>
      <c r="S30" s="128">
        <f>IF(Table44[[#This Row],[CODE]]=15, Table44[ [#This Row],[Account Deposit Amount] ]-Table44[ [#This Row],[Account Withdrawl Amount] ], )</f>
        <v>0</v>
      </c>
      <c r="T30" s="128">
        <f>IF(Table44[[#This Row],[CODE]]=16, Table44[ [#This Row],[Account Deposit Amount] ]-Table44[ [#This Row],[Account Withdrawl Amount] ], )</f>
        <v>0</v>
      </c>
      <c r="U30" s="127">
        <f>IF(Table44[[#This Row],[CODE]]=17, Table44[ [#This Row],[Account Deposit Amount] ]-Table44[ [#This Row],[Account Withdrawl Amount] ], )</f>
        <v>0</v>
      </c>
    </row>
    <row r="31" spans="1:21" ht="16.2" thickBot="1">
      <c r="A31" s="130"/>
      <c r="B31" s="133"/>
      <c r="C31" s="130"/>
      <c r="D31" s="132"/>
      <c r="E31" s="128"/>
      <c r="F31" s="128"/>
      <c r="G31" s="134">
        <f t="shared" si="2"/>
        <v>15576.109999999997</v>
      </c>
      <c r="H31" s="130"/>
      <c r="I31" s="127">
        <f>IF(Table44[[#This Row],[CODE]]=1, Table44[ [#This Row],[Account Deposit Amount] ]-Table44[ [#This Row],[Account Withdrawl Amount] ], )</f>
        <v>0</v>
      </c>
      <c r="J31" s="129">
        <f>IF(Table44[[#This Row],[CODE]]=2, Table44[ [#This Row],[Account Deposit Amount] ]-Table44[ [#This Row],[Account Withdrawl Amount] ], )</f>
        <v>0</v>
      </c>
      <c r="K31" s="129">
        <f>IF(Table44[[#This Row],[CODE]]=3, Table44[ [#This Row],[Account Deposit Amount] ]-Table44[ [#This Row],[Account Withdrawl Amount] ], )</f>
        <v>0</v>
      </c>
      <c r="L31" s="128">
        <f>IF(Table44[[#This Row],[CODE]]=4, Table44[ [#This Row],[Account Deposit Amount] ]-Table44[ [#This Row],[Account Withdrawl Amount] ], )</f>
        <v>0</v>
      </c>
      <c r="M31" s="128">
        <f>IF(Table44[[#This Row],[CODE]]=5, Table44[ [#This Row],[Account Deposit Amount] ]-Table44[ [#This Row],[Account Withdrawl Amount] ], )</f>
        <v>0</v>
      </c>
      <c r="N31" s="128">
        <f>IF(Table44[[#This Row],[CODE]]=6, Table44[ [#This Row],[Account Deposit Amount] ]-Table44[ [#This Row],[Account Withdrawl Amount] ], )</f>
        <v>0</v>
      </c>
      <c r="O31" s="128">
        <f>IF(Table44[[#This Row],[CODE]]=11, Table44[ [#This Row],[Account Deposit Amount] ]-Table44[ [#This Row],[Account Withdrawl Amount] ], )</f>
        <v>0</v>
      </c>
      <c r="P31" s="128">
        <f>IF(Table44[[#This Row],[CODE]]=12, Table44[ [#This Row],[Account Deposit Amount] ]-Table44[ [#This Row],[Account Withdrawl Amount] ], )</f>
        <v>0</v>
      </c>
      <c r="Q31" s="128">
        <f>IF(Table44[[#This Row],[CODE]]=13, Table44[ [#This Row],[Account Deposit Amount] ]-Table44[ [#This Row],[Account Withdrawl Amount] ], )</f>
        <v>0</v>
      </c>
      <c r="R31" s="128">
        <f>IF(Table44[[#This Row],[CODE]]=14, Table44[ [#This Row],[Account Deposit Amount] ]-Table44[ [#This Row],[Account Withdrawl Amount] ], )</f>
        <v>0</v>
      </c>
      <c r="S31" s="128">
        <f>IF(Table44[[#This Row],[CODE]]=15, Table44[ [#This Row],[Account Deposit Amount] ]-Table44[ [#This Row],[Account Withdrawl Amount] ], )</f>
        <v>0</v>
      </c>
      <c r="T31" s="128">
        <f>IF(Table44[[#This Row],[CODE]]=16, Table44[ [#This Row],[Account Deposit Amount] ]-Table44[ [#This Row],[Account Withdrawl Amount] ], )</f>
        <v>0</v>
      </c>
      <c r="U31" s="127">
        <f>IF(Table44[[#This Row],[CODE]]=17, Table44[ [#This Row],[Account Deposit Amount] ]-Table44[ [#This Row],[Account Withdrawl Amount] ], )</f>
        <v>0</v>
      </c>
    </row>
    <row r="32" spans="1:21" ht="16.2" thickBot="1">
      <c r="A32" s="130"/>
      <c r="B32" s="133"/>
      <c r="C32" s="130"/>
      <c r="D32" s="132"/>
      <c r="E32" s="128"/>
      <c r="F32" s="128"/>
      <c r="G32" s="134">
        <f t="shared" si="2"/>
        <v>15576.109999999997</v>
      </c>
      <c r="H32" s="130"/>
      <c r="I32" s="127">
        <f>IF(Table44[[#This Row],[CODE]]=1, Table44[ [#This Row],[Account Deposit Amount] ]-Table44[ [#This Row],[Account Withdrawl Amount] ], )</f>
        <v>0</v>
      </c>
      <c r="J32" s="129">
        <f>IF(Table44[[#This Row],[CODE]]=2, Table44[ [#This Row],[Account Deposit Amount] ]-Table44[ [#This Row],[Account Withdrawl Amount] ], )</f>
        <v>0</v>
      </c>
      <c r="K32" s="129">
        <f>IF(Table44[[#This Row],[CODE]]=3, Table44[ [#This Row],[Account Deposit Amount] ]-Table44[ [#This Row],[Account Withdrawl Amount] ], )</f>
        <v>0</v>
      </c>
      <c r="L32" s="128">
        <f>IF(Table44[[#This Row],[CODE]]=4, Table44[ [#This Row],[Account Deposit Amount] ]-Table44[ [#This Row],[Account Withdrawl Amount] ], )</f>
        <v>0</v>
      </c>
      <c r="M32" s="128">
        <f>IF(Table44[[#This Row],[CODE]]=5, Table44[ [#This Row],[Account Deposit Amount] ]-Table44[ [#This Row],[Account Withdrawl Amount] ], )</f>
        <v>0</v>
      </c>
      <c r="N32" s="128">
        <f>IF(Table44[[#This Row],[CODE]]=6, Table44[ [#This Row],[Account Deposit Amount] ]-Table44[ [#This Row],[Account Withdrawl Amount] ], )</f>
        <v>0</v>
      </c>
      <c r="O32" s="128">
        <f>IF(Table44[[#This Row],[CODE]]=11, Table44[ [#This Row],[Account Deposit Amount] ]-Table44[ [#This Row],[Account Withdrawl Amount] ], )</f>
        <v>0</v>
      </c>
      <c r="P32" s="128">
        <f>IF(Table44[[#This Row],[CODE]]=12, Table44[ [#This Row],[Account Deposit Amount] ]-Table44[ [#This Row],[Account Withdrawl Amount] ], )</f>
        <v>0</v>
      </c>
      <c r="Q32" s="128">
        <f>IF(Table44[[#This Row],[CODE]]=13, Table44[ [#This Row],[Account Deposit Amount] ]-Table44[ [#This Row],[Account Withdrawl Amount] ], )</f>
        <v>0</v>
      </c>
      <c r="R32" s="128">
        <f>IF(Table44[[#This Row],[CODE]]=14, Table44[ [#This Row],[Account Deposit Amount] ]-Table44[ [#This Row],[Account Withdrawl Amount] ], )</f>
        <v>0</v>
      </c>
      <c r="S32" s="128">
        <f>IF(Table44[[#This Row],[CODE]]=15, Table44[ [#This Row],[Account Deposit Amount] ]-Table44[ [#This Row],[Account Withdrawl Amount] ], )</f>
        <v>0</v>
      </c>
      <c r="T32" s="128">
        <f>IF(Table44[[#This Row],[CODE]]=16, Table44[ [#This Row],[Account Deposit Amount] ]-Table44[ [#This Row],[Account Withdrawl Amount] ], )</f>
        <v>0</v>
      </c>
      <c r="U32" s="127">
        <f>IF(Table44[[#This Row],[CODE]]=17, Table44[ [#This Row],[Account Deposit Amount] ]-Table44[ [#This Row],[Account Withdrawl Amount] ], )</f>
        <v>0</v>
      </c>
    </row>
    <row r="33" spans="1:21" ht="16.2" thickBot="1">
      <c r="A33" s="130"/>
      <c r="B33" s="133"/>
      <c r="C33" s="130"/>
      <c r="D33" s="132"/>
      <c r="E33" s="128"/>
      <c r="F33" s="128"/>
      <c r="G33" s="134">
        <f t="shared" si="2"/>
        <v>15576.109999999997</v>
      </c>
      <c r="H33" s="130"/>
      <c r="I33" s="127">
        <f>IF(Table44[[#This Row],[CODE]]=1, Table44[ [#This Row],[Account Deposit Amount] ]-Table44[ [#This Row],[Account Withdrawl Amount] ], )</f>
        <v>0</v>
      </c>
      <c r="J33" s="129">
        <f>IF(Table44[[#This Row],[CODE]]=2, Table44[ [#This Row],[Account Deposit Amount] ]-Table44[ [#This Row],[Account Withdrawl Amount] ], )</f>
        <v>0</v>
      </c>
      <c r="K33" s="129">
        <f>IF(Table44[[#This Row],[CODE]]=3, Table44[ [#This Row],[Account Deposit Amount] ]-Table44[ [#This Row],[Account Withdrawl Amount] ], )</f>
        <v>0</v>
      </c>
      <c r="L33" s="128">
        <f>IF(Table44[[#This Row],[CODE]]=4, Table44[ [#This Row],[Account Deposit Amount] ]-Table44[ [#This Row],[Account Withdrawl Amount] ], )</f>
        <v>0</v>
      </c>
      <c r="M33" s="128">
        <f>IF(Table44[[#This Row],[CODE]]=5, Table44[ [#This Row],[Account Deposit Amount] ]-Table44[ [#This Row],[Account Withdrawl Amount] ], )</f>
        <v>0</v>
      </c>
      <c r="N33" s="128">
        <f>IF(Table44[[#This Row],[CODE]]=6, Table44[ [#This Row],[Account Deposit Amount] ]-Table44[ [#This Row],[Account Withdrawl Amount] ], )</f>
        <v>0</v>
      </c>
      <c r="O33" s="128">
        <f>IF(Table44[[#This Row],[CODE]]=11, Table44[ [#This Row],[Account Deposit Amount] ]-Table44[ [#This Row],[Account Withdrawl Amount] ], )</f>
        <v>0</v>
      </c>
      <c r="P33" s="128">
        <f>IF(Table44[[#This Row],[CODE]]=12, Table44[ [#This Row],[Account Deposit Amount] ]-Table44[ [#This Row],[Account Withdrawl Amount] ], )</f>
        <v>0</v>
      </c>
      <c r="Q33" s="128">
        <f>IF(Table44[[#This Row],[CODE]]=13, Table44[ [#This Row],[Account Deposit Amount] ]-Table44[ [#This Row],[Account Withdrawl Amount] ], )</f>
        <v>0</v>
      </c>
      <c r="R33" s="128">
        <f>IF(Table44[[#This Row],[CODE]]=14, Table44[ [#This Row],[Account Deposit Amount] ]-Table44[ [#This Row],[Account Withdrawl Amount] ], )</f>
        <v>0</v>
      </c>
      <c r="S33" s="128">
        <f>IF(Table44[[#This Row],[CODE]]=15, Table44[ [#This Row],[Account Deposit Amount] ]-Table44[ [#This Row],[Account Withdrawl Amount] ], )</f>
        <v>0</v>
      </c>
      <c r="T33" s="128">
        <f>IF(Table44[[#This Row],[CODE]]=16, Table44[ [#This Row],[Account Deposit Amount] ]-Table44[ [#This Row],[Account Withdrawl Amount] ], )</f>
        <v>0</v>
      </c>
      <c r="U33" s="127">
        <f>IF(Table44[[#This Row],[CODE]]=17, Table44[ [#This Row],[Account Deposit Amount] ]-Table44[ [#This Row],[Account Withdrawl Amount] ], )</f>
        <v>0</v>
      </c>
    </row>
    <row r="34" spans="1:21" ht="16.2" thickBot="1">
      <c r="A34" s="130"/>
      <c r="B34" s="133"/>
      <c r="C34" s="130"/>
      <c r="D34" s="132"/>
      <c r="E34" s="128"/>
      <c r="F34" s="128"/>
      <c r="G34" s="134">
        <f t="shared" si="2"/>
        <v>15576.109999999997</v>
      </c>
      <c r="H34" s="130"/>
      <c r="I34" s="127">
        <f>IF(Table44[[#This Row],[CODE]]=1, Table44[ [#This Row],[Account Deposit Amount] ]-Table44[ [#This Row],[Account Withdrawl Amount] ], )</f>
        <v>0</v>
      </c>
      <c r="J34" s="129">
        <f>IF(Table44[[#This Row],[CODE]]=2, Table44[ [#This Row],[Account Deposit Amount] ]-Table44[ [#This Row],[Account Withdrawl Amount] ], )</f>
        <v>0</v>
      </c>
      <c r="K34" s="129">
        <f>IF(Table44[[#This Row],[CODE]]=3, Table44[ [#This Row],[Account Deposit Amount] ]-Table44[ [#This Row],[Account Withdrawl Amount] ], )</f>
        <v>0</v>
      </c>
      <c r="L34" s="128">
        <f>IF(Table44[[#This Row],[CODE]]=4, Table44[ [#This Row],[Account Deposit Amount] ]-Table44[ [#This Row],[Account Withdrawl Amount] ], )</f>
        <v>0</v>
      </c>
      <c r="M34" s="128">
        <f>IF(Table44[[#This Row],[CODE]]=5, Table44[ [#This Row],[Account Deposit Amount] ]-Table44[ [#This Row],[Account Withdrawl Amount] ], )</f>
        <v>0</v>
      </c>
      <c r="N34" s="128">
        <f>IF(Table44[[#This Row],[CODE]]=6, Table44[ [#This Row],[Account Deposit Amount] ]-Table44[ [#This Row],[Account Withdrawl Amount] ], )</f>
        <v>0</v>
      </c>
      <c r="O34" s="128">
        <f>IF(Table44[[#This Row],[CODE]]=11, Table44[ [#This Row],[Account Deposit Amount] ]-Table44[ [#This Row],[Account Withdrawl Amount] ], )</f>
        <v>0</v>
      </c>
      <c r="P34" s="128">
        <f>IF(Table44[[#This Row],[CODE]]=12, Table44[ [#This Row],[Account Deposit Amount] ]-Table44[ [#This Row],[Account Withdrawl Amount] ], )</f>
        <v>0</v>
      </c>
      <c r="Q34" s="128">
        <f>IF(Table44[[#This Row],[CODE]]=13, Table44[ [#This Row],[Account Deposit Amount] ]-Table44[ [#This Row],[Account Withdrawl Amount] ], )</f>
        <v>0</v>
      </c>
      <c r="R34" s="128">
        <f>IF(Table44[[#This Row],[CODE]]=14, Table44[ [#This Row],[Account Deposit Amount] ]-Table44[ [#This Row],[Account Withdrawl Amount] ], )</f>
        <v>0</v>
      </c>
      <c r="S34" s="128">
        <f>IF(Table44[[#This Row],[CODE]]=15, Table44[ [#This Row],[Account Deposit Amount] ]-Table44[ [#This Row],[Account Withdrawl Amount] ], )</f>
        <v>0</v>
      </c>
      <c r="T34" s="128">
        <f>IF(Table44[[#This Row],[CODE]]=16, Table44[ [#This Row],[Account Deposit Amount] ]-Table44[ [#This Row],[Account Withdrawl Amount] ], )</f>
        <v>0</v>
      </c>
      <c r="U34" s="127">
        <f>IF(Table44[[#This Row],[CODE]]=17, Table44[ [#This Row],[Account Deposit Amount] ]-Table44[ [#This Row],[Account Withdrawl Amount] ], )</f>
        <v>0</v>
      </c>
    </row>
    <row r="35" spans="1:21" ht="16.2" thickBot="1">
      <c r="A35" s="130"/>
      <c r="B35" s="133"/>
      <c r="C35" s="130"/>
      <c r="D35" s="132"/>
      <c r="E35" s="128"/>
      <c r="F35" s="128"/>
      <c r="G35" s="134">
        <f t="shared" si="2"/>
        <v>15576.109999999997</v>
      </c>
      <c r="H35" s="130"/>
      <c r="I35" s="127">
        <f>IF(Table44[[#This Row],[CODE]]=1, Table44[ [#This Row],[Account Deposit Amount] ]-Table44[ [#This Row],[Account Withdrawl Amount] ], )</f>
        <v>0</v>
      </c>
      <c r="J35" s="129">
        <f>IF(Table44[[#This Row],[CODE]]=2, Table44[ [#This Row],[Account Deposit Amount] ]-Table44[ [#This Row],[Account Withdrawl Amount] ], )</f>
        <v>0</v>
      </c>
      <c r="K35" s="129">
        <f>IF(Table44[[#This Row],[CODE]]=3, Table44[ [#This Row],[Account Deposit Amount] ]-Table44[ [#This Row],[Account Withdrawl Amount] ], )</f>
        <v>0</v>
      </c>
      <c r="L35" s="128">
        <f>IF(Table44[[#This Row],[CODE]]=4, Table44[ [#This Row],[Account Deposit Amount] ]-Table44[ [#This Row],[Account Withdrawl Amount] ], )</f>
        <v>0</v>
      </c>
      <c r="M35" s="128">
        <f>IF(Table44[[#This Row],[CODE]]=5, Table44[ [#This Row],[Account Deposit Amount] ]-Table44[ [#This Row],[Account Withdrawl Amount] ], )</f>
        <v>0</v>
      </c>
      <c r="N35" s="128">
        <f>IF(Table44[[#This Row],[CODE]]=6, Table44[ [#This Row],[Account Deposit Amount] ]-Table44[ [#This Row],[Account Withdrawl Amount] ], )</f>
        <v>0</v>
      </c>
      <c r="O35" s="128">
        <f>IF(Table44[[#This Row],[CODE]]=11, Table44[ [#This Row],[Account Deposit Amount] ]-Table44[ [#This Row],[Account Withdrawl Amount] ], )</f>
        <v>0</v>
      </c>
      <c r="P35" s="128">
        <f>IF(Table44[[#This Row],[CODE]]=12, Table44[ [#This Row],[Account Deposit Amount] ]-Table44[ [#This Row],[Account Withdrawl Amount] ], )</f>
        <v>0</v>
      </c>
      <c r="Q35" s="128">
        <f>IF(Table44[[#This Row],[CODE]]=13, Table44[ [#This Row],[Account Deposit Amount] ]-Table44[ [#This Row],[Account Withdrawl Amount] ], )</f>
        <v>0</v>
      </c>
      <c r="R35" s="128">
        <f>IF(Table44[[#This Row],[CODE]]=14, Table44[ [#This Row],[Account Deposit Amount] ]-Table44[ [#This Row],[Account Withdrawl Amount] ], )</f>
        <v>0</v>
      </c>
      <c r="S35" s="128">
        <f>IF(Table44[[#This Row],[CODE]]=15, Table44[ [#This Row],[Account Deposit Amount] ]-Table44[ [#This Row],[Account Withdrawl Amount] ], )</f>
        <v>0</v>
      </c>
      <c r="T35" s="128">
        <f>IF(Table44[[#This Row],[CODE]]=16, Table44[ [#This Row],[Account Deposit Amount] ]-Table44[ [#This Row],[Account Withdrawl Amount] ], )</f>
        <v>0</v>
      </c>
      <c r="U35" s="127">
        <f>IF(Table44[[#This Row],[CODE]]=17, Table44[ [#This Row],[Account Deposit Amount] ]-Table44[ [#This Row],[Account Withdrawl Amount] ], )</f>
        <v>0</v>
      </c>
    </row>
    <row r="36" spans="1:21" ht="16.2" thickBot="1">
      <c r="A36" s="130"/>
      <c r="B36" s="133"/>
      <c r="C36" s="130"/>
      <c r="D36" s="132"/>
      <c r="E36" s="128"/>
      <c r="F36" s="128"/>
      <c r="G36" s="134">
        <f t="shared" si="2"/>
        <v>15576.109999999997</v>
      </c>
      <c r="H36" s="130"/>
      <c r="I36" s="127">
        <f>IF(Table44[[#This Row],[CODE]]=1, Table44[ [#This Row],[Account Deposit Amount] ]-Table44[ [#This Row],[Account Withdrawl Amount] ], )</f>
        <v>0</v>
      </c>
      <c r="J36" s="129">
        <f>IF(Table44[[#This Row],[CODE]]=2, Table44[ [#This Row],[Account Deposit Amount] ]-Table44[ [#This Row],[Account Withdrawl Amount] ], )</f>
        <v>0</v>
      </c>
      <c r="K36" s="129">
        <f>IF(Table44[[#This Row],[CODE]]=3, Table44[ [#This Row],[Account Deposit Amount] ]-Table44[ [#This Row],[Account Withdrawl Amount] ], )</f>
        <v>0</v>
      </c>
      <c r="L36" s="128">
        <f>IF(Table44[[#This Row],[CODE]]=4, Table44[ [#This Row],[Account Deposit Amount] ]-Table44[ [#This Row],[Account Withdrawl Amount] ], )</f>
        <v>0</v>
      </c>
      <c r="M36" s="128">
        <f>IF(Table44[[#This Row],[CODE]]=5, Table44[ [#This Row],[Account Deposit Amount] ]-Table44[ [#This Row],[Account Withdrawl Amount] ], )</f>
        <v>0</v>
      </c>
      <c r="N36" s="128">
        <f>IF(Table44[[#This Row],[CODE]]=6, Table44[ [#This Row],[Account Deposit Amount] ]-Table44[ [#This Row],[Account Withdrawl Amount] ], )</f>
        <v>0</v>
      </c>
      <c r="O36" s="128">
        <f>IF(Table44[[#This Row],[CODE]]=11, Table44[ [#This Row],[Account Deposit Amount] ]-Table44[ [#This Row],[Account Withdrawl Amount] ], )</f>
        <v>0</v>
      </c>
      <c r="P36" s="128">
        <f>IF(Table44[[#This Row],[CODE]]=12, Table44[ [#This Row],[Account Deposit Amount] ]-Table44[ [#This Row],[Account Withdrawl Amount] ], )</f>
        <v>0</v>
      </c>
      <c r="Q36" s="128">
        <f>IF(Table44[[#This Row],[CODE]]=13, Table44[ [#This Row],[Account Deposit Amount] ]-Table44[ [#This Row],[Account Withdrawl Amount] ], )</f>
        <v>0</v>
      </c>
      <c r="R36" s="128">
        <f>IF(Table44[[#This Row],[CODE]]=14, Table44[ [#This Row],[Account Deposit Amount] ]-Table44[ [#This Row],[Account Withdrawl Amount] ], )</f>
        <v>0</v>
      </c>
      <c r="S36" s="128">
        <f>IF(Table44[[#This Row],[CODE]]=15, Table44[ [#This Row],[Account Deposit Amount] ]-Table44[ [#This Row],[Account Withdrawl Amount] ], )</f>
        <v>0</v>
      </c>
      <c r="T36" s="128">
        <f>IF(Table44[[#This Row],[CODE]]=16, Table44[ [#This Row],[Account Deposit Amount] ]-Table44[ [#This Row],[Account Withdrawl Amount] ], )</f>
        <v>0</v>
      </c>
      <c r="U36" s="127">
        <f>IF(Table44[[#This Row],[CODE]]=17, Table44[ [#This Row],[Account Deposit Amount] ]-Table44[ [#This Row],[Account Withdrawl Amount] ], )</f>
        <v>0</v>
      </c>
    </row>
    <row r="37" spans="1:21" ht="16.2" thickBot="1">
      <c r="A37" s="130"/>
      <c r="B37" s="133"/>
      <c r="C37" s="130"/>
      <c r="D37" s="132"/>
      <c r="E37" s="128"/>
      <c r="F37" s="128"/>
      <c r="G37" s="134">
        <f t="shared" ref="G37:G68" si="3">G36+E37-F37</f>
        <v>15576.109999999997</v>
      </c>
      <c r="H37" s="130"/>
      <c r="I37" s="127">
        <f>IF(Table44[[#This Row],[CODE]]=1, Table44[ [#This Row],[Account Deposit Amount] ]-Table44[ [#This Row],[Account Withdrawl Amount] ], )</f>
        <v>0</v>
      </c>
      <c r="J37" s="129">
        <f>IF(Table44[[#This Row],[CODE]]=2, Table44[ [#This Row],[Account Deposit Amount] ]-Table44[ [#This Row],[Account Withdrawl Amount] ], )</f>
        <v>0</v>
      </c>
      <c r="K37" s="129">
        <f>IF(Table44[[#This Row],[CODE]]=3, Table44[ [#This Row],[Account Deposit Amount] ]-Table44[ [#This Row],[Account Withdrawl Amount] ], )</f>
        <v>0</v>
      </c>
      <c r="L37" s="128">
        <f>IF(Table44[[#This Row],[CODE]]=4, Table44[ [#This Row],[Account Deposit Amount] ]-Table44[ [#This Row],[Account Withdrawl Amount] ], )</f>
        <v>0</v>
      </c>
      <c r="M37" s="128">
        <f>IF(Table44[[#This Row],[CODE]]=5, Table44[ [#This Row],[Account Deposit Amount] ]-Table44[ [#This Row],[Account Withdrawl Amount] ], )</f>
        <v>0</v>
      </c>
      <c r="N37" s="128">
        <f>IF(Table44[[#This Row],[CODE]]=6, Table44[ [#This Row],[Account Deposit Amount] ]-Table44[ [#This Row],[Account Withdrawl Amount] ], )</f>
        <v>0</v>
      </c>
      <c r="O37" s="128">
        <f>IF(Table44[[#This Row],[CODE]]=11, Table44[ [#This Row],[Account Deposit Amount] ]-Table44[ [#This Row],[Account Withdrawl Amount] ], )</f>
        <v>0</v>
      </c>
      <c r="P37" s="128">
        <f>IF(Table44[[#This Row],[CODE]]=12, Table44[ [#This Row],[Account Deposit Amount] ]-Table44[ [#This Row],[Account Withdrawl Amount] ], )</f>
        <v>0</v>
      </c>
      <c r="Q37" s="128">
        <f>IF(Table44[[#This Row],[CODE]]=13, Table44[ [#This Row],[Account Deposit Amount] ]-Table44[ [#This Row],[Account Withdrawl Amount] ], )</f>
        <v>0</v>
      </c>
      <c r="R37" s="128">
        <f>IF(Table44[[#This Row],[CODE]]=14, Table44[ [#This Row],[Account Deposit Amount] ]-Table44[ [#This Row],[Account Withdrawl Amount] ], )</f>
        <v>0</v>
      </c>
      <c r="S37" s="128">
        <f>IF(Table44[[#This Row],[CODE]]=15, Table44[ [#This Row],[Account Deposit Amount] ]-Table44[ [#This Row],[Account Withdrawl Amount] ], )</f>
        <v>0</v>
      </c>
      <c r="T37" s="128">
        <f>IF(Table44[[#This Row],[CODE]]=16, Table44[ [#This Row],[Account Deposit Amount] ]-Table44[ [#This Row],[Account Withdrawl Amount] ], )</f>
        <v>0</v>
      </c>
      <c r="U37" s="127">
        <f>IF(Table44[[#This Row],[CODE]]=17, Table44[ [#This Row],[Account Deposit Amount] ]-Table44[ [#This Row],[Account Withdrawl Amount] ], )</f>
        <v>0</v>
      </c>
    </row>
    <row r="38" spans="1:21" ht="16.2" thickBot="1">
      <c r="A38" s="130"/>
      <c r="B38" s="133"/>
      <c r="C38" s="130"/>
      <c r="D38" s="132"/>
      <c r="E38" s="128"/>
      <c r="F38" s="128"/>
      <c r="G38" s="134">
        <f t="shared" si="3"/>
        <v>15576.109999999997</v>
      </c>
      <c r="H38" s="130"/>
      <c r="I38" s="127">
        <f>IF(Table44[[#This Row],[CODE]]=1, Table44[ [#This Row],[Account Deposit Amount] ]-Table44[ [#This Row],[Account Withdrawl Amount] ], )</f>
        <v>0</v>
      </c>
      <c r="J38" s="129">
        <f>IF(Table44[[#This Row],[CODE]]=2, Table44[ [#This Row],[Account Deposit Amount] ]-Table44[ [#This Row],[Account Withdrawl Amount] ], )</f>
        <v>0</v>
      </c>
      <c r="K38" s="129">
        <f>IF(Table44[[#This Row],[CODE]]=3, Table44[ [#This Row],[Account Deposit Amount] ]-Table44[ [#This Row],[Account Withdrawl Amount] ], )</f>
        <v>0</v>
      </c>
      <c r="L38" s="128">
        <f>IF(Table44[[#This Row],[CODE]]=4, Table44[ [#This Row],[Account Deposit Amount] ]-Table44[ [#This Row],[Account Withdrawl Amount] ], )</f>
        <v>0</v>
      </c>
      <c r="M38" s="128">
        <f>IF(Table44[[#This Row],[CODE]]=5, Table44[ [#This Row],[Account Deposit Amount] ]-Table44[ [#This Row],[Account Withdrawl Amount] ], )</f>
        <v>0</v>
      </c>
      <c r="N38" s="128">
        <f>IF(Table44[[#This Row],[CODE]]=6, Table44[ [#This Row],[Account Deposit Amount] ]-Table44[ [#This Row],[Account Withdrawl Amount] ], )</f>
        <v>0</v>
      </c>
      <c r="O38" s="128">
        <f>IF(Table44[[#This Row],[CODE]]=11, Table44[ [#This Row],[Account Deposit Amount] ]-Table44[ [#This Row],[Account Withdrawl Amount] ], )</f>
        <v>0</v>
      </c>
      <c r="P38" s="128">
        <f>IF(Table44[[#This Row],[CODE]]=12, Table44[ [#This Row],[Account Deposit Amount] ]-Table44[ [#This Row],[Account Withdrawl Amount] ], )</f>
        <v>0</v>
      </c>
      <c r="Q38" s="128">
        <f>IF(Table44[[#This Row],[CODE]]=13, Table44[ [#This Row],[Account Deposit Amount] ]-Table44[ [#This Row],[Account Withdrawl Amount] ], )</f>
        <v>0</v>
      </c>
      <c r="R38" s="128">
        <f>IF(Table44[[#This Row],[CODE]]=14, Table44[ [#This Row],[Account Deposit Amount] ]-Table44[ [#This Row],[Account Withdrawl Amount] ], )</f>
        <v>0</v>
      </c>
      <c r="S38" s="128">
        <f>IF(Table44[[#This Row],[CODE]]=15, Table44[ [#This Row],[Account Deposit Amount] ]-Table44[ [#This Row],[Account Withdrawl Amount] ], )</f>
        <v>0</v>
      </c>
      <c r="T38" s="128">
        <f>IF(Table44[[#This Row],[CODE]]=16, Table44[ [#This Row],[Account Deposit Amount] ]-Table44[ [#This Row],[Account Withdrawl Amount] ], )</f>
        <v>0</v>
      </c>
      <c r="U38" s="127">
        <f>IF(Table44[[#This Row],[CODE]]=17, Table44[ [#This Row],[Account Deposit Amount] ]-Table44[ [#This Row],[Account Withdrawl Amount] ], )</f>
        <v>0</v>
      </c>
    </row>
    <row r="39" spans="1:21" ht="16.2" thickBot="1">
      <c r="A39" s="130"/>
      <c r="B39" s="133"/>
      <c r="C39" s="130"/>
      <c r="D39" s="132"/>
      <c r="E39" s="128"/>
      <c r="F39" s="128"/>
      <c r="G39" s="134">
        <f t="shared" si="3"/>
        <v>15576.109999999997</v>
      </c>
      <c r="H39" s="130"/>
      <c r="I39" s="127">
        <f>IF(Table44[[#This Row],[CODE]]=1, Table44[ [#This Row],[Account Deposit Amount] ]-Table44[ [#This Row],[Account Withdrawl Amount] ], )</f>
        <v>0</v>
      </c>
      <c r="J39" s="129">
        <f>IF(Table44[[#This Row],[CODE]]=2, Table44[ [#This Row],[Account Deposit Amount] ]-Table44[ [#This Row],[Account Withdrawl Amount] ], )</f>
        <v>0</v>
      </c>
      <c r="K39" s="129">
        <f>IF(Table44[[#This Row],[CODE]]=3, Table44[ [#This Row],[Account Deposit Amount] ]-Table44[ [#This Row],[Account Withdrawl Amount] ], )</f>
        <v>0</v>
      </c>
      <c r="L39" s="128">
        <f>IF(Table44[[#This Row],[CODE]]=4, Table44[ [#This Row],[Account Deposit Amount] ]-Table44[ [#This Row],[Account Withdrawl Amount] ], )</f>
        <v>0</v>
      </c>
      <c r="M39" s="128">
        <f>IF(Table44[[#This Row],[CODE]]=5, Table44[ [#This Row],[Account Deposit Amount] ]-Table44[ [#This Row],[Account Withdrawl Amount] ], )</f>
        <v>0</v>
      </c>
      <c r="N39" s="128">
        <f>IF(Table44[[#This Row],[CODE]]=6, Table44[ [#This Row],[Account Deposit Amount] ]-Table44[ [#This Row],[Account Withdrawl Amount] ], )</f>
        <v>0</v>
      </c>
      <c r="O39" s="128">
        <f>IF(Table44[[#This Row],[CODE]]=11, Table44[ [#This Row],[Account Deposit Amount] ]-Table44[ [#This Row],[Account Withdrawl Amount] ], )</f>
        <v>0</v>
      </c>
      <c r="P39" s="128">
        <f>IF(Table44[[#This Row],[CODE]]=12, Table44[ [#This Row],[Account Deposit Amount] ]-Table44[ [#This Row],[Account Withdrawl Amount] ], )</f>
        <v>0</v>
      </c>
      <c r="Q39" s="128">
        <f>IF(Table44[[#This Row],[CODE]]=13, Table44[ [#This Row],[Account Deposit Amount] ]-Table44[ [#This Row],[Account Withdrawl Amount] ], )</f>
        <v>0</v>
      </c>
      <c r="R39" s="128">
        <f>IF(Table44[[#This Row],[CODE]]=14, Table44[ [#This Row],[Account Deposit Amount] ]-Table44[ [#This Row],[Account Withdrawl Amount] ], )</f>
        <v>0</v>
      </c>
      <c r="S39" s="128">
        <f>IF(Table44[[#This Row],[CODE]]=15, Table44[ [#This Row],[Account Deposit Amount] ]-Table44[ [#This Row],[Account Withdrawl Amount] ], )</f>
        <v>0</v>
      </c>
      <c r="T39" s="128">
        <f>IF(Table44[[#This Row],[CODE]]=16, Table44[ [#This Row],[Account Deposit Amount] ]-Table44[ [#This Row],[Account Withdrawl Amount] ], )</f>
        <v>0</v>
      </c>
      <c r="U39" s="127">
        <f>IF(Table44[[#This Row],[CODE]]=17, Table44[ [#This Row],[Account Deposit Amount] ]-Table44[ [#This Row],[Account Withdrawl Amount] ], )</f>
        <v>0</v>
      </c>
    </row>
    <row r="40" spans="1:21" ht="16.2" thickBot="1">
      <c r="A40" s="130"/>
      <c r="B40" s="133"/>
      <c r="C40" s="130"/>
      <c r="D40" s="132"/>
      <c r="E40" s="128"/>
      <c r="F40" s="128"/>
      <c r="G40" s="134">
        <f t="shared" si="3"/>
        <v>15576.109999999997</v>
      </c>
      <c r="H40" s="130"/>
      <c r="I40" s="127">
        <f>IF(Table44[[#This Row],[CODE]]=1, Table44[ [#This Row],[Account Deposit Amount] ]-Table44[ [#This Row],[Account Withdrawl Amount] ], )</f>
        <v>0</v>
      </c>
      <c r="J40" s="129">
        <f>IF(Table44[[#This Row],[CODE]]=2, Table44[ [#This Row],[Account Deposit Amount] ]-Table44[ [#This Row],[Account Withdrawl Amount] ], )</f>
        <v>0</v>
      </c>
      <c r="K40" s="129">
        <f>IF(Table44[[#This Row],[CODE]]=3, Table44[ [#This Row],[Account Deposit Amount] ]-Table44[ [#This Row],[Account Withdrawl Amount] ], )</f>
        <v>0</v>
      </c>
      <c r="L40" s="128">
        <f>IF(Table44[[#This Row],[CODE]]=4, Table44[ [#This Row],[Account Deposit Amount] ]-Table44[ [#This Row],[Account Withdrawl Amount] ], )</f>
        <v>0</v>
      </c>
      <c r="M40" s="128">
        <f>IF(Table44[[#This Row],[CODE]]=5, Table44[ [#This Row],[Account Deposit Amount] ]-Table44[ [#This Row],[Account Withdrawl Amount] ], )</f>
        <v>0</v>
      </c>
      <c r="N40" s="128">
        <f>IF(Table44[[#This Row],[CODE]]=6, Table44[ [#This Row],[Account Deposit Amount] ]-Table44[ [#This Row],[Account Withdrawl Amount] ], )</f>
        <v>0</v>
      </c>
      <c r="O40" s="128">
        <f>IF(Table44[[#This Row],[CODE]]=11, Table44[ [#This Row],[Account Deposit Amount] ]-Table44[ [#This Row],[Account Withdrawl Amount] ], )</f>
        <v>0</v>
      </c>
      <c r="P40" s="128">
        <f>IF(Table44[[#This Row],[CODE]]=12, Table44[ [#This Row],[Account Deposit Amount] ]-Table44[ [#This Row],[Account Withdrawl Amount] ], )</f>
        <v>0</v>
      </c>
      <c r="Q40" s="128">
        <f>IF(Table44[[#This Row],[CODE]]=13, Table44[ [#This Row],[Account Deposit Amount] ]-Table44[ [#This Row],[Account Withdrawl Amount] ], )</f>
        <v>0</v>
      </c>
      <c r="R40" s="128">
        <f>IF(Table44[[#This Row],[CODE]]=14, Table44[ [#This Row],[Account Deposit Amount] ]-Table44[ [#This Row],[Account Withdrawl Amount] ], )</f>
        <v>0</v>
      </c>
      <c r="S40" s="128">
        <f>IF(Table44[[#This Row],[CODE]]=15, Table44[ [#This Row],[Account Deposit Amount] ]-Table44[ [#This Row],[Account Withdrawl Amount] ], )</f>
        <v>0</v>
      </c>
      <c r="T40" s="128">
        <f>IF(Table44[[#This Row],[CODE]]=16, Table44[ [#This Row],[Account Deposit Amount] ]-Table44[ [#This Row],[Account Withdrawl Amount] ], )</f>
        <v>0</v>
      </c>
      <c r="U40" s="127">
        <f>IF(Table44[[#This Row],[CODE]]=17, Table44[ [#This Row],[Account Deposit Amount] ]-Table44[ [#This Row],[Account Withdrawl Amount] ], )</f>
        <v>0</v>
      </c>
    </row>
    <row r="41" spans="1:21" ht="16.2" thickBot="1">
      <c r="A41" s="130"/>
      <c r="B41" s="133"/>
      <c r="C41" s="130"/>
      <c r="D41" s="132"/>
      <c r="E41" s="128"/>
      <c r="F41" s="128"/>
      <c r="G41" s="134">
        <f t="shared" si="3"/>
        <v>15576.109999999997</v>
      </c>
      <c r="H41" s="130"/>
      <c r="I41" s="127">
        <f>IF(Table44[[#This Row],[CODE]]=1, Table44[ [#This Row],[Account Deposit Amount] ]-Table44[ [#This Row],[Account Withdrawl Amount] ], )</f>
        <v>0</v>
      </c>
      <c r="J41" s="129">
        <f>IF(Table44[[#This Row],[CODE]]=2, Table44[ [#This Row],[Account Deposit Amount] ]-Table44[ [#This Row],[Account Withdrawl Amount] ], )</f>
        <v>0</v>
      </c>
      <c r="K41" s="129">
        <f>IF(Table44[[#This Row],[CODE]]=3, Table44[ [#This Row],[Account Deposit Amount] ]-Table44[ [#This Row],[Account Withdrawl Amount] ], )</f>
        <v>0</v>
      </c>
      <c r="L41" s="128">
        <f>IF(Table44[[#This Row],[CODE]]=4, Table44[ [#This Row],[Account Deposit Amount] ]-Table44[ [#This Row],[Account Withdrawl Amount] ], )</f>
        <v>0</v>
      </c>
      <c r="M41" s="128">
        <f>IF(Table44[[#This Row],[CODE]]=5, Table44[ [#This Row],[Account Deposit Amount] ]-Table44[ [#This Row],[Account Withdrawl Amount] ], )</f>
        <v>0</v>
      </c>
      <c r="N41" s="128">
        <f>IF(Table44[[#This Row],[CODE]]=6, Table44[ [#This Row],[Account Deposit Amount] ]-Table44[ [#This Row],[Account Withdrawl Amount] ], )</f>
        <v>0</v>
      </c>
      <c r="O41" s="128">
        <f>IF(Table44[[#This Row],[CODE]]=11, Table44[ [#This Row],[Account Deposit Amount] ]-Table44[ [#This Row],[Account Withdrawl Amount] ], )</f>
        <v>0</v>
      </c>
      <c r="P41" s="128">
        <f>IF(Table44[[#This Row],[CODE]]=12, Table44[ [#This Row],[Account Deposit Amount] ]-Table44[ [#This Row],[Account Withdrawl Amount] ], )</f>
        <v>0</v>
      </c>
      <c r="Q41" s="128">
        <f>IF(Table44[[#This Row],[CODE]]=13, Table44[ [#This Row],[Account Deposit Amount] ]-Table44[ [#This Row],[Account Withdrawl Amount] ], )</f>
        <v>0</v>
      </c>
      <c r="R41" s="128">
        <f>IF(Table44[[#This Row],[CODE]]=14, Table44[ [#This Row],[Account Deposit Amount] ]-Table44[ [#This Row],[Account Withdrawl Amount] ], )</f>
        <v>0</v>
      </c>
      <c r="S41" s="128">
        <f>IF(Table44[[#This Row],[CODE]]=15, Table44[ [#This Row],[Account Deposit Amount] ]-Table44[ [#This Row],[Account Withdrawl Amount] ], )</f>
        <v>0</v>
      </c>
      <c r="T41" s="128">
        <f>IF(Table44[[#This Row],[CODE]]=16, Table44[ [#This Row],[Account Deposit Amount] ]-Table44[ [#This Row],[Account Withdrawl Amount] ], )</f>
        <v>0</v>
      </c>
      <c r="U41" s="127">
        <f>IF(Table44[[#This Row],[CODE]]=17, Table44[ [#This Row],[Account Deposit Amount] ]-Table44[ [#This Row],[Account Withdrawl Amount] ], )</f>
        <v>0</v>
      </c>
    </row>
    <row r="42" spans="1:21" ht="16.2" thickBot="1">
      <c r="A42" s="130"/>
      <c r="B42" s="133"/>
      <c r="C42" s="130"/>
      <c r="D42" s="132"/>
      <c r="E42" s="128"/>
      <c r="F42" s="128"/>
      <c r="G42" s="134">
        <f t="shared" si="3"/>
        <v>15576.109999999997</v>
      </c>
      <c r="H42" s="130"/>
      <c r="I42" s="127">
        <f>IF(Table44[[#This Row],[CODE]]=1, Table44[ [#This Row],[Account Deposit Amount] ]-Table44[ [#This Row],[Account Withdrawl Amount] ], )</f>
        <v>0</v>
      </c>
      <c r="J42" s="129">
        <f>IF(Table44[[#This Row],[CODE]]=2, Table44[ [#This Row],[Account Deposit Amount] ]-Table44[ [#This Row],[Account Withdrawl Amount] ], )</f>
        <v>0</v>
      </c>
      <c r="K42" s="129">
        <f>IF(Table44[[#This Row],[CODE]]=3, Table44[ [#This Row],[Account Deposit Amount] ]-Table44[ [#This Row],[Account Withdrawl Amount] ], )</f>
        <v>0</v>
      </c>
      <c r="L42" s="128">
        <f>IF(Table44[[#This Row],[CODE]]=4, Table44[ [#This Row],[Account Deposit Amount] ]-Table44[ [#This Row],[Account Withdrawl Amount] ], )</f>
        <v>0</v>
      </c>
      <c r="M42" s="128">
        <f>IF(Table44[[#This Row],[CODE]]=5, Table44[ [#This Row],[Account Deposit Amount] ]-Table44[ [#This Row],[Account Withdrawl Amount] ], )</f>
        <v>0</v>
      </c>
      <c r="N42" s="128">
        <f>IF(Table44[[#This Row],[CODE]]=6, Table44[ [#This Row],[Account Deposit Amount] ]-Table44[ [#This Row],[Account Withdrawl Amount] ], )</f>
        <v>0</v>
      </c>
      <c r="O42" s="128">
        <f>IF(Table44[[#This Row],[CODE]]=11, Table44[ [#This Row],[Account Deposit Amount] ]-Table44[ [#This Row],[Account Withdrawl Amount] ], )</f>
        <v>0</v>
      </c>
      <c r="P42" s="128">
        <f>IF(Table44[[#This Row],[CODE]]=12, Table44[ [#This Row],[Account Deposit Amount] ]-Table44[ [#This Row],[Account Withdrawl Amount] ], )</f>
        <v>0</v>
      </c>
      <c r="Q42" s="128">
        <f>IF(Table44[[#This Row],[CODE]]=13, Table44[ [#This Row],[Account Deposit Amount] ]-Table44[ [#This Row],[Account Withdrawl Amount] ], )</f>
        <v>0</v>
      </c>
      <c r="R42" s="128">
        <f>IF(Table44[[#This Row],[CODE]]=14, Table44[ [#This Row],[Account Deposit Amount] ]-Table44[ [#This Row],[Account Withdrawl Amount] ], )</f>
        <v>0</v>
      </c>
      <c r="S42" s="128">
        <f>IF(Table44[[#This Row],[CODE]]=15, Table44[ [#This Row],[Account Deposit Amount] ]-Table44[ [#This Row],[Account Withdrawl Amount] ], )</f>
        <v>0</v>
      </c>
      <c r="T42" s="128">
        <f>IF(Table44[[#This Row],[CODE]]=16, Table44[ [#This Row],[Account Deposit Amount] ]-Table44[ [#This Row],[Account Withdrawl Amount] ], )</f>
        <v>0</v>
      </c>
      <c r="U42" s="127">
        <f>IF(Table44[[#This Row],[CODE]]=17, Table44[ [#This Row],[Account Deposit Amount] ]-Table44[ [#This Row],[Account Withdrawl Amount] ], )</f>
        <v>0</v>
      </c>
    </row>
    <row r="43" spans="1:21" ht="16.2" thickBot="1">
      <c r="A43" s="130"/>
      <c r="B43" s="133"/>
      <c r="C43" s="130"/>
      <c r="D43" s="132"/>
      <c r="E43" s="128"/>
      <c r="F43" s="128"/>
      <c r="G43" s="134">
        <f t="shared" si="3"/>
        <v>15576.109999999997</v>
      </c>
      <c r="H43" s="130"/>
      <c r="I43" s="127">
        <f>IF(Table44[[#This Row],[CODE]]=1, Table44[ [#This Row],[Account Deposit Amount] ]-Table44[ [#This Row],[Account Withdrawl Amount] ], )</f>
        <v>0</v>
      </c>
      <c r="J43" s="129">
        <f>IF(Table44[[#This Row],[CODE]]=2, Table44[ [#This Row],[Account Deposit Amount] ]-Table44[ [#This Row],[Account Withdrawl Amount] ], )</f>
        <v>0</v>
      </c>
      <c r="K43" s="129">
        <f>IF(Table44[[#This Row],[CODE]]=3, Table44[ [#This Row],[Account Deposit Amount] ]-Table44[ [#This Row],[Account Withdrawl Amount] ], )</f>
        <v>0</v>
      </c>
      <c r="L43" s="128">
        <f>IF(Table44[[#This Row],[CODE]]=4, Table44[ [#This Row],[Account Deposit Amount] ]-Table44[ [#This Row],[Account Withdrawl Amount] ], )</f>
        <v>0</v>
      </c>
      <c r="M43" s="128">
        <f>IF(Table44[[#This Row],[CODE]]=5, Table44[ [#This Row],[Account Deposit Amount] ]-Table44[ [#This Row],[Account Withdrawl Amount] ], )</f>
        <v>0</v>
      </c>
      <c r="N43" s="128">
        <f>IF(Table44[[#This Row],[CODE]]=6, Table44[ [#This Row],[Account Deposit Amount] ]-Table44[ [#This Row],[Account Withdrawl Amount] ], )</f>
        <v>0</v>
      </c>
      <c r="O43" s="128">
        <f>IF(Table44[[#This Row],[CODE]]=11, Table44[ [#This Row],[Account Deposit Amount] ]-Table44[ [#This Row],[Account Withdrawl Amount] ], )</f>
        <v>0</v>
      </c>
      <c r="P43" s="128">
        <f>IF(Table44[[#This Row],[CODE]]=12, Table44[ [#This Row],[Account Deposit Amount] ]-Table44[ [#This Row],[Account Withdrawl Amount] ], )</f>
        <v>0</v>
      </c>
      <c r="Q43" s="128">
        <f>IF(Table44[[#This Row],[CODE]]=13, Table44[ [#This Row],[Account Deposit Amount] ]-Table44[ [#This Row],[Account Withdrawl Amount] ], )</f>
        <v>0</v>
      </c>
      <c r="R43" s="128">
        <f>IF(Table44[[#This Row],[CODE]]=14, Table44[ [#This Row],[Account Deposit Amount] ]-Table44[ [#This Row],[Account Withdrawl Amount] ], )</f>
        <v>0</v>
      </c>
      <c r="S43" s="128">
        <f>IF(Table44[[#This Row],[CODE]]=15, Table44[ [#This Row],[Account Deposit Amount] ]-Table44[ [#This Row],[Account Withdrawl Amount] ], )</f>
        <v>0</v>
      </c>
      <c r="T43" s="128">
        <f>IF(Table44[[#This Row],[CODE]]=16, Table44[ [#This Row],[Account Deposit Amount] ]-Table44[ [#This Row],[Account Withdrawl Amount] ], )</f>
        <v>0</v>
      </c>
      <c r="U43" s="127">
        <f>IF(Table44[[#This Row],[CODE]]=17, Table44[ [#This Row],[Account Deposit Amount] ]-Table44[ [#This Row],[Account Withdrawl Amount] ], )</f>
        <v>0</v>
      </c>
    </row>
    <row r="44" spans="1:21" ht="16.2" thickBot="1">
      <c r="A44" s="130"/>
      <c r="B44" s="133"/>
      <c r="C44" s="130"/>
      <c r="D44" s="132"/>
      <c r="E44" s="128"/>
      <c r="F44" s="128"/>
      <c r="G44" s="134">
        <f t="shared" si="3"/>
        <v>15576.109999999997</v>
      </c>
      <c r="H44" s="130"/>
      <c r="I44" s="127">
        <f>IF(Table44[[#This Row],[CODE]]=1, Table44[ [#This Row],[Account Deposit Amount] ]-Table44[ [#This Row],[Account Withdrawl Amount] ], )</f>
        <v>0</v>
      </c>
      <c r="J44" s="129">
        <f>IF(Table44[[#This Row],[CODE]]=2, Table44[ [#This Row],[Account Deposit Amount] ]-Table44[ [#This Row],[Account Withdrawl Amount] ], )</f>
        <v>0</v>
      </c>
      <c r="K44" s="129">
        <f>IF(Table44[[#This Row],[CODE]]=3, Table44[ [#This Row],[Account Deposit Amount] ]-Table44[ [#This Row],[Account Withdrawl Amount] ], )</f>
        <v>0</v>
      </c>
      <c r="L44" s="128">
        <f>IF(Table44[[#This Row],[CODE]]=4, Table44[ [#This Row],[Account Deposit Amount] ]-Table44[ [#This Row],[Account Withdrawl Amount] ], )</f>
        <v>0</v>
      </c>
      <c r="M44" s="128">
        <f>IF(Table44[[#This Row],[CODE]]=5, Table44[ [#This Row],[Account Deposit Amount] ]-Table44[ [#This Row],[Account Withdrawl Amount] ], )</f>
        <v>0</v>
      </c>
      <c r="N44" s="128">
        <f>IF(Table44[[#This Row],[CODE]]=6, Table44[ [#This Row],[Account Deposit Amount] ]-Table44[ [#This Row],[Account Withdrawl Amount] ], )</f>
        <v>0</v>
      </c>
      <c r="O44" s="128">
        <f>IF(Table44[[#This Row],[CODE]]=11, Table44[ [#This Row],[Account Deposit Amount] ]-Table44[ [#This Row],[Account Withdrawl Amount] ], )</f>
        <v>0</v>
      </c>
      <c r="P44" s="128">
        <f>IF(Table44[[#This Row],[CODE]]=12, Table44[ [#This Row],[Account Deposit Amount] ]-Table44[ [#This Row],[Account Withdrawl Amount] ], )</f>
        <v>0</v>
      </c>
      <c r="Q44" s="128">
        <f>IF(Table44[[#This Row],[CODE]]=13, Table44[ [#This Row],[Account Deposit Amount] ]-Table44[ [#This Row],[Account Withdrawl Amount] ], )</f>
        <v>0</v>
      </c>
      <c r="R44" s="128">
        <f>IF(Table44[[#This Row],[CODE]]=14, Table44[ [#This Row],[Account Deposit Amount] ]-Table44[ [#This Row],[Account Withdrawl Amount] ], )</f>
        <v>0</v>
      </c>
      <c r="S44" s="128">
        <f>IF(Table44[[#This Row],[CODE]]=15, Table44[ [#This Row],[Account Deposit Amount] ]-Table44[ [#This Row],[Account Withdrawl Amount] ], )</f>
        <v>0</v>
      </c>
      <c r="T44" s="128">
        <f>IF(Table44[[#This Row],[CODE]]=16, Table44[ [#This Row],[Account Deposit Amount] ]-Table44[ [#This Row],[Account Withdrawl Amount] ], )</f>
        <v>0</v>
      </c>
      <c r="U44" s="127">
        <f>IF(Table44[[#This Row],[CODE]]=17, Table44[ [#This Row],[Account Deposit Amount] ]-Table44[ [#This Row],[Account Withdrawl Amount] ], )</f>
        <v>0</v>
      </c>
    </row>
    <row r="45" spans="1:21" ht="16.2" thickBot="1">
      <c r="A45" s="130"/>
      <c r="B45" s="133"/>
      <c r="C45" s="130"/>
      <c r="D45" s="132"/>
      <c r="E45" s="128"/>
      <c r="F45" s="128"/>
      <c r="G45" s="134">
        <f t="shared" si="3"/>
        <v>15576.109999999997</v>
      </c>
      <c r="H45" s="130"/>
      <c r="I45" s="127">
        <f>IF(Table44[[#This Row],[CODE]]=1, Table44[ [#This Row],[Account Deposit Amount] ]-Table44[ [#This Row],[Account Withdrawl Amount] ], )</f>
        <v>0</v>
      </c>
      <c r="J45" s="129">
        <f>IF(Table44[[#This Row],[CODE]]=2, Table44[ [#This Row],[Account Deposit Amount] ]-Table44[ [#This Row],[Account Withdrawl Amount] ], )</f>
        <v>0</v>
      </c>
      <c r="K45" s="129">
        <f>IF(Table44[[#This Row],[CODE]]=3, Table44[ [#This Row],[Account Deposit Amount] ]-Table44[ [#This Row],[Account Withdrawl Amount] ], )</f>
        <v>0</v>
      </c>
      <c r="L45" s="128">
        <f>IF(Table44[[#This Row],[CODE]]=4, Table44[ [#This Row],[Account Deposit Amount] ]-Table44[ [#This Row],[Account Withdrawl Amount] ], )</f>
        <v>0</v>
      </c>
      <c r="M45" s="128">
        <f>IF(Table44[[#This Row],[CODE]]=5, Table44[ [#This Row],[Account Deposit Amount] ]-Table44[ [#This Row],[Account Withdrawl Amount] ], )</f>
        <v>0</v>
      </c>
      <c r="N45" s="128">
        <f>IF(Table44[[#This Row],[CODE]]=6, Table44[ [#This Row],[Account Deposit Amount] ]-Table44[ [#This Row],[Account Withdrawl Amount] ], )</f>
        <v>0</v>
      </c>
      <c r="O45" s="128">
        <f>IF(Table44[[#This Row],[CODE]]=11, Table44[ [#This Row],[Account Deposit Amount] ]-Table44[ [#This Row],[Account Withdrawl Amount] ], )</f>
        <v>0</v>
      </c>
      <c r="P45" s="128">
        <f>IF(Table44[[#This Row],[CODE]]=12, Table44[ [#This Row],[Account Deposit Amount] ]-Table44[ [#This Row],[Account Withdrawl Amount] ], )</f>
        <v>0</v>
      </c>
      <c r="Q45" s="128">
        <f>IF(Table44[[#This Row],[CODE]]=13, Table44[ [#This Row],[Account Deposit Amount] ]-Table44[ [#This Row],[Account Withdrawl Amount] ], )</f>
        <v>0</v>
      </c>
      <c r="R45" s="128">
        <f>IF(Table44[[#This Row],[CODE]]=14, Table44[ [#This Row],[Account Deposit Amount] ]-Table44[ [#This Row],[Account Withdrawl Amount] ], )</f>
        <v>0</v>
      </c>
      <c r="S45" s="128">
        <f>IF(Table44[[#This Row],[CODE]]=15, Table44[ [#This Row],[Account Deposit Amount] ]-Table44[ [#This Row],[Account Withdrawl Amount] ], )</f>
        <v>0</v>
      </c>
      <c r="T45" s="128">
        <f>IF(Table44[[#This Row],[CODE]]=16, Table44[ [#This Row],[Account Deposit Amount] ]-Table44[ [#This Row],[Account Withdrawl Amount] ], )</f>
        <v>0</v>
      </c>
      <c r="U45" s="127">
        <f>IF(Table44[[#This Row],[CODE]]=17, Table44[ [#This Row],[Account Deposit Amount] ]-Table44[ [#This Row],[Account Withdrawl Amount] ], )</f>
        <v>0</v>
      </c>
    </row>
    <row r="46" spans="1:21" ht="16.2" thickBot="1">
      <c r="A46" s="130"/>
      <c r="B46" s="133"/>
      <c r="C46" s="130"/>
      <c r="D46" s="132"/>
      <c r="E46" s="128"/>
      <c r="F46" s="128"/>
      <c r="G46" s="134">
        <f t="shared" si="3"/>
        <v>15576.109999999997</v>
      </c>
      <c r="H46" s="130"/>
      <c r="I46" s="127">
        <f>IF(Table44[[#This Row],[CODE]]=1, Table44[ [#This Row],[Account Deposit Amount] ]-Table44[ [#This Row],[Account Withdrawl Amount] ], )</f>
        <v>0</v>
      </c>
      <c r="J46" s="129">
        <f>IF(Table44[[#This Row],[CODE]]=2, Table44[ [#This Row],[Account Deposit Amount] ]-Table44[ [#This Row],[Account Withdrawl Amount] ], )</f>
        <v>0</v>
      </c>
      <c r="K46" s="129">
        <f>IF(Table44[[#This Row],[CODE]]=3, Table44[ [#This Row],[Account Deposit Amount] ]-Table44[ [#This Row],[Account Withdrawl Amount] ], )</f>
        <v>0</v>
      </c>
      <c r="L46" s="128">
        <f>IF(Table44[[#This Row],[CODE]]=4, Table44[ [#This Row],[Account Deposit Amount] ]-Table44[ [#This Row],[Account Withdrawl Amount] ], )</f>
        <v>0</v>
      </c>
      <c r="M46" s="128">
        <f>IF(Table44[[#This Row],[CODE]]=5, Table44[ [#This Row],[Account Deposit Amount] ]-Table44[ [#This Row],[Account Withdrawl Amount] ], )</f>
        <v>0</v>
      </c>
      <c r="N46" s="128">
        <f>IF(Table44[[#This Row],[CODE]]=6, Table44[ [#This Row],[Account Deposit Amount] ]-Table44[ [#This Row],[Account Withdrawl Amount] ], )</f>
        <v>0</v>
      </c>
      <c r="O46" s="128">
        <f>IF(Table44[[#This Row],[CODE]]=11, Table44[ [#This Row],[Account Deposit Amount] ]-Table44[ [#This Row],[Account Withdrawl Amount] ], )</f>
        <v>0</v>
      </c>
      <c r="P46" s="128">
        <f>IF(Table44[[#This Row],[CODE]]=12, Table44[ [#This Row],[Account Deposit Amount] ]-Table44[ [#This Row],[Account Withdrawl Amount] ], )</f>
        <v>0</v>
      </c>
      <c r="Q46" s="128">
        <f>IF(Table44[[#This Row],[CODE]]=13, Table44[ [#This Row],[Account Deposit Amount] ]-Table44[ [#This Row],[Account Withdrawl Amount] ], )</f>
        <v>0</v>
      </c>
      <c r="R46" s="128">
        <f>IF(Table44[[#This Row],[CODE]]=14, Table44[ [#This Row],[Account Deposit Amount] ]-Table44[ [#This Row],[Account Withdrawl Amount] ], )</f>
        <v>0</v>
      </c>
      <c r="S46" s="128">
        <f>IF(Table44[[#This Row],[CODE]]=15, Table44[ [#This Row],[Account Deposit Amount] ]-Table44[ [#This Row],[Account Withdrawl Amount] ], )</f>
        <v>0</v>
      </c>
      <c r="T46" s="128">
        <f>IF(Table44[[#This Row],[CODE]]=16, Table44[ [#This Row],[Account Deposit Amount] ]-Table44[ [#This Row],[Account Withdrawl Amount] ], )</f>
        <v>0</v>
      </c>
      <c r="U46" s="127">
        <f>IF(Table44[[#This Row],[CODE]]=17, Table44[ [#This Row],[Account Deposit Amount] ]-Table44[ [#This Row],[Account Withdrawl Amount] ], )</f>
        <v>0</v>
      </c>
    </row>
    <row r="47" spans="1:21" ht="16.2" thickBot="1">
      <c r="A47" s="130"/>
      <c r="B47" s="133"/>
      <c r="C47" s="130"/>
      <c r="D47" s="132"/>
      <c r="E47" s="128"/>
      <c r="F47" s="128"/>
      <c r="G47" s="134">
        <f t="shared" si="3"/>
        <v>15576.109999999997</v>
      </c>
      <c r="H47" s="130"/>
      <c r="I47" s="127">
        <f>IF(Table44[[#This Row],[CODE]]=1, Table44[ [#This Row],[Account Deposit Amount] ]-Table44[ [#This Row],[Account Withdrawl Amount] ], )</f>
        <v>0</v>
      </c>
      <c r="J47" s="129">
        <f>IF(Table44[[#This Row],[CODE]]=2, Table44[ [#This Row],[Account Deposit Amount] ]-Table44[ [#This Row],[Account Withdrawl Amount] ], )</f>
        <v>0</v>
      </c>
      <c r="K47" s="129">
        <f>IF(Table44[[#This Row],[CODE]]=3, Table44[ [#This Row],[Account Deposit Amount] ]-Table44[ [#This Row],[Account Withdrawl Amount] ], )</f>
        <v>0</v>
      </c>
      <c r="L47" s="128">
        <f>IF(Table44[[#This Row],[CODE]]=4, Table44[ [#This Row],[Account Deposit Amount] ]-Table44[ [#This Row],[Account Withdrawl Amount] ], )</f>
        <v>0</v>
      </c>
      <c r="M47" s="128">
        <f>IF(Table44[[#This Row],[CODE]]=5, Table44[ [#This Row],[Account Deposit Amount] ]-Table44[ [#This Row],[Account Withdrawl Amount] ], )</f>
        <v>0</v>
      </c>
      <c r="N47" s="128">
        <f>IF(Table44[[#This Row],[CODE]]=6, Table44[ [#This Row],[Account Deposit Amount] ]-Table44[ [#This Row],[Account Withdrawl Amount] ], )</f>
        <v>0</v>
      </c>
      <c r="O47" s="128">
        <f>IF(Table44[[#This Row],[CODE]]=11, Table44[ [#This Row],[Account Deposit Amount] ]-Table44[ [#This Row],[Account Withdrawl Amount] ], )</f>
        <v>0</v>
      </c>
      <c r="P47" s="128">
        <f>IF(Table44[[#This Row],[CODE]]=12, Table44[ [#This Row],[Account Deposit Amount] ]-Table44[ [#This Row],[Account Withdrawl Amount] ], )</f>
        <v>0</v>
      </c>
      <c r="Q47" s="128">
        <f>IF(Table44[[#This Row],[CODE]]=13, Table44[ [#This Row],[Account Deposit Amount] ]-Table44[ [#This Row],[Account Withdrawl Amount] ], )</f>
        <v>0</v>
      </c>
      <c r="R47" s="128">
        <f>IF(Table44[[#This Row],[CODE]]=14, Table44[ [#This Row],[Account Deposit Amount] ]-Table44[ [#This Row],[Account Withdrawl Amount] ], )</f>
        <v>0</v>
      </c>
      <c r="S47" s="128">
        <f>IF(Table44[[#This Row],[CODE]]=15, Table44[ [#This Row],[Account Deposit Amount] ]-Table44[ [#This Row],[Account Withdrawl Amount] ], )</f>
        <v>0</v>
      </c>
      <c r="T47" s="128">
        <f>IF(Table44[[#This Row],[CODE]]=16, Table44[ [#This Row],[Account Deposit Amount] ]-Table44[ [#This Row],[Account Withdrawl Amount] ], )</f>
        <v>0</v>
      </c>
      <c r="U47" s="127">
        <f>IF(Table44[[#This Row],[CODE]]=17, Table44[ [#This Row],[Account Deposit Amount] ]-Table44[ [#This Row],[Account Withdrawl Amount] ], )</f>
        <v>0</v>
      </c>
    </row>
    <row r="48" spans="1:21" ht="16.2" thickBot="1">
      <c r="A48" s="130"/>
      <c r="B48" s="133"/>
      <c r="C48" s="130"/>
      <c r="D48" s="132"/>
      <c r="E48" s="128"/>
      <c r="F48" s="128"/>
      <c r="G48" s="134">
        <f t="shared" si="3"/>
        <v>15576.109999999997</v>
      </c>
      <c r="H48" s="130"/>
      <c r="I48" s="127">
        <f>IF(Table44[[#This Row],[CODE]]=1, Table44[ [#This Row],[Account Deposit Amount] ]-Table44[ [#This Row],[Account Withdrawl Amount] ], )</f>
        <v>0</v>
      </c>
      <c r="J48" s="129">
        <f>IF(Table44[[#This Row],[CODE]]=2, Table44[ [#This Row],[Account Deposit Amount] ]-Table44[ [#This Row],[Account Withdrawl Amount] ], )</f>
        <v>0</v>
      </c>
      <c r="K48" s="129">
        <f>IF(Table44[[#This Row],[CODE]]=3, Table44[ [#This Row],[Account Deposit Amount] ]-Table44[ [#This Row],[Account Withdrawl Amount] ], )</f>
        <v>0</v>
      </c>
      <c r="L48" s="128">
        <f>IF(Table44[[#This Row],[CODE]]=4, Table44[ [#This Row],[Account Deposit Amount] ]-Table44[ [#This Row],[Account Withdrawl Amount] ], )</f>
        <v>0</v>
      </c>
      <c r="M48" s="128">
        <f>IF(Table44[[#This Row],[CODE]]=5, Table44[ [#This Row],[Account Deposit Amount] ]-Table44[ [#This Row],[Account Withdrawl Amount] ], )</f>
        <v>0</v>
      </c>
      <c r="N48" s="128">
        <f>IF(Table44[[#This Row],[CODE]]=6, Table44[ [#This Row],[Account Deposit Amount] ]-Table44[ [#This Row],[Account Withdrawl Amount] ], )</f>
        <v>0</v>
      </c>
      <c r="O48" s="128">
        <f>IF(Table44[[#This Row],[CODE]]=11, Table44[ [#This Row],[Account Deposit Amount] ]-Table44[ [#This Row],[Account Withdrawl Amount] ], )</f>
        <v>0</v>
      </c>
      <c r="P48" s="128">
        <f>IF(Table44[[#This Row],[CODE]]=12, Table44[ [#This Row],[Account Deposit Amount] ]-Table44[ [#This Row],[Account Withdrawl Amount] ], )</f>
        <v>0</v>
      </c>
      <c r="Q48" s="128">
        <f>IF(Table44[[#This Row],[CODE]]=13, Table44[ [#This Row],[Account Deposit Amount] ]-Table44[ [#This Row],[Account Withdrawl Amount] ], )</f>
        <v>0</v>
      </c>
      <c r="R48" s="128">
        <f>IF(Table44[[#This Row],[CODE]]=14, Table44[ [#This Row],[Account Deposit Amount] ]-Table44[ [#This Row],[Account Withdrawl Amount] ], )</f>
        <v>0</v>
      </c>
      <c r="S48" s="128">
        <f>IF(Table44[[#This Row],[CODE]]=15, Table44[ [#This Row],[Account Deposit Amount] ]-Table44[ [#This Row],[Account Withdrawl Amount] ], )</f>
        <v>0</v>
      </c>
      <c r="T48" s="128">
        <f>IF(Table44[[#This Row],[CODE]]=16, Table44[ [#This Row],[Account Deposit Amount] ]-Table44[ [#This Row],[Account Withdrawl Amount] ], )</f>
        <v>0</v>
      </c>
      <c r="U48" s="127">
        <f>IF(Table44[[#This Row],[CODE]]=17, Table44[ [#This Row],[Account Deposit Amount] ]-Table44[ [#This Row],[Account Withdrawl Amount] ], )</f>
        <v>0</v>
      </c>
    </row>
    <row r="49" spans="1:21" ht="16.2" thickBot="1">
      <c r="A49" s="130"/>
      <c r="B49" s="133"/>
      <c r="C49" s="130"/>
      <c r="D49" s="132"/>
      <c r="E49" s="128"/>
      <c r="F49" s="128"/>
      <c r="G49" s="134">
        <f t="shared" si="3"/>
        <v>15576.109999999997</v>
      </c>
      <c r="H49" s="130"/>
      <c r="I49" s="127">
        <f>IF(Table44[[#This Row],[CODE]]=1, Table44[ [#This Row],[Account Deposit Amount] ]-Table44[ [#This Row],[Account Withdrawl Amount] ], )</f>
        <v>0</v>
      </c>
      <c r="J49" s="129">
        <f>IF(Table44[[#This Row],[CODE]]=2, Table44[ [#This Row],[Account Deposit Amount] ]-Table44[ [#This Row],[Account Withdrawl Amount] ], )</f>
        <v>0</v>
      </c>
      <c r="K49" s="129">
        <f>IF(Table44[[#This Row],[CODE]]=3, Table44[ [#This Row],[Account Deposit Amount] ]-Table44[ [#This Row],[Account Withdrawl Amount] ], )</f>
        <v>0</v>
      </c>
      <c r="L49" s="128">
        <f>IF(Table44[[#This Row],[CODE]]=4, Table44[ [#This Row],[Account Deposit Amount] ]-Table44[ [#This Row],[Account Withdrawl Amount] ], )</f>
        <v>0</v>
      </c>
      <c r="M49" s="128">
        <f>IF(Table44[[#This Row],[CODE]]=5, Table44[ [#This Row],[Account Deposit Amount] ]-Table44[ [#This Row],[Account Withdrawl Amount] ], )</f>
        <v>0</v>
      </c>
      <c r="N49" s="128">
        <f>IF(Table44[[#This Row],[CODE]]=6, Table44[ [#This Row],[Account Deposit Amount] ]-Table44[ [#This Row],[Account Withdrawl Amount] ], )</f>
        <v>0</v>
      </c>
      <c r="O49" s="128">
        <f>IF(Table44[[#This Row],[CODE]]=11, Table44[ [#This Row],[Account Deposit Amount] ]-Table44[ [#This Row],[Account Withdrawl Amount] ], )</f>
        <v>0</v>
      </c>
      <c r="P49" s="128">
        <f>IF(Table44[[#This Row],[CODE]]=12, Table44[ [#This Row],[Account Deposit Amount] ]-Table44[ [#This Row],[Account Withdrawl Amount] ], )</f>
        <v>0</v>
      </c>
      <c r="Q49" s="128">
        <f>IF(Table44[[#This Row],[CODE]]=13, Table44[ [#This Row],[Account Deposit Amount] ]-Table44[ [#This Row],[Account Withdrawl Amount] ], )</f>
        <v>0</v>
      </c>
      <c r="R49" s="128">
        <f>IF(Table44[[#This Row],[CODE]]=14, Table44[ [#This Row],[Account Deposit Amount] ]-Table44[ [#This Row],[Account Withdrawl Amount] ], )</f>
        <v>0</v>
      </c>
      <c r="S49" s="128">
        <f>IF(Table44[[#This Row],[CODE]]=15, Table44[ [#This Row],[Account Deposit Amount] ]-Table44[ [#This Row],[Account Withdrawl Amount] ], )</f>
        <v>0</v>
      </c>
      <c r="T49" s="128">
        <f>IF(Table44[[#This Row],[CODE]]=16, Table44[ [#This Row],[Account Deposit Amount] ]-Table44[ [#This Row],[Account Withdrawl Amount] ], )</f>
        <v>0</v>
      </c>
      <c r="U49" s="127">
        <f>IF(Table44[[#This Row],[CODE]]=17, Table44[ [#This Row],[Account Deposit Amount] ]-Table44[ [#This Row],[Account Withdrawl Amount] ], )</f>
        <v>0</v>
      </c>
    </row>
    <row r="50" spans="1:21" ht="16.2" thickBot="1">
      <c r="A50" s="130"/>
      <c r="B50" s="133"/>
      <c r="C50" s="130"/>
      <c r="D50" s="132"/>
      <c r="E50" s="128"/>
      <c r="F50" s="128"/>
      <c r="G50" s="131">
        <f t="shared" si="3"/>
        <v>15576.109999999997</v>
      </c>
      <c r="H50" s="130"/>
      <c r="I50" s="127">
        <f>IF(Table44[[#This Row],[CODE]]=1, Table44[ [#This Row],[Account Deposit Amount] ]-Table44[ [#This Row],[Account Withdrawl Amount] ], )</f>
        <v>0</v>
      </c>
      <c r="J50" s="129">
        <f>IF(Table44[[#This Row],[CODE]]=2, Table44[ [#This Row],[Account Deposit Amount] ]-Table44[ [#This Row],[Account Withdrawl Amount] ], )</f>
        <v>0</v>
      </c>
      <c r="K50" s="129">
        <f>IF(Table44[[#This Row],[CODE]]=3, Table44[ [#This Row],[Account Deposit Amount] ]-Table44[ [#This Row],[Account Withdrawl Amount] ], )</f>
        <v>0</v>
      </c>
      <c r="L50" s="128">
        <f>IF(Table44[[#This Row],[CODE]]=4, Table44[ [#This Row],[Account Deposit Amount] ]-Table44[ [#This Row],[Account Withdrawl Amount] ], )</f>
        <v>0</v>
      </c>
      <c r="M50" s="128">
        <f>IF(Table44[[#This Row],[CODE]]=5, Table44[ [#This Row],[Account Deposit Amount] ]-Table44[ [#This Row],[Account Withdrawl Amount] ], )</f>
        <v>0</v>
      </c>
      <c r="N50" s="128">
        <f>IF(Table44[[#This Row],[CODE]]=6, Table44[ [#This Row],[Account Deposit Amount] ]-Table44[ [#This Row],[Account Withdrawl Amount] ], )</f>
        <v>0</v>
      </c>
      <c r="O50" s="128">
        <f>IF(Table44[[#This Row],[CODE]]=11, Table44[ [#This Row],[Account Deposit Amount] ]-Table44[ [#This Row],[Account Withdrawl Amount] ], )</f>
        <v>0</v>
      </c>
      <c r="P50" s="128">
        <f>IF(Table44[[#This Row],[CODE]]=12, Table44[ [#This Row],[Account Deposit Amount] ]-Table44[ [#This Row],[Account Withdrawl Amount] ], )</f>
        <v>0</v>
      </c>
      <c r="Q50" s="128">
        <f>IF(Table44[[#This Row],[CODE]]=13, Table44[ [#This Row],[Account Deposit Amount] ]-Table44[ [#This Row],[Account Withdrawl Amount] ], )</f>
        <v>0</v>
      </c>
      <c r="R50" s="128">
        <f>IF(Table44[[#This Row],[CODE]]=14, Table44[ [#This Row],[Account Deposit Amount] ]-Table44[ [#This Row],[Account Withdrawl Amount] ], )</f>
        <v>0</v>
      </c>
      <c r="S50" s="128">
        <f>IF(Table44[[#This Row],[CODE]]=15, Table44[ [#This Row],[Account Deposit Amount] ]-Table44[ [#This Row],[Account Withdrawl Amount] ], )</f>
        <v>0</v>
      </c>
      <c r="T50" s="128">
        <f>IF(Table44[[#This Row],[CODE]]=16, Table44[ [#This Row],[Account Deposit Amount] ]-Table44[ [#This Row],[Account Withdrawl Amount] ], )</f>
        <v>0</v>
      </c>
      <c r="U50" s="127">
        <f>IF(Table44[[#This Row],[CODE]]=17, Table44[ [#This Row],[Account Deposit Amount] ]-Table44[ [#This Row],[Account Withdrawl Amount] ], )</f>
        <v>0</v>
      </c>
    </row>
    <row r="51" spans="1:21" ht="16.2" thickBot="1">
      <c r="A51" s="130"/>
      <c r="B51" s="133"/>
      <c r="C51" s="130"/>
      <c r="D51" s="132"/>
      <c r="E51" s="128"/>
      <c r="F51" s="128"/>
      <c r="G51" s="131">
        <f t="shared" si="3"/>
        <v>15576.109999999997</v>
      </c>
      <c r="H51" s="130"/>
      <c r="I51" s="127">
        <f>IF(Table44[[#This Row],[CODE]]=1, Table44[ [#This Row],[Account Deposit Amount] ]-Table44[ [#This Row],[Account Withdrawl Amount] ], )</f>
        <v>0</v>
      </c>
      <c r="J51" s="129">
        <f>IF(Table44[[#This Row],[CODE]]=2, Table44[ [#This Row],[Account Deposit Amount] ]-Table44[ [#This Row],[Account Withdrawl Amount] ], )</f>
        <v>0</v>
      </c>
      <c r="K51" s="129">
        <f>IF(Table44[[#This Row],[CODE]]=3, Table44[ [#This Row],[Account Deposit Amount] ]-Table44[ [#This Row],[Account Withdrawl Amount] ], )</f>
        <v>0</v>
      </c>
      <c r="L51" s="128">
        <f>IF(Table44[[#This Row],[CODE]]=4, Table44[ [#This Row],[Account Deposit Amount] ]-Table44[ [#This Row],[Account Withdrawl Amount] ], )</f>
        <v>0</v>
      </c>
      <c r="M51" s="128">
        <f>IF(Table44[[#This Row],[CODE]]=5, Table44[ [#This Row],[Account Deposit Amount] ]-Table44[ [#This Row],[Account Withdrawl Amount] ], )</f>
        <v>0</v>
      </c>
      <c r="N51" s="128">
        <f>IF(Table44[[#This Row],[CODE]]=6, Table44[ [#This Row],[Account Deposit Amount] ]-Table44[ [#This Row],[Account Withdrawl Amount] ], )</f>
        <v>0</v>
      </c>
      <c r="O51" s="128">
        <f>IF(Table44[[#This Row],[CODE]]=11, Table44[ [#This Row],[Account Deposit Amount] ]-Table44[ [#This Row],[Account Withdrawl Amount] ], )</f>
        <v>0</v>
      </c>
      <c r="P51" s="128">
        <f>IF(Table44[[#This Row],[CODE]]=12, Table44[ [#This Row],[Account Deposit Amount] ]-Table44[ [#This Row],[Account Withdrawl Amount] ], )</f>
        <v>0</v>
      </c>
      <c r="Q51" s="128">
        <f>IF(Table44[[#This Row],[CODE]]=13, Table44[ [#This Row],[Account Deposit Amount] ]-Table44[ [#This Row],[Account Withdrawl Amount] ], )</f>
        <v>0</v>
      </c>
      <c r="R51" s="128">
        <f>IF(Table44[[#This Row],[CODE]]=14, Table44[ [#This Row],[Account Deposit Amount] ]-Table44[ [#This Row],[Account Withdrawl Amount] ], )</f>
        <v>0</v>
      </c>
      <c r="S51" s="128">
        <f>IF(Table44[[#This Row],[CODE]]=15, Table44[ [#This Row],[Account Deposit Amount] ]-Table44[ [#This Row],[Account Withdrawl Amount] ], )</f>
        <v>0</v>
      </c>
      <c r="T51" s="128">
        <f>IF(Table44[[#This Row],[CODE]]=16, Table44[ [#This Row],[Account Deposit Amount] ]-Table44[ [#This Row],[Account Withdrawl Amount] ], )</f>
        <v>0</v>
      </c>
      <c r="U51" s="127">
        <f>IF(Table44[[#This Row],[CODE]]=17, Table44[ [#This Row],[Account Deposit Amount] ]-Table44[ [#This Row],[Account Withdrawl Amount] ], )</f>
        <v>0</v>
      </c>
    </row>
    <row r="52" spans="1:21" ht="16.2" thickBot="1">
      <c r="A52" s="130"/>
      <c r="B52" s="133"/>
      <c r="C52" s="130"/>
      <c r="D52" s="132"/>
      <c r="E52" s="128"/>
      <c r="F52" s="128"/>
      <c r="G52" s="131">
        <f t="shared" si="3"/>
        <v>15576.109999999997</v>
      </c>
      <c r="H52" s="130"/>
      <c r="I52" s="127">
        <f>IF(Table44[[#This Row],[CODE]]=1, Table44[ [#This Row],[Account Deposit Amount] ]-Table44[ [#This Row],[Account Withdrawl Amount] ], )</f>
        <v>0</v>
      </c>
      <c r="J52" s="129">
        <f>IF(Table44[[#This Row],[CODE]]=2, Table44[ [#This Row],[Account Deposit Amount] ]-Table44[ [#This Row],[Account Withdrawl Amount] ], )</f>
        <v>0</v>
      </c>
      <c r="K52" s="129">
        <f>IF(Table44[[#This Row],[CODE]]=3, Table44[ [#This Row],[Account Deposit Amount] ]-Table44[ [#This Row],[Account Withdrawl Amount] ], )</f>
        <v>0</v>
      </c>
      <c r="L52" s="128">
        <f>IF(Table44[[#This Row],[CODE]]=4, Table44[ [#This Row],[Account Deposit Amount] ]-Table44[ [#This Row],[Account Withdrawl Amount] ], )</f>
        <v>0</v>
      </c>
      <c r="M52" s="128">
        <f>IF(Table44[[#This Row],[CODE]]=5, Table44[ [#This Row],[Account Deposit Amount] ]-Table44[ [#This Row],[Account Withdrawl Amount] ], )</f>
        <v>0</v>
      </c>
      <c r="N52" s="128">
        <f>IF(Table44[[#This Row],[CODE]]=6, Table44[ [#This Row],[Account Deposit Amount] ]-Table44[ [#This Row],[Account Withdrawl Amount] ], )</f>
        <v>0</v>
      </c>
      <c r="O52" s="128">
        <f>IF(Table44[[#This Row],[CODE]]=11, Table44[ [#This Row],[Account Deposit Amount] ]-Table44[ [#This Row],[Account Withdrawl Amount] ], )</f>
        <v>0</v>
      </c>
      <c r="P52" s="128">
        <f>IF(Table44[[#This Row],[CODE]]=12, Table44[ [#This Row],[Account Deposit Amount] ]-Table44[ [#This Row],[Account Withdrawl Amount] ], )</f>
        <v>0</v>
      </c>
      <c r="Q52" s="128">
        <f>IF(Table44[[#This Row],[CODE]]=13, Table44[ [#This Row],[Account Deposit Amount] ]-Table44[ [#This Row],[Account Withdrawl Amount] ], )</f>
        <v>0</v>
      </c>
      <c r="R52" s="128">
        <f>IF(Table44[[#This Row],[CODE]]=14, Table44[ [#This Row],[Account Deposit Amount] ]-Table44[ [#This Row],[Account Withdrawl Amount] ], )</f>
        <v>0</v>
      </c>
      <c r="S52" s="128">
        <f>IF(Table44[[#This Row],[CODE]]=15, Table44[ [#This Row],[Account Deposit Amount] ]-Table44[ [#This Row],[Account Withdrawl Amount] ], )</f>
        <v>0</v>
      </c>
      <c r="T52" s="128">
        <f>IF(Table44[[#This Row],[CODE]]=16, Table44[ [#This Row],[Account Deposit Amount] ]-Table44[ [#This Row],[Account Withdrawl Amount] ], )</f>
        <v>0</v>
      </c>
      <c r="U52" s="127">
        <f>IF(Table44[[#This Row],[CODE]]=17, Table44[ [#This Row],[Account Deposit Amount] ]-Table44[ [#This Row],[Account Withdrawl Amount] ], )</f>
        <v>0</v>
      </c>
    </row>
    <row r="53" spans="1:21" ht="16.2" thickBot="1">
      <c r="A53" s="130"/>
      <c r="B53" s="133"/>
      <c r="C53" s="130"/>
      <c r="D53" s="132"/>
      <c r="E53" s="128"/>
      <c r="F53" s="128"/>
      <c r="G53" s="131">
        <f t="shared" si="3"/>
        <v>15576.109999999997</v>
      </c>
      <c r="H53" s="130"/>
      <c r="I53" s="127">
        <f>IF(Table44[[#This Row],[CODE]]=1, Table44[ [#This Row],[Account Deposit Amount] ]-Table44[ [#This Row],[Account Withdrawl Amount] ], )</f>
        <v>0</v>
      </c>
      <c r="J53" s="129">
        <f>IF(Table44[[#This Row],[CODE]]=2, Table44[ [#This Row],[Account Deposit Amount] ]-Table44[ [#This Row],[Account Withdrawl Amount] ], )</f>
        <v>0</v>
      </c>
      <c r="K53" s="129">
        <f>IF(Table44[[#This Row],[CODE]]=3, Table44[ [#This Row],[Account Deposit Amount] ]-Table44[ [#This Row],[Account Withdrawl Amount] ], )</f>
        <v>0</v>
      </c>
      <c r="L53" s="128">
        <f>IF(Table44[[#This Row],[CODE]]=4, Table44[ [#This Row],[Account Deposit Amount] ]-Table44[ [#This Row],[Account Withdrawl Amount] ], )</f>
        <v>0</v>
      </c>
      <c r="M53" s="128">
        <f>IF(Table44[[#This Row],[CODE]]=5, Table44[ [#This Row],[Account Deposit Amount] ]-Table44[ [#This Row],[Account Withdrawl Amount] ], )</f>
        <v>0</v>
      </c>
      <c r="N53" s="128">
        <f>IF(Table44[[#This Row],[CODE]]=6, Table44[ [#This Row],[Account Deposit Amount] ]-Table44[ [#This Row],[Account Withdrawl Amount] ], )</f>
        <v>0</v>
      </c>
      <c r="O53" s="128">
        <f>IF(Table44[[#This Row],[CODE]]=11, Table44[ [#This Row],[Account Deposit Amount] ]-Table44[ [#This Row],[Account Withdrawl Amount] ], )</f>
        <v>0</v>
      </c>
      <c r="P53" s="128">
        <f>IF(Table44[[#This Row],[CODE]]=12, Table44[ [#This Row],[Account Deposit Amount] ]-Table44[ [#This Row],[Account Withdrawl Amount] ], )</f>
        <v>0</v>
      </c>
      <c r="Q53" s="128">
        <f>IF(Table44[[#This Row],[CODE]]=13, Table44[ [#This Row],[Account Deposit Amount] ]-Table44[ [#This Row],[Account Withdrawl Amount] ], )</f>
        <v>0</v>
      </c>
      <c r="R53" s="128">
        <f>IF(Table44[[#This Row],[CODE]]=14, Table44[ [#This Row],[Account Deposit Amount] ]-Table44[ [#This Row],[Account Withdrawl Amount] ], )</f>
        <v>0</v>
      </c>
      <c r="S53" s="128">
        <f>IF(Table44[[#This Row],[CODE]]=15, Table44[ [#This Row],[Account Deposit Amount] ]-Table44[ [#This Row],[Account Withdrawl Amount] ], )</f>
        <v>0</v>
      </c>
      <c r="T53" s="128">
        <f>IF(Table44[[#This Row],[CODE]]=16, Table44[ [#This Row],[Account Deposit Amount] ]-Table44[ [#This Row],[Account Withdrawl Amount] ], )</f>
        <v>0</v>
      </c>
      <c r="U53" s="127">
        <f>IF(Table44[[#This Row],[CODE]]=17, Table44[ [#This Row],[Account Deposit Amount] ]-Table44[ [#This Row],[Account Withdrawl Amount] ], )</f>
        <v>0</v>
      </c>
    </row>
    <row r="54" spans="1:21" ht="16.2" thickBot="1">
      <c r="A54" s="130"/>
      <c r="B54" s="133"/>
      <c r="C54" s="130"/>
      <c r="D54" s="132"/>
      <c r="E54" s="128"/>
      <c r="F54" s="128"/>
      <c r="G54" s="131">
        <f t="shared" si="3"/>
        <v>15576.109999999997</v>
      </c>
      <c r="H54" s="130"/>
      <c r="I54" s="127">
        <f>IF(Table44[[#This Row],[CODE]]=1, Table44[ [#This Row],[Account Deposit Amount] ]-Table44[ [#This Row],[Account Withdrawl Amount] ], )</f>
        <v>0</v>
      </c>
      <c r="J54" s="129">
        <f>IF(Table44[[#This Row],[CODE]]=2, Table44[ [#This Row],[Account Deposit Amount] ]-Table44[ [#This Row],[Account Withdrawl Amount] ], )</f>
        <v>0</v>
      </c>
      <c r="K54" s="129">
        <f>IF(Table44[[#This Row],[CODE]]=3, Table44[ [#This Row],[Account Deposit Amount] ]-Table44[ [#This Row],[Account Withdrawl Amount] ], )</f>
        <v>0</v>
      </c>
      <c r="L54" s="128">
        <f>IF(Table44[[#This Row],[CODE]]=4, Table44[ [#This Row],[Account Deposit Amount] ]-Table44[ [#This Row],[Account Withdrawl Amount] ], )</f>
        <v>0</v>
      </c>
      <c r="M54" s="128">
        <f>IF(Table44[[#This Row],[CODE]]=5, Table44[ [#This Row],[Account Deposit Amount] ]-Table44[ [#This Row],[Account Withdrawl Amount] ], )</f>
        <v>0</v>
      </c>
      <c r="N54" s="128">
        <f>IF(Table44[[#This Row],[CODE]]=6, Table44[ [#This Row],[Account Deposit Amount] ]-Table44[ [#This Row],[Account Withdrawl Amount] ], )</f>
        <v>0</v>
      </c>
      <c r="O54" s="128">
        <f>IF(Table44[[#This Row],[CODE]]=11, Table44[ [#This Row],[Account Deposit Amount] ]-Table44[ [#This Row],[Account Withdrawl Amount] ], )</f>
        <v>0</v>
      </c>
      <c r="P54" s="128">
        <f>IF(Table44[[#This Row],[CODE]]=12, Table44[ [#This Row],[Account Deposit Amount] ]-Table44[ [#This Row],[Account Withdrawl Amount] ], )</f>
        <v>0</v>
      </c>
      <c r="Q54" s="128">
        <f>IF(Table44[[#This Row],[CODE]]=13, Table44[ [#This Row],[Account Deposit Amount] ]-Table44[ [#This Row],[Account Withdrawl Amount] ], )</f>
        <v>0</v>
      </c>
      <c r="R54" s="128">
        <f>IF(Table44[[#This Row],[CODE]]=14, Table44[ [#This Row],[Account Deposit Amount] ]-Table44[ [#This Row],[Account Withdrawl Amount] ], )</f>
        <v>0</v>
      </c>
      <c r="S54" s="128">
        <f>IF(Table44[[#This Row],[CODE]]=15, Table44[ [#This Row],[Account Deposit Amount] ]-Table44[ [#This Row],[Account Withdrawl Amount] ], )</f>
        <v>0</v>
      </c>
      <c r="T54" s="128">
        <f>IF(Table44[[#This Row],[CODE]]=16, Table44[ [#This Row],[Account Deposit Amount] ]-Table44[ [#This Row],[Account Withdrawl Amount] ], )</f>
        <v>0</v>
      </c>
      <c r="U54" s="127">
        <f>IF(Table44[[#This Row],[CODE]]=17, Table44[ [#This Row],[Account Deposit Amount] ]-Table44[ [#This Row],[Account Withdrawl Amount] ], )</f>
        <v>0</v>
      </c>
    </row>
    <row r="55" spans="1:21" ht="16.2" thickBot="1">
      <c r="A55" s="130"/>
      <c r="B55" s="133"/>
      <c r="C55" s="130"/>
      <c r="D55" s="132"/>
      <c r="E55" s="128"/>
      <c r="F55" s="128"/>
      <c r="G55" s="131">
        <f t="shared" si="3"/>
        <v>15576.109999999997</v>
      </c>
      <c r="H55" s="130"/>
      <c r="I55" s="127">
        <f>IF(Table44[[#This Row],[CODE]]=1, Table44[ [#This Row],[Account Deposit Amount] ]-Table44[ [#This Row],[Account Withdrawl Amount] ], )</f>
        <v>0</v>
      </c>
      <c r="J55" s="129">
        <f>IF(Table44[[#This Row],[CODE]]=2, Table44[ [#This Row],[Account Deposit Amount] ]-Table44[ [#This Row],[Account Withdrawl Amount] ], )</f>
        <v>0</v>
      </c>
      <c r="K55" s="129">
        <f>IF(Table44[[#This Row],[CODE]]=3, Table44[ [#This Row],[Account Deposit Amount] ]-Table44[ [#This Row],[Account Withdrawl Amount] ], )</f>
        <v>0</v>
      </c>
      <c r="L55" s="128">
        <f>IF(Table44[[#This Row],[CODE]]=4, Table44[ [#This Row],[Account Deposit Amount] ]-Table44[ [#This Row],[Account Withdrawl Amount] ], )</f>
        <v>0</v>
      </c>
      <c r="M55" s="128">
        <f>IF(Table44[[#This Row],[CODE]]=5, Table44[ [#This Row],[Account Deposit Amount] ]-Table44[ [#This Row],[Account Withdrawl Amount] ], )</f>
        <v>0</v>
      </c>
      <c r="N55" s="128">
        <f>IF(Table44[[#This Row],[CODE]]=6, Table44[ [#This Row],[Account Deposit Amount] ]-Table44[ [#This Row],[Account Withdrawl Amount] ], )</f>
        <v>0</v>
      </c>
      <c r="O55" s="128">
        <f>IF(Table44[[#This Row],[CODE]]=11, Table44[ [#This Row],[Account Deposit Amount] ]-Table44[ [#This Row],[Account Withdrawl Amount] ], )</f>
        <v>0</v>
      </c>
      <c r="P55" s="128">
        <f>IF(Table44[[#This Row],[CODE]]=12, Table44[ [#This Row],[Account Deposit Amount] ]-Table44[ [#This Row],[Account Withdrawl Amount] ], )</f>
        <v>0</v>
      </c>
      <c r="Q55" s="128">
        <f>IF(Table44[[#This Row],[CODE]]=13, Table44[ [#This Row],[Account Deposit Amount] ]-Table44[ [#This Row],[Account Withdrawl Amount] ], )</f>
        <v>0</v>
      </c>
      <c r="R55" s="128">
        <f>IF(Table44[[#This Row],[CODE]]=14, Table44[ [#This Row],[Account Deposit Amount] ]-Table44[ [#This Row],[Account Withdrawl Amount] ], )</f>
        <v>0</v>
      </c>
      <c r="S55" s="128">
        <f>IF(Table44[[#This Row],[CODE]]=15, Table44[ [#This Row],[Account Deposit Amount] ]-Table44[ [#This Row],[Account Withdrawl Amount] ], )</f>
        <v>0</v>
      </c>
      <c r="T55" s="128">
        <f>IF(Table44[[#This Row],[CODE]]=16, Table44[ [#This Row],[Account Deposit Amount] ]-Table44[ [#This Row],[Account Withdrawl Amount] ], )</f>
        <v>0</v>
      </c>
      <c r="U55" s="127">
        <f>IF(Table44[[#This Row],[CODE]]=17, Table44[ [#This Row],[Account Deposit Amount] ]-Table44[ [#This Row],[Account Withdrawl Amount] ], )</f>
        <v>0</v>
      </c>
    </row>
    <row r="56" spans="1:21" ht="16.2" thickBot="1">
      <c r="A56" s="130"/>
      <c r="B56" s="133"/>
      <c r="C56" s="130"/>
      <c r="D56" s="132"/>
      <c r="E56" s="128"/>
      <c r="F56" s="128"/>
      <c r="G56" s="131">
        <f t="shared" si="3"/>
        <v>15576.109999999997</v>
      </c>
      <c r="H56" s="130"/>
      <c r="I56" s="127">
        <f>IF(Table44[[#This Row],[CODE]]=1, Table44[ [#This Row],[Account Deposit Amount] ]-Table44[ [#This Row],[Account Withdrawl Amount] ], )</f>
        <v>0</v>
      </c>
      <c r="J56" s="129">
        <f>IF(Table44[[#This Row],[CODE]]=2, Table44[ [#This Row],[Account Deposit Amount] ]-Table44[ [#This Row],[Account Withdrawl Amount] ], )</f>
        <v>0</v>
      </c>
      <c r="K56" s="129">
        <f>IF(Table44[[#This Row],[CODE]]=3, Table44[ [#This Row],[Account Deposit Amount] ]-Table44[ [#This Row],[Account Withdrawl Amount] ], )</f>
        <v>0</v>
      </c>
      <c r="L56" s="128">
        <f>IF(Table44[[#This Row],[CODE]]=4, Table44[ [#This Row],[Account Deposit Amount] ]-Table44[ [#This Row],[Account Withdrawl Amount] ], )</f>
        <v>0</v>
      </c>
      <c r="M56" s="128">
        <f>IF(Table44[[#This Row],[CODE]]=5, Table44[ [#This Row],[Account Deposit Amount] ]-Table44[ [#This Row],[Account Withdrawl Amount] ], )</f>
        <v>0</v>
      </c>
      <c r="N56" s="128">
        <f>IF(Table44[[#This Row],[CODE]]=6, Table44[ [#This Row],[Account Deposit Amount] ]-Table44[ [#This Row],[Account Withdrawl Amount] ], )</f>
        <v>0</v>
      </c>
      <c r="O56" s="128">
        <f>IF(Table44[[#This Row],[CODE]]=11, Table44[ [#This Row],[Account Deposit Amount] ]-Table44[ [#This Row],[Account Withdrawl Amount] ], )</f>
        <v>0</v>
      </c>
      <c r="P56" s="128">
        <f>IF(Table44[[#This Row],[CODE]]=12, Table44[ [#This Row],[Account Deposit Amount] ]-Table44[ [#This Row],[Account Withdrawl Amount] ], )</f>
        <v>0</v>
      </c>
      <c r="Q56" s="128">
        <f>IF(Table44[[#This Row],[CODE]]=13, Table44[ [#This Row],[Account Deposit Amount] ]-Table44[ [#This Row],[Account Withdrawl Amount] ], )</f>
        <v>0</v>
      </c>
      <c r="R56" s="128">
        <f>IF(Table44[[#This Row],[CODE]]=14, Table44[ [#This Row],[Account Deposit Amount] ]-Table44[ [#This Row],[Account Withdrawl Amount] ], )</f>
        <v>0</v>
      </c>
      <c r="S56" s="128">
        <f>IF(Table44[[#This Row],[CODE]]=15, Table44[ [#This Row],[Account Deposit Amount] ]-Table44[ [#This Row],[Account Withdrawl Amount] ], )</f>
        <v>0</v>
      </c>
      <c r="T56" s="128">
        <f>IF(Table44[[#This Row],[CODE]]=16, Table44[ [#This Row],[Account Deposit Amount] ]-Table44[ [#This Row],[Account Withdrawl Amount] ], )</f>
        <v>0</v>
      </c>
      <c r="U56" s="127">
        <f>IF(Table44[[#This Row],[CODE]]=17, Table44[ [#This Row],[Account Deposit Amount] ]-Table44[ [#This Row],[Account Withdrawl Amount] ], )</f>
        <v>0</v>
      </c>
    </row>
    <row r="57" spans="1:21" ht="16.2" thickBot="1">
      <c r="A57" s="130"/>
      <c r="B57" s="133"/>
      <c r="C57" s="130"/>
      <c r="D57" s="132"/>
      <c r="E57" s="128"/>
      <c r="F57" s="128"/>
      <c r="G57" s="131">
        <f t="shared" si="3"/>
        <v>15576.109999999997</v>
      </c>
      <c r="H57" s="130"/>
      <c r="I57" s="127">
        <f>IF(Table44[[#This Row],[CODE]]=1, Table44[ [#This Row],[Account Deposit Amount] ]-Table44[ [#This Row],[Account Withdrawl Amount] ], )</f>
        <v>0</v>
      </c>
      <c r="J57" s="129">
        <f>IF(Table44[[#This Row],[CODE]]=2, Table44[ [#This Row],[Account Deposit Amount] ]-Table44[ [#This Row],[Account Withdrawl Amount] ], )</f>
        <v>0</v>
      </c>
      <c r="K57" s="129">
        <f>IF(Table44[[#This Row],[CODE]]=3, Table44[ [#This Row],[Account Deposit Amount] ]-Table44[ [#This Row],[Account Withdrawl Amount] ], )</f>
        <v>0</v>
      </c>
      <c r="L57" s="128">
        <f>IF(Table44[[#This Row],[CODE]]=4, Table44[ [#This Row],[Account Deposit Amount] ]-Table44[ [#This Row],[Account Withdrawl Amount] ], )</f>
        <v>0</v>
      </c>
      <c r="M57" s="128">
        <f>IF(Table44[[#This Row],[CODE]]=5, Table44[ [#This Row],[Account Deposit Amount] ]-Table44[ [#This Row],[Account Withdrawl Amount] ], )</f>
        <v>0</v>
      </c>
      <c r="N57" s="128">
        <f>IF(Table44[[#This Row],[CODE]]=6, Table44[ [#This Row],[Account Deposit Amount] ]-Table44[ [#This Row],[Account Withdrawl Amount] ], )</f>
        <v>0</v>
      </c>
      <c r="O57" s="128">
        <f>IF(Table44[[#This Row],[CODE]]=11, Table44[ [#This Row],[Account Deposit Amount] ]-Table44[ [#This Row],[Account Withdrawl Amount] ], )</f>
        <v>0</v>
      </c>
      <c r="P57" s="128">
        <f>IF(Table44[[#This Row],[CODE]]=12, Table44[ [#This Row],[Account Deposit Amount] ]-Table44[ [#This Row],[Account Withdrawl Amount] ], )</f>
        <v>0</v>
      </c>
      <c r="Q57" s="128">
        <f>IF(Table44[[#This Row],[CODE]]=13, Table44[ [#This Row],[Account Deposit Amount] ]-Table44[ [#This Row],[Account Withdrawl Amount] ], )</f>
        <v>0</v>
      </c>
      <c r="R57" s="128">
        <f>IF(Table44[[#This Row],[CODE]]=14, Table44[ [#This Row],[Account Deposit Amount] ]-Table44[ [#This Row],[Account Withdrawl Amount] ], )</f>
        <v>0</v>
      </c>
      <c r="S57" s="128">
        <f>IF(Table44[[#This Row],[CODE]]=15, Table44[ [#This Row],[Account Deposit Amount] ]-Table44[ [#This Row],[Account Withdrawl Amount] ], )</f>
        <v>0</v>
      </c>
      <c r="T57" s="128">
        <f>IF(Table44[[#This Row],[CODE]]=16, Table44[ [#This Row],[Account Deposit Amount] ]-Table44[ [#This Row],[Account Withdrawl Amount] ], )</f>
        <v>0</v>
      </c>
      <c r="U57" s="127">
        <f>IF(Table44[[#This Row],[CODE]]=17, Table44[ [#This Row],[Account Deposit Amount] ]-Table44[ [#This Row],[Account Withdrawl Amount] ], )</f>
        <v>0</v>
      </c>
    </row>
    <row r="58" spans="1:21" ht="16.2" thickBot="1">
      <c r="A58" s="130"/>
      <c r="B58" s="133"/>
      <c r="C58" s="130"/>
      <c r="D58" s="132"/>
      <c r="E58" s="128"/>
      <c r="F58" s="128"/>
      <c r="G58" s="131">
        <f t="shared" si="3"/>
        <v>15576.109999999997</v>
      </c>
      <c r="H58" s="130"/>
      <c r="I58" s="127">
        <f>IF(Table44[[#This Row],[CODE]]=1, Table44[ [#This Row],[Account Deposit Amount] ]-Table44[ [#This Row],[Account Withdrawl Amount] ], )</f>
        <v>0</v>
      </c>
      <c r="J58" s="129">
        <f>IF(Table44[[#This Row],[CODE]]=2, Table44[ [#This Row],[Account Deposit Amount] ]-Table44[ [#This Row],[Account Withdrawl Amount] ], )</f>
        <v>0</v>
      </c>
      <c r="K58" s="129">
        <f>IF(Table44[[#This Row],[CODE]]=3, Table44[ [#This Row],[Account Deposit Amount] ]-Table44[ [#This Row],[Account Withdrawl Amount] ], )</f>
        <v>0</v>
      </c>
      <c r="L58" s="128">
        <f>IF(Table44[[#This Row],[CODE]]=4, Table44[ [#This Row],[Account Deposit Amount] ]-Table44[ [#This Row],[Account Withdrawl Amount] ], )</f>
        <v>0</v>
      </c>
      <c r="M58" s="128">
        <f>IF(Table44[[#This Row],[CODE]]=5, Table44[ [#This Row],[Account Deposit Amount] ]-Table44[ [#This Row],[Account Withdrawl Amount] ], )</f>
        <v>0</v>
      </c>
      <c r="N58" s="128">
        <f>IF(Table44[[#This Row],[CODE]]=6, Table44[ [#This Row],[Account Deposit Amount] ]-Table44[ [#This Row],[Account Withdrawl Amount] ], )</f>
        <v>0</v>
      </c>
      <c r="O58" s="128">
        <f>IF(Table44[[#This Row],[CODE]]=11, Table44[ [#This Row],[Account Deposit Amount] ]-Table44[ [#This Row],[Account Withdrawl Amount] ], )</f>
        <v>0</v>
      </c>
      <c r="P58" s="128">
        <f>IF(Table44[[#This Row],[CODE]]=12, Table44[ [#This Row],[Account Deposit Amount] ]-Table44[ [#This Row],[Account Withdrawl Amount] ], )</f>
        <v>0</v>
      </c>
      <c r="Q58" s="128">
        <f>IF(Table44[[#This Row],[CODE]]=13, Table44[ [#This Row],[Account Deposit Amount] ]-Table44[ [#This Row],[Account Withdrawl Amount] ], )</f>
        <v>0</v>
      </c>
      <c r="R58" s="128">
        <f>IF(Table44[[#This Row],[CODE]]=14, Table44[ [#This Row],[Account Deposit Amount] ]-Table44[ [#This Row],[Account Withdrawl Amount] ], )</f>
        <v>0</v>
      </c>
      <c r="S58" s="128">
        <f>IF(Table44[[#This Row],[CODE]]=15, Table44[ [#This Row],[Account Deposit Amount] ]-Table44[ [#This Row],[Account Withdrawl Amount] ], )</f>
        <v>0</v>
      </c>
      <c r="T58" s="128">
        <f>IF(Table44[[#This Row],[CODE]]=16, Table44[ [#This Row],[Account Deposit Amount] ]-Table44[ [#This Row],[Account Withdrawl Amount] ], )</f>
        <v>0</v>
      </c>
      <c r="U58" s="127">
        <f>IF(Table44[[#This Row],[CODE]]=17, Table44[ [#This Row],[Account Deposit Amount] ]-Table44[ [#This Row],[Account Withdrawl Amount] ], )</f>
        <v>0</v>
      </c>
    </row>
    <row r="59" spans="1:21" ht="16.2" thickBot="1">
      <c r="A59" s="130"/>
      <c r="B59" s="133"/>
      <c r="C59" s="130"/>
      <c r="D59" s="132"/>
      <c r="E59" s="128"/>
      <c r="F59" s="128"/>
      <c r="G59" s="131">
        <f t="shared" si="3"/>
        <v>15576.109999999997</v>
      </c>
      <c r="H59" s="130"/>
      <c r="I59" s="127">
        <f>IF(Table44[[#This Row],[CODE]]=1, Table44[ [#This Row],[Account Deposit Amount] ]-Table44[ [#This Row],[Account Withdrawl Amount] ], )</f>
        <v>0</v>
      </c>
      <c r="J59" s="129">
        <f>IF(Table44[[#This Row],[CODE]]=2, Table44[ [#This Row],[Account Deposit Amount] ]-Table44[ [#This Row],[Account Withdrawl Amount] ], )</f>
        <v>0</v>
      </c>
      <c r="K59" s="129">
        <f>IF(Table44[[#This Row],[CODE]]=3, Table44[ [#This Row],[Account Deposit Amount] ]-Table44[ [#This Row],[Account Withdrawl Amount] ], )</f>
        <v>0</v>
      </c>
      <c r="L59" s="128">
        <f>IF(Table44[[#This Row],[CODE]]=4, Table44[ [#This Row],[Account Deposit Amount] ]-Table44[ [#This Row],[Account Withdrawl Amount] ], )</f>
        <v>0</v>
      </c>
      <c r="M59" s="128">
        <f>IF(Table44[[#This Row],[CODE]]=5, Table44[ [#This Row],[Account Deposit Amount] ]-Table44[ [#This Row],[Account Withdrawl Amount] ], )</f>
        <v>0</v>
      </c>
      <c r="N59" s="128">
        <f>IF(Table44[[#This Row],[CODE]]=6, Table44[ [#This Row],[Account Deposit Amount] ]-Table44[ [#This Row],[Account Withdrawl Amount] ], )</f>
        <v>0</v>
      </c>
      <c r="O59" s="128">
        <f>IF(Table44[[#This Row],[CODE]]=11, Table44[ [#This Row],[Account Deposit Amount] ]-Table44[ [#This Row],[Account Withdrawl Amount] ], )</f>
        <v>0</v>
      </c>
      <c r="P59" s="128">
        <f>IF(Table44[[#This Row],[CODE]]=12, Table44[ [#This Row],[Account Deposit Amount] ]-Table44[ [#This Row],[Account Withdrawl Amount] ], )</f>
        <v>0</v>
      </c>
      <c r="Q59" s="128">
        <f>IF(Table44[[#This Row],[CODE]]=13, Table44[ [#This Row],[Account Deposit Amount] ]-Table44[ [#This Row],[Account Withdrawl Amount] ], )</f>
        <v>0</v>
      </c>
      <c r="R59" s="128">
        <f>IF(Table44[[#This Row],[CODE]]=14, Table44[ [#This Row],[Account Deposit Amount] ]-Table44[ [#This Row],[Account Withdrawl Amount] ], )</f>
        <v>0</v>
      </c>
      <c r="S59" s="128">
        <f>IF(Table44[[#This Row],[CODE]]=15, Table44[ [#This Row],[Account Deposit Amount] ]-Table44[ [#This Row],[Account Withdrawl Amount] ], )</f>
        <v>0</v>
      </c>
      <c r="T59" s="128">
        <f>IF(Table44[[#This Row],[CODE]]=16, Table44[ [#This Row],[Account Deposit Amount] ]-Table44[ [#This Row],[Account Withdrawl Amount] ], )</f>
        <v>0</v>
      </c>
      <c r="U59" s="127">
        <f>IF(Table44[[#This Row],[CODE]]=17, Table44[ [#This Row],[Account Deposit Amount] ]-Table44[ [#This Row],[Account Withdrawl Amount] ], )</f>
        <v>0</v>
      </c>
    </row>
    <row r="60" spans="1:21" ht="16.2" thickBot="1">
      <c r="A60" s="130"/>
      <c r="B60" s="133"/>
      <c r="C60" s="130"/>
      <c r="D60" s="132"/>
      <c r="E60" s="128"/>
      <c r="F60" s="128"/>
      <c r="G60" s="131">
        <f t="shared" si="3"/>
        <v>15576.109999999997</v>
      </c>
      <c r="H60" s="130"/>
      <c r="I60" s="127">
        <f>IF(Table44[[#This Row],[CODE]]=1, Table44[ [#This Row],[Account Deposit Amount] ]-Table44[ [#This Row],[Account Withdrawl Amount] ], )</f>
        <v>0</v>
      </c>
      <c r="J60" s="129">
        <f>IF(Table44[[#This Row],[CODE]]=2, Table44[ [#This Row],[Account Deposit Amount] ]-Table44[ [#This Row],[Account Withdrawl Amount] ], )</f>
        <v>0</v>
      </c>
      <c r="K60" s="129">
        <f>IF(Table44[[#This Row],[CODE]]=3, Table44[ [#This Row],[Account Deposit Amount] ]-Table44[ [#This Row],[Account Withdrawl Amount] ], )</f>
        <v>0</v>
      </c>
      <c r="L60" s="128">
        <f>IF(Table44[[#This Row],[CODE]]=4, Table44[ [#This Row],[Account Deposit Amount] ]-Table44[ [#This Row],[Account Withdrawl Amount] ], )</f>
        <v>0</v>
      </c>
      <c r="M60" s="128">
        <f>IF(Table44[[#This Row],[CODE]]=5, Table44[ [#This Row],[Account Deposit Amount] ]-Table44[ [#This Row],[Account Withdrawl Amount] ], )</f>
        <v>0</v>
      </c>
      <c r="N60" s="128">
        <f>IF(Table44[[#This Row],[CODE]]=6, Table44[ [#This Row],[Account Deposit Amount] ]-Table44[ [#This Row],[Account Withdrawl Amount] ], )</f>
        <v>0</v>
      </c>
      <c r="O60" s="128">
        <f>IF(Table44[[#This Row],[CODE]]=11, Table44[ [#This Row],[Account Deposit Amount] ]-Table44[ [#This Row],[Account Withdrawl Amount] ], )</f>
        <v>0</v>
      </c>
      <c r="P60" s="128">
        <f>IF(Table44[[#This Row],[CODE]]=12, Table44[ [#This Row],[Account Deposit Amount] ]-Table44[ [#This Row],[Account Withdrawl Amount] ], )</f>
        <v>0</v>
      </c>
      <c r="Q60" s="128">
        <f>IF(Table44[[#This Row],[CODE]]=13, Table44[ [#This Row],[Account Deposit Amount] ]-Table44[ [#This Row],[Account Withdrawl Amount] ], )</f>
        <v>0</v>
      </c>
      <c r="R60" s="128">
        <f>IF(Table44[[#This Row],[CODE]]=14, Table44[ [#This Row],[Account Deposit Amount] ]-Table44[ [#This Row],[Account Withdrawl Amount] ], )</f>
        <v>0</v>
      </c>
      <c r="S60" s="128">
        <f>IF(Table44[[#This Row],[CODE]]=15, Table44[ [#This Row],[Account Deposit Amount] ]-Table44[ [#This Row],[Account Withdrawl Amount] ], )</f>
        <v>0</v>
      </c>
      <c r="T60" s="128">
        <f>IF(Table44[[#This Row],[CODE]]=16, Table44[ [#This Row],[Account Deposit Amount] ]-Table44[ [#This Row],[Account Withdrawl Amount] ], )</f>
        <v>0</v>
      </c>
      <c r="U60" s="127">
        <f>IF(Table44[[#This Row],[CODE]]=17, Table44[ [#This Row],[Account Deposit Amount] ]-Table44[ [#This Row],[Account Withdrawl Amount] ], )</f>
        <v>0</v>
      </c>
    </row>
    <row r="61" spans="1:21" ht="16.2" thickBot="1">
      <c r="A61" s="130"/>
      <c r="B61" s="133"/>
      <c r="C61" s="130"/>
      <c r="D61" s="132"/>
      <c r="E61" s="128"/>
      <c r="F61" s="128"/>
      <c r="G61" s="131">
        <f t="shared" si="3"/>
        <v>15576.109999999997</v>
      </c>
      <c r="H61" s="130"/>
      <c r="I61" s="127">
        <f>IF(Table44[[#This Row],[CODE]]=1, Table44[ [#This Row],[Account Deposit Amount] ]-Table44[ [#This Row],[Account Withdrawl Amount] ], )</f>
        <v>0</v>
      </c>
      <c r="J61" s="129">
        <f>IF(Table44[[#This Row],[CODE]]=2, Table44[ [#This Row],[Account Deposit Amount] ]-Table44[ [#This Row],[Account Withdrawl Amount] ], )</f>
        <v>0</v>
      </c>
      <c r="K61" s="129">
        <f>IF(Table44[[#This Row],[CODE]]=3, Table44[ [#This Row],[Account Deposit Amount] ]-Table44[ [#This Row],[Account Withdrawl Amount] ], )</f>
        <v>0</v>
      </c>
      <c r="L61" s="128">
        <f>IF(Table44[[#This Row],[CODE]]=4, Table44[ [#This Row],[Account Deposit Amount] ]-Table44[ [#This Row],[Account Withdrawl Amount] ], )</f>
        <v>0</v>
      </c>
      <c r="M61" s="128">
        <f>IF(Table44[[#This Row],[CODE]]=5, Table44[ [#This Row],[Account Deposit Amount] ]-Table44[ [#This Row],[Account Withdrawl Amount] ], )</f>
        <v>0</v>
      </c>
      <c r="N61" s="128">
        <f>IF(Table44[[#This Row],[CODE]]=6, Table44[ [#This Row],[Account Deposit Amount] ]-Table44[ [#This Row],[Account Withdrawl Amount] ], )</f>
        <v>0</v>
      </c>
      <c r="O61" s="128">
        <f>IF(Table44[[#This Row],[CODE]]=11, Table44[ [#This Row],[Account Deposit Amount] ]-Table44[ [#This Row],[Account Withdrawl Amount] ], )</f>
        <v>0</v>
      </c>
      <c r="P61" s="128">
        <f>IF(Table44[[#This Row],[CODE]]=12, Table44[ [#This Row],[Account Deposit Amount] ]-Table44[ [#This Row],[Account Withdrawl Amount] ], )</f>
        <v>0</v>
      </c>
      <c r="Q61" s="128">
        <f>IF(Table44[[#This Row],[CODE]]=13, Table44[ [#This Row],[Account Deposit Amount] ]-Table44[ [#This Row],[Account Withdrawl Amount] ], )</f>
        <v>0</v>
      </c>
      <c r="R61" s="128">
        <f>IF(Table44[[#This Row],[CODE]]=14, Table44[ [#This Row],[Account Deposit Amount] ]-Table44[ [#This Row],[Account Withdrawl Amount] ], )</f>
        <v>0</v>
      </c>
      <c r="S61" s="128">
        <f>IF(Table44[[#This Row],[CODE]]=15, Table44[ [#This Row],[Account Deposit Amount] ]-Table44[ [#This Row],[Account Withdrawl Amount] ], )</f>
        <v>0</v>
      </c>
      <c r="T61" s="128">
        <f>IF(Table44[[#This Row],[CODE]]=16, Table44[ [#This Row],[Account Deposit Amount] ]-Table44[ [#This Row],[Account Withdrawl Amount] ], )</f>
        <v>0</v>
      </c>
      <c r="U61" s="127">
        <f>IF(Table44[[#This Row],[CODE]]=17, Table44[ [#This Row],[Account Deposit Amount] ]-Table44[ [#This Row],[Account Withdrawl Amount] ], )</f>
        <v>0</v>
      </c>
    </row>
    <row r="62" spans="1:21" ht="16.2" thickBot="1">
      <c r="A62" s="130"/>
      <c r="B62" s="133"/>
      <c r="C62" s="130"/>
      <c r="D62" s="132"/>
      <c r="E62" s="128"/>
      <c r="F62" s="128"/>
      <c r="G62" s="131">
        <f t="shared" si="3"/>
        <v>15576.109999999997</v>
      </c>
      <c r="H62" s="130"/>
      <c r="I62" s="127">
        <f>IF(Table44[[#This Row],[CODE]]=1, Table44[ [#This Row],[Account Deposit Amount] ]-Table44[ [#This Row],[Account Withdrawl Amount] ], )</f>
        <v>0</v>
      </c>
      <c r="J62" s="129">
        <f>IF(Table44[[#This Row],[CODE]]=2, Table44[ [#This Row],[Account Deposit Amount] ]-Table44[ [#This Row],[Account Withdrawl Amount] ], )</f>
        <v>0</v>
      </c>
      <c r="K62" s="129">
        <f>IF(Table44[[#This Row],[CODE]]=3, Table44[ [#This Row],[Account Deposit Amount] ]-Table44[ [#This Row],[Account Withdrawl Amount] ], )</f>
        <v>0</v>
      </c>
      <c r="L62" s="128">
        <f>IF(Table44[[#This Row],[CODE]]=4, Table44[ [#This Row],[Account Deposit Amount] ]-Table44[ [#This Row],[Account Withdrawl Amount] ], )</f>
        <v>0</v>
      </c>
      <c r="M62" s="128">
        <f>IF(Table44[[#This Row],[CODE]]=5, Table44[ [#This Row],[Account Deposit Amount] ]-Table44[ [#This Row],[Account Withdrawl Amount] ], )</f>
        <v>0</v>
      </c>
      <c r="N62" s="128">
        <f>IF(Table44[[#This Row],[CODE]]=6, Table44[ [#This Row],[Account Deposit Amount] ]-Table44[ [#This Row],[Account Withdrawl Amount] ], )</f>
        <v>0</v>
      </c>
      <c r="O62" s="128">
        <f>IF(Table44[[#This Row],[CODE]]=11, Table44[ [#This Row],[Account Deposit Amount] ]-Table44[ [#This Row],[Account Withdrawl Amount] ], )</f>
        <v>0</v>
      </c>
      <c r="P62" s="128">
        <f>IF(Table44[[#This Row],[CODE]]=12, Table44[ [#This Row],[Account Deposit Amount] ]-Table44[ [#This Row],[Account Withdrawl Amount] ], )</f>
        <v>0</v>
      </c>
      <c r="Q62" s="128">
        <f>IF(Table44[[#This Row],[CODE]]=13, Table44[ [#This Row],[Account Deposit Amount] ]-Table44[ [#This Row],[Account Withdrawl Amount] ], )</f>
        <v>0</v>
      </c>
      <c r="R62" s="128">
        <f>IF(Table44[[#This Row],[CODE]]=14, Table44[ [#This Row],[Account Deposit Amount] ]-Table44[ [#This Row],[Account Withdrawl Amount] ], )</f>
        <v>0</v>
      </c>
      <c r="S62" s="128">
        <f>IF(Table44[[#This Row],[CODE]]=15, Table44[ [#This Row],[Account Deposit Amount] ]-Table44[ [#This Row],[Account Withdrawl Amount] ], )</f>
        <v>0</v>
      </c>
      <c r="T62" s="128">
        <f>IF(Table44[[#This Row],[CODE]]=16, Table44[ [#This Row],[Account Deposit Amount] ]-Table44[ [#This Row],[Account Withdrawl Amount] ], )</f>
        <v>0</v>
      </c>
      <c r="U62" s="127">
        <f>IF(Table44[[#This Row],[CODE]]=17, Table44[ [#This Row],[Account Deposit Amount] ]-Table44[ [#This Row],[Account Withdrawl Amount] ], )</f>
        <v>0</v>
      </c>
    </row>
    <row r="63" spans="1:21" ht="16.2" thickBot="1">
      <c r="A63" s="130"/>
      <c r="B63" s="133"/>
      <c r="C63" s="130"/>
      <c r="D63" s="132"/>
      <c r="E63" s="128"/>
      <c r="F63" s="128"/>
      <c r="G63" s="131">
        <f t="shared" si="3"/>
        <v>15576.109999999997</v>
      </c>
      <c r="H63" s="130"/>
      <c r="I63" s="127">
        <f>IF(Table44[[#This Row],[CODE]]=1, Table44[ [#This Row],[Account Deposit Amount] ]-Table44[ [#This Row],[Account Withdrawl Amount] ], )</f>
        <v>0</v>
      </c>
      <c r="J63" s="129">
        <f>IF(Table44[[#This Row],[CODE]]=2, Table44[ [#This Row],[Account Deposit Amount] ]-Table44[ [#This Row],[Account Withdrawl Amount] ], )</f>
        <v>0</v>
      </c>
      <c r="K63" s="129">
        <f>IF(Table44[[#This Row],[CODE]]=3, Table44[ [#This Row],[Account Deposit Amount] ]-Table44[ [#This Row],[Account Withdrawl Amount] ], )</f>
        <v>0</v>
      </c>
      <c r="L63" s="128">
        <f>IF(Table44[[#This Row],[CODE]]=4, Table44[ [#This Row],[Account Deposit Amount] ]-Table44[ [#This Row],[Account Withdrawl Amount] ], )</f>
        <v>0</v>
      </c>
      <c r="M63" s="128">
        <f>IF(Table44[[#This Row],[CODE]]=5, Table44[ [#This Row],[Account Deposit Amount] ]-Table44[ [#This Row],[Account Withdrawl Amount] ], )</f>
        <v>0</v>
      </c>
      <c r="N63" s="128">
        <f>IF(Table44[[#This Row],[CODE]]=6, Table44[ [#This Row],[Account Deposit Amount] ]-Table44[ [#This Row],[Account Withdrawl Amount] ], )</f>
        <v>0</v>
      </c>
      <c r="O63" s="128">
        <f>IF(Table44[[#This Row],[CODE]]=11, Table44[ [#This Row],[Account Deposit Amount] ]-Table44[ [#This Row],[Account Withdrawl Amount] ], )</f>
        <v>0</v>
      </c>
      <c r="P63" s="128">
        <f>IF(Table44[[#This Row],[CODE]]=12, Table44[ [#This Row],[Account Deposit Amount] ]-Table44[ [#This Row],[Account Withdrawl Amount] ], )</f>
        <v>0</v>
      </c>
      <c r="Q63" s="128">
        <f>IF(Table44[[#This Row],[CODE]]=13, Table44[ [#This Row],[Account Deposit Amount] ]-Table44[ [#This Row],[Account Withdrawl Amount] ], )</f>
        <v>0</v>
      </c>
      <c r="R63" s="128">
        <f>IF(Table44[[#This Row],[CODE]]=14, Table44[ [#This Row],[Account Deposit Amount] ]-Table44[ [#This Row],[Account Withdrawl Amount] ], )</f>
        <v>0</v>
      </c>
      <c r="S63" s="128">
        <f>IF(Table44[[#This Row],[CODE]]=15, Table44[ [#This Row],[Account Deposit Amount] ]-Table44[ [#This Row],[Account Withdrawl Amount] ], )</f>
        <v>0</v>
      </c>
      <c r="T63" s="128">
        <f>IF(Table44[[#This Row],[CODE]]=16, Table44[ [#This Row],[Account Deposit Amount] ]-Table44[ [#This Row],[Account Withdrawl Amount] ], )</f>
        <v>0</v>
      </c>
      <c r="U63" s="127">
        <f>IF(Table44[[#This Row],[CODE]]=17, Table44[ [#This Row],[Account Deposit Amount] ]-Table44[ [#This Row],[Account Withdrawl Amount] ], )</f>
        <v>0</v>
      </c>
    </row>
    <row r="64" spans="1:21" ht="16.2" thickBot="1">
      <c r="A64" s="130"/>
      <c r="B64" s="133"/>
      <c r="C64" s="130"/>
      <c r="D64" s="132"/>
      <c r="E64" s="128"/>
      <c r="F64" s="128"/>
      <c r="G64" s="131">
        <f t="shared" si="3"/>
        <v>15576.109999999997</v>
      </c>
      <c r="H64" s="130"/>
      <c r="I64" s="127">
        <f>IF(Table44[[#This Row],[CODE]]=1, Table44[ [#This Row],[Account Deposit Amount] ]-Table44[ [#This Row],[Account Withdrawl Amount] ], )</f>
        <v>0</v>
      </c>
      <c r="J64" s="129">
        <f>IF(Table44[[#This Row],[CODE]]=2, Table44[ [#This Row],[Account Deposit Amount] ]-Table44[ [#This Row],[Account Withdrawl Amount] ], )</f>
        <v>0</v>
      </c>
      <c r="K64" s="129">
        <f>IF(Table44[[#This Row],[CODE]]=3, Table44[ [#This Row],[Account Deposit Amount] ]-Table44[ [#This Row],[Account Withdrawl Amount] ], )</f>
        <v>0</v>
      </c>
      <c r="L64" s="128">
        <f>IF(Table44[[#This Row],[CODE]]=4, Table44[ [#This Row],[Account Deposit Amount] ]-Table44[ [#This Row],[Account Withdrawl Amount] ], )</f>
        <v>0</v>
      </c>
      <c r="M64" s="128">
        <f>IF(Table44[[#This Row],[CODE]]=5, Table44[ [#This Row],[Account Deposit Amount] ]-Table44[ [#This Row],[Account Withdrawl Amount] ], )</f>
        <v>0</v>
      </c>
      <c r="N64" s="128">
        <f>IF(Table44[[#This Row],[CODE]]=6, Table44[ [#This Row],[Account Deposit Amount] ]-Table44[ [#This Row],[Account Withdrawl Amount] ], )</f>
        <v>0</v>
      </c>
      <c r="O64" s="128">
        <f>IF(Table44[[#This Row],[CODE]]=11, Table44[ [#This Row],[Account Deposit Amount] ]-Table44[ [#This Row],[Account Withdrawl Amount] ], )</f>
        <v>0</v>
      </c>
      <c r="P64" s="128">
        <f>IF(Table44[[#This Row],[CODE]]=12, Table44[ [#This Row],[Account Deposit Amount] ]-Table44[ [#This Row],[Account Withdrawl Amount] ], )</f>
        <v>0</v>
      </c>
      <c r="Q64" s="128">
        <f>IF(Table44[[#This Row],[CODE]]=13, Table44[ [#This Row],[Account Deposit Amount] ]-Table44[ [#This Row],[Account Withdrawl Amount] ], )</f>
        <v>0</v>
      </c>
      <c r="R64" s="128">
        <f>IF(Table44[[#This Row],[CODE]]=14, Table44[ [#This Row],[Account Deposit Amount] ]-Table44[ [#This Row],[Account Withdrawl Amount] ], )</f>
        <v>0</v>
      </c>
      <c r="S64" s="128">
        <f>IF(Table44[[#This Row],[CODE]]=15, Table44[ [#This Row],[Account Deposit Amount] ]-Table44[ [#This Row],[Account Withdrawl Amount] ], )</f>
        <v>0</v>
      </c>
      <c r="T64" s="128">
        <f>IF(Table44[[#This Row],[CODE]]=16, Table44[ [#This Row],[Account Deposit Amount] ]-Table44[ [#This Row],[Account Withdrawl Amount] ], )</f>
        <v>0</v>
      </c>
      <c r="U64" s="127">
        <f>IF(Table44[[#This Row],[CODE]]=17, Table44[ [#This Row],[Account Deposit Amount] ]-Table44[ [#This Row],[Account Withdrawl Amount] ], )</f>
        <v>0</v>
      </c>
    </row>
    <row r="65" spans="1:21" ht="16.2" thickBot="1">
      <c r="A65" s="130"/>
      <c r="B65" s="133"/>
      <c r="C65" s="130"/>
      <c r="D65" s="132"/>
      <c r="E65" s="128"/>
      <c r="F65" s="128"/>
      <c r="G65" s="131">
        <f t="shared" si="3"/>
        <v>15576.109999999997</v>
      </c>
      <c r="H65" s="130"/>
      <c r="I65" s="127">
        <f>IF(Table44[[#This Row],[CODE]]=1, Table44[ [#This Row],[Account Deposit Amount] ]-Table44[ [#This Row],[Account Withdrawl Amount] ], )</f>
        <v>0</v>
      </c>
      <c r="J65" s="129">
        <f>IF(Table44[[#This Row],[CODE]]=2, Table44[ [#This Row],[Account Deposit Amount] ]-Table44[ [#This Row],[Account Withdrawl Amount] ], )</f>
        <v>0</v>
      </c>
      <c r="K65" s="129">
        <f>IF(Table44[[#This Row],[CODE]]=3, Table44[ [#This Row],[Account Deposit Amount] ]-Table44[ [#This Row],[Account Withdrawl Amount] ], )</f>
        <v>0</v>
      </c>
      <c r="L65" s="128">
        <f>IF(Table44[[#This Row],[CODE]]=4, Table44[ [#This Row],[Account Deposit Amount] ]-Table44[ [#This Row],[Account Withdrawl Amount] ], )</f>
        <v>0</v>
      </c>
      <c r="M65" s="128">
        <f>IF(Table44[[#This Row],[CODE]]=5, Table44[ [#This Row],[Account Deposit Amount] ]-Table44[ [#This Row],[Account Withdrawl Amount] ], )</f>
        <v>0</v>
      </c>
      <c r="N65" s="128">
        <f>IF(Table44[[#This Row],[CODE]]=6, Table44[ [#This Row],[Account Deposit Amount] ]-Table44[ [#This Row],[Account Withdrawl Amount] ], )</f>
        <v>0</v>
      </c>
      <c r="O65" s="128">
        <f>IF(Table44[[#This Row],[CODE]]=11, Table44[ [#This Row],[Account Deposit Amount] ]-Table44[ [#This Row],[Account Withdrawl Amount] ], )</f>
        <v>0</v>
      </c>
      <c r="P65" s="128">
        <f>IF(Table44[[#This Row],[CODE]]=12, Table44[ [#This Row],[Account Deposit Amount] ]-Table44[ [#This Row],[Account Withdrawl Amount] ], )</f>
        <v>0</v>
      </c>
      <c r="Q65" s="128">
        <f>IF(Table44[[#This Row],[CODE]]=13, Table44[ [#This Row],[Account Deposit Amount] ]-Table44[ [#This Row],[Account Withdrawl Amount] ], )</f>
        <v>0</v>
      </c>
      <c r="R65" s="128">
        <f>IF(Table44[[#This Row],[CODE]]=14, Table44[ [#This Row],[Account Deposit Amount] ]-Table44[ [#This Row],[Account Withdrawl Amount] ], )</f>
        <v>0</v>
      </c>
      <c r="S65" s="128">
        <f>IF(Table44[[#This Row],[CODE]]=15, Table44[ [#This Row],[Account Deposit Amount] ]-Table44[ [#This Row],[Account Withdrawl Amount] ], )</f>
        <v>0</v>
      </c>
      <c r="T65" s="128">
        <f>IF(Table44[[#This Row],[CODE]]=16, Table44[ [#This Row],[Account Deposit Amount] ]-Table44[ [#This Row],[Account Withdrawl Amount] ], )</f>
        <v>0</v>
      </c>
      <c r="U65" s="127">
        <f>IF(Table44[[#This Row],[CODE]]=17, Table44[ [#This Row],[Account Deposit Amount] ]-Table44[ [#This Row],[Account Withdrawl Amount] ], )</f>
        <v>0</v>
      </c>
    </row>
    <row r="66" spans="1:21" ht="16.2" thickBot="1">
      <c r="A66" s="130"/>
      <c r="B66" s="133"/>
      <c r="C66" s="130"/>
      <c r="D66" s="132"/>
      <c r="E66" s="128"/>
      <c r="F66" s="128"/>
      <c r="G66" s="131">
        <f t="shared" si="3"/>
        <v>15576.109999999997</v>
      </c>
      <c r="H66" s="130"/>
      <c r="I66" s="127">
        <f>IF(Table44[[#This Row],[CODE]]=1, Table44[ [#This Row],[Account Deposit Amount] ]-Table44[ [#This Row],[Account Withdrawl Amount] ], )</f>
        <v>0</v>
      </c>
      <c r="J66" s="129">
        <f>IF(Table44[[#This Row],[CODE]]=2, Table44[ [#This Row],[Account Deposit Amount] ]-Table44[ [#This Row],[Account Withdrawl Amount] ], )</f>
        <v>0</v>
      </c>
      <c r="K66" s="129">
        <f>IF(Table44[[#This Row],[CODE]]=3, Table44[ [#This Row],[Account Deposit Amount] ]-Table44[ [#This Row],[Account Withdrawl Amount] ], )</f>
        <v>0</v>
      </c>
      <c r="L66" s="128">
        <f>IF(Table44[[#This Row],[CODE]]=4, Table44[ [#This Row],[Account Deposit Amount] ]-Table44[ [#This Row],[Account Withdrawl Amount] ], )</f>
        <v>0</v>
      </c>
      <c r="M66" s="128">
        <f>IF(Table44[[#This Row],[CODE]]=5, Table44[ [#This Row],[Account Deposit Amount] ]-Table44[ [#This Row],[Account Withdrawl Amount] ], )</f>
        <v>0</v>
      </c>
      <c r="N66" s="128">
        <f>IF(Table44[[#This Row],[CODE]]=6, Table44[ [#This Row],[Account Deposit Amount] ]-Table44[ [#This Row],[Account Withdrawl Amount] ], )</f>
        <v>0</v>
      </c>
      <c r="O66" s="128">
        <f>IF(Table44[[#This Row],[CODE]]=11, Table44[ [#This Row],[Account Deposit Amount] ]-Table44[ [#This Row],[Account Withdrawl Amount] ], )</f>
        <v>0</v>
      </c>
      <c r="P66" s="128">
        <f>IF(Table44[[#This Row],[CODE]]=12, Table44[ [#This Row],[Account Deposit Amount] ]-Table44[ [#This Row],[Account Withdrawl Amount] ], )</f>
        <v>0</v>
      </c>
      <c r="Q66" s="128">
        <f>IF(Table44[[#This Row],[CODE]]=13, Table44[ [#This Row],[Account Deposit Amount] ]-Table44[ [#This Row],[Account Withdrawl Amount] ], )</f>
        <v>0</v>
      </c>
      <c r="R66" s="128">
        <f>IF(Table44[[#This Row],[CODE]]=14, Table44[ [#This Row],[Account Deposit Amount] ]-Table44[ [#This Row],[Account Withdrawl Amount] ], )</f>
        <v>0</v>
      </c>
      <c r="S66" s="128">
        <f>IF(Table44[[#This Row],[CODE]]=15, Table44[ [#This Row],[Account Deposit Amount] ]-Table44[ [#This Row],[Account Withdrawl Amount] ], )</f>
        <v>0</v>
      </c>
      <c r="T66" s="128">
        <f>IF(Table44[[#This Row],[CODE]]=16, Table44[ [#This Row],[Account Deposit Amount] ]-Table44[ [#This Row],[Account Withdrawl Amount] ], )</f>
        <v>0</v>
      </c>
      <c r="U66" s="127">
        <f>IF(Table44[[#This Row],[CODE]]=17, Table44[ [#This Row],[Account Deposit Amount] ]-Table44[ [#This Row],[Account Withdrawl Amount] ], )</f>
        <v>0</v>
      </c>
    </row>
    <row r="67" spans="1:21" ht="16.2" thickBot="1">
      <c r="A67" s="130"/>
      <c r="B67" s="133"/>
      <c r="C67" s="130"/>
      <c r="D67" s="132"/>
      <c r="E67" s="128"/>
      <c r="F67" s="128"/>
      <c r="G67" s="131">
        <f t="shared" si="3"/>
        <v>15576.109999999997</v>
      </c>
      <c r="H67" s="130"/>
      <c r="I67" s="127">
        <f>IF(Table44[[#This Row],[CODE]]=1, Table44[ [#This Row],[Account Deposit Amount] ]-Table44[ [#This Row],[Account Withdrawl Amount] ], )</f>
        <v>0</v>
      </c>
      <c r="J67" s="129">
        <f>IF(Table44[[#This Row],[CODE]]=2, Table44[ [#This Row],[Account Deposit Amount] ]-Table44[ [#This Row],[Account Withdrawl Amount] ], )</f>
        <v>0</v>
      </c>
      <c r="K67" s="129">
        <f>IF(Table44[[#This Row],[CODE]]=3, Table44[ [#This Row],[Account Deposit Amount] ]-Table44[ [#This Row],[Account Withdrawl Amount] ], )</f>
        <v>0</v>
      </c>
      <c r="L67" s="128">
        <f>IF(Table44[[#This Row],[CODE]]=4, Table44[ [#This Row],[Account Deposit Amount] ]-Table44[ [#This Row],[Account Withdrawl Amount] ], )</f>
        <v>0</v>
      </c>
      <c r="M67" s="128">
        <f>IF(Table44[[#This Row],[CODE]]=5, Table44[ [#This Row],[Account Deposit Amount] ]-Table44[ [#This Row],[Account Withdrawl Amount] ], )</f>
        <v>0</v>
      </c>
      <c r="N67" s="128">
        <f>IF(Table44[[#This Row],[CODE]]=6, Table44[ [#This Row],[Account Deposit Amount] ]-Table44[ [#This Row],[Account Withdrawl Amount] ], )</f>
        <v>0</v>
      </c>
      <c r="O67" s="128">
        <f>IF(Table44[[#This Row],[CODE]]=11, Table44[ [#This Row],[Account Deposit Amount] ]-Table44[ [#This Row],[Account Withdrawl Amount] ], )</f>
        <v>0</v>
      </c>
      <c r="P67" s="128">
        <f>IF(Table44[[#This Row],[CODE]]=12, Table44[ [#This Row],[Account Deposit Amount] ]-Table44[ [#This Row],[Account Withdrawl Amount] ], )</f>
        <v>0</v>
      </c>
      <c r="Q67" s="128">
        <f>IF(Table44[[#This Row],[CODE]]=13, Table44[ [#This Row],[Account Deposit Amount] ]-Table44[ [#This Row],[Account Withdrawl Amount] ], )</f>
        <v>0</v>
      </c>
      <c r="R67" s="128">
        <f>IF(Table44[[#This Row],[CODE]]=14, Table44[ [#This Row],[Account Deposit Amount] ]-Table44[ [#This Row],[Account Withdrawl Amount] ], )</f>
        <v>0</v>
      </c>
      <c r="S67" s="128">
        <f>IF(Table44[[#This Row],[CODE]]=15, Table44[ [#This Row],[Account Deposit Amount] ]-Table44[ [#This Row],[Account Withdrawl Amount] ], )</f>
        <v>0</v>
      </c>
      <c r="T67" s="128">
        <f>IF(Table44[[#This Row],[CODE]]=16, Table44[ [#This Row],[Account Deposit Amount] ]-Table44[ [#This Row],[Account Withdrawl Amount] ], )</f>
        <v>0</v>
      </c>
      <c r="U67" s="127">
        <f>IF(Table44[[#This Row],[CODE]]=17, Table44[ [#This Row],[Account Deposit Amount] ]-Table44[ [#This Row],[Account Withdrawl Amount] ], )</f>
        <v>0</v>
      </c>
    </row>
    <row r="68" spans="1:21" ht="16.2" thickBot="1">
      <c r="A68" s="130"/>
      <c r="B68" s="133"/>
      <c r="C68" s="130"/>
      <c r="D68" s="132"/>
      <c r="E68" s="128"/>
      <c r="F68" s="128"/>
      <c r="G68" s="131">
        <f t="shared" si="3"/>
        <v>15576.109999999997</v>
      </c>
      <c r="H68" s="130"/>
      <c r="I68" s="127">
        <f>IF(Table44[[#This Row],[CODE]]=1, Table44[ [#This Row],[Account Deposit Amount] ]-Table44[ [#This Row],[Account Withdrawl Amount] ], )</f>
        <v>0</v>
      </c>
      <c r="J68" s="129">
        <f>IF(Table44[[#This Row],[CODE]]=2, Table44[ [#This Row],[Account Deposit Amount] ]-Table44[ [#This Row],[Account Withdrawl Amount] ], )</f>
        <v>0</v>
      </c>
      <c r="K68" s="129">
        <f>IF(Table44[[#This Row],[CODE]]=3, Table44[ [#This Row],[Account Deposit Amount] ]-Table44[ [#This Row],[Account Withdrawl Amount] ], )</f>
        <v>0</v>
      </c>
      <c r="L68" s="128">
        <f>IF(Table44[[#This Row],[CODE]]=4, Table44[ [#This Row],[Account Deposit Amount] ]-Table44[ [#This Row],[Account Withdrawl Amount] ], )</f>
        <v>0</v>
      </c>
      <c r="M68" s="128">
        <f>IF(Table44[[#This Row],[CODE]]=5, Table44[ [#This Row],[Account Deposit Amount] ]-Table44[ [#This Row],[Account Withdrawl Amount] ], )</f>
        <v>0</v>
      </c>
      <c r="N68" s="128">
        <f>IF(Table44[[#This Row],[CODE]]=6, Table44[ [#This Row],[Account Deposit Amount] ]-Table44[ [#This Row],[Account Withdrawl Amount] ], )</f>
        <v>0</v>
      </c>
      <c r="O68" s="128">
        <f>IF(Table44[[#This Row],[CODE]]=11, Table44[ [#This Row],[Account Deposit Amount] ]-Table44[ [#This Row],[Account Withdrawl Amount] ], )</f>
        <v>0</v>
      </c>
      <c r="P68" s="128">
        <f>IF(Table44[[#This Row],[CODE]]=12, Table44[ [#This Row],[Account Deposit Amount] ]-Table44[ [#This Row],[Account Withdrawl Amount] ], )</f>
        <v>0</v>
      </c>
      <c r="Q68" s="128">
        <f>IF(Table44[[#This Row],[CODE]]=13, Table44[ [#This Row],[Account Deposit Amount] ]-Table44[ [#This Row],[Account Withdrawl Amount] ], )</f>
        <v>0</v>
      </c>
      <c r="R68" s="128">
        <f>IF(Table44[[#This Row],[CODE]]=14, Table44[ [#This Row],[Account Deposit Amount] ]-Table44[ [#This Row],[Account Withdrawl Amount] ], )</f>
        <v>0</v>
      </c>
      <c r="S68" s="128">
        <f>IF(Table44[[#This Row],[CODE]]=15, Table44[ [#This Row],[Account Deposit Amount] ]-Table44[ [#This Row],[Account Withdrawl Amount] ], )</f>
        <v>0</v>
      </c>
      <c r="T68" s="128">
        <f>IF(Table44[[#This Row],[CODE]]=16, Table44[ [#This Row],[Account Deposit Amount] ]-Table44[ [#This Row],[Account Withdrawl Amount] ], )</f>
        <v>0</v>
      </c>
      <c r="U68" s="127">
        <f>IF(Table44[[#This Row],[CODE]]=17, Table44[ [#This Row],[Account Deposit Amount] ]-Table44[ [#This Row],[Account Withdrawl Amount] ], )</f>
        <v>0</v>
      </c>
    </row>
    <row r="69" spans="1:21" ht="16.2" thickBot="1">
      <c r="A69" s="130"/>
      <c r="B69" s="133"/>
      <c r="C69" s="130"/>
      <c r="D69" s="132"/>
      <c r="E69" s="128"/>
      <c r="F69" s="128"/>
      <c r="G69" s="131">
        <f t="shared" ref="G69:G100" si="4">G68+E69-F69</f>
        <v>15576.109999999997</v>
      </c>
      <c r="H69" s="130"/>
      <c r="I69" s="127">
        <f>IF(Table44[[#This Row],[CODE]]=1, Table44[ [#This Row],[Account Deposit Amount] ]-Table44[ [#This Row],[Account Withdrawl Amount] ], )</f>
        <v>0</v>
      </c>
      <c r="J69" s="129">
        <f>IF(Table44[[#This Row],[CODE]]=2, Table44[ [#This Row],[Account Deposit Amount] ]-Table44[ [#This Row],[Account Withdrawl Amount] ], )</f>
        <v>0</v>
      </c>
      <c r="K69" s="129">
        <f>IF(Table44[[#This Row],[CODE]]=3, Table44[ [#This Row],[Account Deposit Amount] ]-Table44[ [#This Row],[Account Withdrawl Amount] ], )</f>
        <v>0</v>
      </c>
      <c r="L69" s="128">
        <f>IF(Table44[[#This Row],[CODE]]=4, Table44[ [#This Row],[Account Deposit Amount] ]-Table44[ [#This Row],[Account Withdrawl Amount] ], )</f>
        <v>0</v>
      </c>
      <c r="M69" s="128">
        <f>IF(Table44[[#This Row],[CODE]]=5, Table44[ [#This Row],[Account Deposit Amount] ]-Table44[ [#This Row],[Account Withdrawl Amount] ], )</f>
        <v>0</v>
      </c>
      <c r="N69" s="128">
        <f>IF(Table44[[#This Row],[CODE]]=6, Table44[ [#This Row],[Account Deposit Amount] ]-Table44[ [#This Row],[Account Withdrawl Amount] ], )</f>
        <v>0</v>
      </c>
      <c r="O69" s="128">
        <f>IF(Table44[[#This Row],[CODE]]=11, Table44[ [#This Row],[Account Deposit Amount] ]-Table44[ [#This Row],[Account Withdrawl Amount] ], )</f>
        <v>0</v>
      </c>
      <c r="P69" s="128">
        <f>IF(Table44[[#This Row],[CODE]]=12, Table44[ [#This Row],[Account Deposit Amount] ]-Table44[ [#This Row],[Account Withdrawl Amount] ], )</f>
        <v>0</v>
      </c>
      <c r="Q69" s="128">
        <f>IF(Table44[[#This Row],[CODE]]=13, Table44[ [#This Row],[Account Deposit Amount] ]-Table44[ [#This Row],[Account Withdrawl Amount] ], )</f>
        <v>0</v>
      </c>
      <c r="R69" s="128">
        <f>IF(Table44[[#This Row],[CODE]]=14, Table44[ [#This Row],[Account Deposit Amount] ]-Table44[ [#This Row],[Account Withdrawl Amount] ], )</f>
        <v>0</v>
      </c>
      <c r="S69" s="128">
        <f>IF(Table44[[#This Row],[CODE]]=15, Table44[ [#This Row],[Account Deposit Amount] ]-Table44[ [#This Row],[Account Withdrawl Amount] ], )</f>
        <v>0</v>
      </c>
      <c r="T69" s="128">
        <f>IF(Table44[[#This Row],[CODE]]=16, Table44[ [#This Row],[Account Deposit Amount] ]-Table44[ [#This Row],[Account Withdrawl Amount] ], )</f>
        <v>0</v>
      </c>
      <c r="U69" s="127">
        <f>IF(Table44[[#This Row],[CODE]]=17, Table44[ [#This Row],[Account Deposit Amount] ]-Table44[ [#This Row],[Account Withdrawl Amount] ], )</f>
        <v>0</v>
      </c>
    </row>
    <row r="70" spans="1:21" ht="16.2" thickBot="1">
      <c r="A70" s="130"/>
      <c r="B70" s="133"/>
      <c r="C70" s="130"/>
      <c r="D70" s="132"/>
      <c r="E70" s="128"/>
      <c r="F70" s="128"/>
      <c r="G70" s="131">
        <f t="shared" si="4"/>
        <v>15576.109999999997</v>
      </c>
      <c r="H70" s="130"/>
      <c r="I70" s="127">
        <f>IF(Table44[[#This Row],[CODE]]=1, Table44[ [#This Row],[Account Deposit Amount] ]-Table44[ [#This Row],[Account Withdrawl Amount] ], )</f>
        <v>0</v>
      </c>
      <c r="J70" s="129">
        <f>IF(Table44[[#This Row],[CODE]]=2, Table44[ [#This Row],[Account Deposit Amount] ]-Table44[ [#This Row],[Account Withdrawl Amount] ], )</f>
        <v>0</v>
      </c>
      <c r="K70" s="129">
        <f>IF(Table44[[#This Row],[CODE]]=3, Table44[ [#This Row],[Account Deposit Amount] ]-Table44[ [#This Row],[Account Withdrawl Amount] ], )</f>
        <v>0</v>
      </c>
      <c r="L70" s="128">
        <f>IF(Table44[[#This Row],[CODE]]=4, Table44[ [#This Row],[Account Deposit Amount] ]-Table44[ [#This Row],[Account Withdrawl Amount] ], )</f>
        <v>0</v>
      </c>
      <c r="M70" s="128">
        <f>IF(Table44[[#This Row],[CODE]]=5, Table44[ [#This Row],[Account Deposit Amount] ]-Table44[ [#This Row],[Account Withdrawl Amount] ], )</f>
        <v>0</v>
      </c>
      <c r="N70" s="128">
        <f>IF(Table44[[#This Row],[CODE]]=6, Table44[ [#This Row],[Account Deposit Amount] ]-Table44[ [#This Row],[Account Withdrawl Amount] ], )</f>
        <v>0</v>
      </c>
      <c r="O70" s="128">
        <f>IF(Table44[[#This Row],[CODE]]=11, Table44[ [#This Row],[Account Deposit Amount] ]-Table44[ [#This Row],[Account Withdrawl Amount] ], )</f>
        <v>0</v>
      </c>
      <c r="P70" s="128">
        <f>IF(Table44[[#This Row],[CODE]]=12, Table44[ [#This Row],[Account Deposit Amount] ]-Table44[ [#This Row],[Account Withdrawl Amount] ], )</f>
        <v>0</v>
      </c>
      <c r="Q70" s="128">
        <f>IF(Table44[[#This Row],[CODE]]=13, Table44[ [#This Row],[Account Deposit Amount] ]-Table44[ [#This Row],[Account Withdrawl Amount] ], )</f>
        <v>0</v>
      </c>
      <c r="R70" s="128">
        <f>IF(Table44[[#This Row],[CODE]]=14, Table44[ [#This Row],[Account Deposit Amount] ]-Table44[ [#This Row],[Account Withdrawl Amount] ], )</f>
        <v>0</v>
      </c>
      <c r="S70" s="128">
        <f>IF(Table44[[#This Row],[CODE]]=15, Table44[ [#This Row],[Account Deposit Amount] ]-Table44[ [#This Row],[Account Withdrawl Amount] ], )</f>
        <v>0</v>
      </c>
      <c r="T70" s="128">
        <f>IF(Table44[[#This Row],[CODE]]=16, Table44[ [#This Row],[Account Deposit Amount] ]-Table44[ [#This Row],[Account Withdrawl Amount] ], )</f>
        <v>0</v>
      </c>
      <c r="U70" s="127">
        <f>IF(Table44[[#This Row],[CODE]]=17, Table44[ [#This Row],[Account Deposit Amount] ]-Table44[ [#This Row],[Account Withdrawl Amount] ], )</f>
        <v>0</v>
      </c>
    </row>
    <row r="71" spans="1:21" ht="16.2" thickBot="1">
      <c r="A71" s="130"/>
      <c r="B71" s="133"/>
      <c r="C71" s="130"/>
      <c r="D71" s="132"/>
      <c r="E71" s="128"/>
      <c r="F71" s="128"/>
      <c r="G71" s="131">
        <f t="shared" si="4"/>
        <v>15576.109999999997</v>
      </c>
      <c r="H71" s="130"/>
      <c r="I71" s="127">
        <f>IF(Table44[[#This Row],[CODE]]=1, Table44[ [#This Row],[Account Deposit Amount] ]-Table44[ [#This Row],[Account Withdrawl Amount] ], )</f>
        <v>0</v>
      </c>
      <c r="J71" s="129">
        <f>IF(Table44[[#This Row],[CODE]]=2, Table44[ [#This Row],[Account Deposit Amount] ]-Table44[ [#This Row],[Account Withdrawl Amount] ], )</f>
        <v>0</v>
      </c>
      <c r="K71" s="129">
        <f>IF(Table44[[#This Row],[CODE]]=3, Table44[ [#This Row],[Account Deposit Amount] ]-Table44[ [#This Row],[Account Withdrawl Amount] ], )</f>
        <v>0</v>
      </c>
      <c r="L71" s="128">
        <f>IF(Table44[[#This Row],[CODE]]=4, Table44[ [#This Row],[Account Deposit Amount] ]-Table44[ [#This Row],[Account Withdrawl Amount] ], )</f>
        <v>0</v>
      </c>
      <c r="M71" s="128">
        <f>IF(Table44[[#This Row],[CODE]]=5, Table44[ [#This Row],[Account Deposit Amount] ]-Table44[ [#This Row],[Account Withdrawl Amount] ], )</f>
        <v>0</v>
      </c>
      <c r="N71" s="128">
        <f>IF(Table44[[#This Row],[CODE]]=6, Table44[ [#This Row],[Account Deposit Amount] ]-Table44[ [#This Row],[Account Withdrawl Amount] ], )</f>
        <v>0</v>
      </c>
      <c r="O71" s="128">
        <f>IF(Table44[[#This Row],[CODE]]=11, Table44[ [#This Row],[Account Deposit Amount] ]-Table44[ [#This Row],[Account Withdrawl Amount] ], )</f>
        <v>0</v>
      </c>
      <c r="P71" s="128">
        <f>IF(Table44[[#This Row],[CODE]]=12, Table44[ [#This Row],[Account Deposit Amount] ]-Table44[ [#This Row],[Account Withdrawl Amount] ], )</f>
        <v>0</v>
      </c>
      <c r="Q71" s="128">
        <f>IF(Table44[[#This Row],[CODE]]=13, Table44[ [#This Row],[Account Deposit Amount] ]-Table44[ [#This Row],[Account Withdrawl Amount] ], )</f>
        <v>0</v>
      </c>
      <c r="R71" s="128">
        <f>IF(Table44[[#This Row],[CODE]]=14, Table44[ [#This Row],[Account Deposit Amount] ]-Table44[ [#This Row],[Account Withdrawl Amount] ], )</f>
        <v>0</v>
      </c>
      <c r="S71" s="128">
        <f>IF(Table44[[#This Row],[CODE]]=15, Table44[ [#This Row],[Account Deposit Amount] ]-Table44[ [#This Row],[Account Withdrawl Amount] ], )</f>
        <v>0</v>
      </c>
      <c r="T71" s="128">
        <f>IF(Table44[[#This Row],[CODE]]=16, Table44[ [#This Row],[Account Deposit Amount] ]-Table44[ [#This Row],[Account Withdrawl Amount] ], )</f>
        <v>0</v>
      </c>
      <c r="U71" s="127">
        <f>IF(Table44[[#This Row],[CODE]]=17, Table44[ [#This Row],[Account Deposit Amount] ]-Table44[ [#This Row],[Account Withdrawl Amount] ], )</f>
        <v>0</v>
      </c>
    </row>
    <row r="72" spans="1:21" ht="16.2" thickBot="1">
      <c r="A72" s="130"/>
      <c r="B72" s="133"/>
      <c r="C72" s="130"/>
      <c r="D72" s="132"/>
      <c r="E72" s="128"/>
      <c r="F72" s="128"/>
      <c r="G72" s="131">
        <f t="shared" si="4"/>
        <v>15576.109999999997</v>
      </c>
      <c r="H72" s="130"/>
      <c r="I72" s="127">
        <f>IF(Table44[[#This Row],[CODE]]=1, Table44[ [#This Row],[Account Deposit Amount] ]-Table44[ [#This Row],[Account Withdrawl Amount] ], )</f>
        <v>0</v>
      </c>
      <c r="J72" s="129">
        <f>IF(Table44[[#This Row],[CODE]]=2, Table44[ [#This Row],[Account Deposit Amount] ]-Table44[ [#This Row],[Account Withdrawl Amount] ], )</f>
        <v>0</v>
      </c>
      <c r="K72" s="129">
        <f>IF(Table44[[#This Row],[CODE]]=3, Table44[ [#This Row],[Account Deposit Amount] ]-Table44[ [#This Row],[Account Withdrawl Amount] ], )</f>
        <v>0</v>
      </c>
      <c r="L72" s="128">
        <f>IF(Table44[[#This Row],[CODE]]=4, Table44[ [#This Row],[Account Deposit Amount] ]-Table44[ [#This Row],[Account Withdrawl Amount] ], )</f>
        <v>0</v>
      </c>
      <c r="M72" s="128">
        <f>IF(Table44[[#This Row],[CODE]]=5, Table44[ [#This Row],[Account Deposit Amount] ]-Table44[ [#This Row],[Account Withdrawl Amount] ], )</f>
        <v>0</v>
      </c>
      <c r="N72" s="128">
        <f>IF(Table44[[#This Row],[CODE]]=6, Table44[ [#This Row],[Account Deposit Amount] ]-Table44[ [#This Row],[Account Withdrawl Amount] ], )</f>
        <v>0</v>
      </c>
      <c r="O72" s="128">
        <f>IF(Table44[[#This Row],[CODE]]=11, Table44[ [#This Row],[Account Deposit Amount] ]-Table44[ [#This Row],[Account Withdrawl Amount] ], )</f>
        <v>0</v>
      </c>
      <c r="P72" s="128">
        <f>IF(Table44[[#This Row],[CODE]]=12, Table44[ [#This Row],[Account Deposit Amount] ]-Table44[ [#This Row],[Account Withdrawl Amount] ], )</f>
        <v>0</v>
      </c>
      <c r="Q72" s="128">
        <f>IF(Table44[[#This Row],[CODE]]=13, Table44[ [#This Row],[Account Deposit Amount] ]-Table44[ [#This Row],[Account Withdrawl Amount] ], )</f>
        <v>0</v>
      </c>
      <c r="R72" s="128">
        <f>IF(Table44[[#This Row],[CODE]]=14, Table44[ [#This Row],[Account Deposit Amount] ]-Table44[ [#This Row],[Account Withdrawl Amount] ], )</f>
        <v>0</v>
      </c>
      <c r="S72" s="128">
        <f>IF(Table44[[#This Row],[CODE]]=15, Table44[ [#This Row],[Account Deposit Amount] ]-Table44[ [#This Row],[Account Withdrawl Amount] ], )</f>
        <v>0</v>
      </c>
      <c r="T72" s="128">
        <f>IF(Table44[[#This Row],[CODE]]=16, Table44[ [#This Row],[Account Deposit Amount] ]-Table44[ [#This Row],[Account Withdrawl Amount] ], )</f>
        <v>0</v>
      </c>
      <c r="U72" s="127">
        <f>IF(Table44[[#This Row],[CODE]]=17, Table44[ [#This Row],[Account Deposit Amount] ]-Table44[ [#This Row],[Account Withdrawl Amount] ], )</f>
        <v>0</v>
      </c>
    </row>
    <row r="73" spans="1:21" ht="16.2" thickBot="1">
      <c r="A73" s="130"/>
      <c r="B73" s="133"/>
      <c r="C73" s="130"/>
      <c r="D73" s="132"/>
      <c r="E73" s="128"/>
      <c r="F73" s="128"/>
      <c r="G73" s="131">
        <f t="shared" si="4"/>
        <v>15576.109999999997</v>
      </c>
      <c r="H73" s="130"/>
      <c r="I73" s="127">
        <f>IF(Table44[[#This Row],[CODE]]=1, Table44[ [#This Row],[Account Deposit Amount] ]-Table44[ [#This Row],[Account Withdrawl Amount] ], )</f>
        <v>0</v>
      </c>
      <c r="J73" s="129">
        <f>IF(Table44[[#This Row],[CODE]]=2, Table44[ [#This Row],[Account Deposit Amount] ]-Table44[ [#This Row],[Account Withdrawl Amount] ], )</f>
        <v>0</v>
      </c>
      <c r="K73" s="129">
        <f>IF(Table44[[#This Row],[CODE]]=3, Table44[ [#This Row],[Account Deposit Amount] ]-Table44[ [#This Row],[Account Withdrawl Amount] ], )</f>
        <v>0</v>
      </c>
      <c r="L73" s="128">
        <f>IF(Table44[[#This Row],[CODE]]=4, Table44[ [#This Row],[Account Deposit Amount] ]-Table44[ [#This Row],[Account Withdrawl Amount] ], )</f>
        <v>0</v>
      </c>
      <c r="M73" s="128">
        <f>IF(Table44[[#This Row],[CODE]]=5, Table44[ [#This Row],[Account Deposit Amount] ]-Table44[ [#This Row],[Account Withdrawl Amount] ], )</f>
        <v>0</v>
      </c>
      <c r="N73" s="128">
        <f>IF(Table44[[#This Row],[CODE]]=6, Table44[ [#This Row],[Account Deposit Amount] ]-Table44[ [#This Row],[Account Withdrawl Amount] ], )</f>
        <v>0</v>
      </c>
      <c r="O73" s="128">
        <f>IF(Table44[[#This Row],[CODE]]=11, Table44[ [#This Row],[Account Deposit Amount] ]-Table44[ [#This Row],[Account Withdrawl Amount] ], )</f>
        <v>0</v>
      </c>
      <c r="P73" s="128">
        <f>IF(Table44[[#This Row],[CODE]]=12, Table44[ [#This Row],[Account Deposit Amount] ]-Table44[ [#This Row],[Account Withdrawl Amount] ], )</f>
        <v>0</v>
      </c>
      <c r="Q73" s="128">
        <f>IF(Table44[[#This Row],[CODE]]=13, Table44[ [#This Row],[Account Deposit Amount] ]-Table44[ [#This Row],[Account Withdrawl Amount] ], )</f>
        <v>0</v>
      </c>
      <c r="R73" s="128">
        <f>IF(Table44[[#This Row],[CODE]]=14, Table44[ [#This Row],[Account Deposit Amount] ]-Table44[ [#This Row],[Account Withdrawl Amount] ], )</f>
        <v>0</v>
      </c>
      <c r="S73" s="128">
        <f>IF(Table44[[#This Row],[CODE]]=15, Table44[ [#This Row],[Account Deposit Amount] ]-Table44[ [#This Row],[Account Withdrawl Amount] ], )</f>
        <v>0</v>
      </c>
      <c r="T73" s="128">
        <f>IF(Table44[[#This Row],[CODE]]=16, Table44[ [#This Row],[Account Deposit Amount] ]-Table44[ [#This Row],[Account Withdrawl Amount] ], )</f>
        <v>0</v>
      </c>
      <c r="U73" s="127">
        <f>IF(Table44[[#This Row],[CODE]]=17, Table44[ [#This Row],[Account Deposit Amount] ]-Table44[ [#This Row],[Account Withdrawl Amount] ], )</f>
        <v>0</v>
      </c>
    </row>
    <row r="74" spans="1:21" ht="16.2" thickBot="1">
      <c r="A74" s="130"/>
      <c r="B74" s="133"/>
      <c r="C74" s="130"/>
      <c r="D74" s="132"/>
      <c r="E74" s="128"/>
      <c r="F74" s="128"/>
      <c r="G74" s="131">
        <f t="shared" si="4"/>
        <v>15576.109999999997</v>
      </c>
      <c r="H74" s="130"/>
      <c r="I74" s="127">
        <f>IF(Table44[[#This Row],[CODE]]=1, Table44[ [#This Row],[Account Deposit Amount] ]-Table44[ [#This Row],[Account Withdrawl Amount] ], )</f>
        <v>0</v>
      </c>
      <c r="J74" s="129">
        <f>IF(Table44[[#This Row],[CODE]]=2, Table44[ [#This Row],[Account Deposit Amount] ]-Table44[ [#This Row],[Account Withdrawl Amount] ], )</f>
        <v>0</v>
      </c>
      <c r="K74" s="129">
        <f>IF(Table44[[#This Row],[CODE]]=3, Table44[ [#This Row],[Account Deposit Amount] ]-Table44[ [#This Row],[Account Withdrawl Amount] ], )</f>
        <v>0</v>
      </c>
      <c r="L74" s="128">
        <f>IF(Table44[[#This Row],[CODE]]=4, Table44[ [#This Row],[Account Deposit Amount] ]-Table44[ [#This Row],[Account Withdrawl Amount] ], )</f>
        <v>0</v>
      </c>
      <c r="M74" s="128">
        <f>IF(Table44[[#This Row],[CODE]]=5, Table44[ [#This Row],[Account Deposit Amount] ]-Table44[ [#This Row],[Account Withdrawl Amount] ], )</f>
        <v>0</v>
      </c>
      <c r="N74" s="128">
        <f>IF(Table44[[#This Row],[CODE]]=6, Table44[ [#This Row],[Account Deposit Amount] ]-Table44[ [#This Row],[Account Withdrawl Amount] ], )</f>
        <v>0</v>
      </c>
      <c r="O74" s="128">
        <f>IF(Table44[[#This Row],[CODE]]=11, Table44[ [#This Row],[Account Deposit Amount] ]-Table44[ [#This Row],[Account Withdrawl Amount] ], )</f>
        <v>0</v>
      </c>
      <c r="P74" s="128">
        <f>IF(Table44[[#This Row],[CODE]]=12, Table44[ [#This Row],[Account Deposit Amount] ]-Table44[ [#This Row],[Account Withdrawl Amount] ], )</f>
        <v>0</v>
      </c>
      <c r="Q74" s="128">
        <f>IF(Table44[[#This Row],[CODE]]=13, Table44[ [#This Row],[Account Deposit Amount] ]-Table44[ [#This Row],[Account Withdrawl Amount] ], )</f>
        <v>0</v>
      </c>
      <c r="R74" s="128">
        <f>IF(Table44[[#This Row],[CODE]]=14, Table44[ [#This Row],[Account Deposit Amount] ]-Table44[ [#This Row],[Account Withdrawl Amount] ], )</f>
        <v>0</v>
      </c>
      <c r="S74" s="128">
        <f>IF(Table44[[#This Row],[CODE]]=15, Table44[ [#This Row],[Account Deposit Amount] ]-Table44[ [#This Row],[Account Withdrawl Amount] ], )</f>
        <v>0</v>
      </c>
      <c r="T74" s="128">
        <f>IF(Table44[[#This Row],[CODE]]=16, Table44[ [#This Row],[Account Deposit Amount] ]-Table44[ [#This Row],[Account Withdrawl Amount] ], )</f>
        <v>0</v>
      </c>
      <c r="U74" s="127">
        <f>IF(Table44[[#This Row],[CODE]]=17, Table44[ [#This Row],[Account Deposit Amount] ]-Table44[ [#This Row],[Account Withdrawl Amount] ], )</f>
        <v>0</v>
      </c>
    </row>
    <row r="75" spans="1:21" ht="16.2" thickBot="1">
      <c r="A75" s="130"/>
      <c r="B75" s="133"/>
      <c r="C75" s="130"/>
      <c r="D75" s="132"/>
      <c r="E75" s="128"/>
      <c r="F75" s="128"/>
      <c r="G75" s="131">
        <f t="shared" si="4"/>
        <v>15576.109999999997</v>
      </c>
      <c r="H75" s="130"/>
      <c r="I75" s="127">
        <f>IF(Table44[[#This Row],[CODE]]=1, Table44[ [#This Row],[Account Deposit Amount] ]-Table44[ [#This Row],[Account Withdrawl Amount] ], )</f>
        <v>0</v>
      </c>
      <c r="J75" s="129">
        <f>IF(Table44[[#This Row],[CODE]]=2, Table44[ [#This Row],[Account Deposit Amount] ]-Table44[ [#This Row],[Account Withdrawl Amount] ], )</f>
        <v>0</v>
      </c>
      <c r="K75" s="129">
        <f>IF(Table44[[#This Row],[CODE]]=3, Table44[ [#This Row],[Account Deposit Amount] ]-Table44[ [#This Row],[Account Withdrawl Amount] ], )</f>
        <v>0</v>
      </c>
      <c r="L75" s="128">
        <f>IF(Table44[[#This Row],[CODE]]=4, Table44[ [#This Row],[Account Deposit Amount] ]-Table44[ [#This Row],[Account Withdrawl Amount] ], )</f>
        <v>0</v>
      </c>
      <c r="M75" s="128">
        <f>IF(Table44[[#This Row],[CODE]]=5, Table44[ [#This Row],[Account Deposit Amount] ]-Table44[ [#This Row],[Account Withdrawl Amount] ], )</f>
        <v>0</v>
      </c>
      <c r="N75" s="128">
        <f>IF(Table44[[#This Row],[CODE]]=6, Table44[ [#This Row],[Account Deposit Amount] ]-Table44[ [#This Row],[Account Withdrawl Amount] ], )</f>
        <v>0</v>
      </c>
      <c r="O75" s="128">
        <f>IF(Table44[[#This Row],[CODE]]=11, Table44[ [#This Row],[Account Deposit Amount] ]-Table44[ [#This Row],[Account Withdrawl Amount] ], )</f>
        <v>0</v>
      </c>
      <c r="P75" s="128">
        <f>IF(Table44[[#This Row],[CODE]]=12, Table44[ [#This Row],[Account Deposit Amount] ]-Table44[ [#This Row],[Account Withdrawl Amount] ], )</f>
        <v>0</v>
      </c>
      <c r="Q75" s="128">
        <f>IF(Table44[[#This Row],[CODE]]=13, Table44[ [#This Row],[Account Deposit Amount] ]-Table44[ [#This Row],[Account Withdrawl Amount] ], )</f>
        <v>0</v>
      </c>
      <c r="R75" s="128">
        <f>IF(Table44[[#This Row],[CODE]]=14, Table44[ [#This Row],[Account Deposit Amount] ]-Table44[ [#This Row],[Account Withdrawl Amount] ], )</f>
        <v>0</v>
      </c>
      <c r="S75" s="128">
        <f>IF(Table44[[#This Row],[CODE]]=15, Table44[ [#This Row],[Account Deposit Amount] ]-Table44[ [#This Row],[Account Withdrawl Amount] ], )</f>
        <v>0</v>
      </c>
      <c r="T75" s="128">
        <f>IF(Table44[[#This Row],[CODE]]=16, Table44[ [#This Row],[Account Deposit Amount] ]-Table44[ [#This Row],[Account Withdrawl Amount] ], )</f>
        <v>0</v>
      </c>
      <c r="U75" s="127">
        <f>IF(Table44[[#This Row],[CODE]]=17, Table44[ [#This Row],[Account Deposit Amount] ]-Table44[ [#This Row],[Account Withdrawl Amount] ], )</f>
        <v>0</v>
      </c>
    </row>
    <row r="76" spans="1:21" ht="16.2" thickBot="1">
      <c r="A76" s="130"/>
      <c r="B76" s="133"/>
      <c r="C76" s="130"/>
      <c r="D76" s="132"/>
      <c r="E76" s="128"/>
      <c r="F76" s="128"/>
      <c r="G76" s="131">
        <f t="shared" si="4"/>
        <v>15576.109999999997</v>
      </c>
      <c r="H76" s="130"/>
      <c r="I76" s="127">
        <f>IF(Table44[[#This Row],[CODE]]=1, Table44[ [#This Row],[Account Deposit Amount] ]-Table44[ [#This Row],[Account Withdrawl Amount] ], )</f>
        <v>0</v>
      </c>
      <c r="J76" s="129">
        <f>IF(Table44[[#This Row],[CODE]]=2, Table44[ [#This Row],[Account Deposit Amount] ]-Table44[ [#This Row],[Account Withdrawl Amount] ], )</f>
        <v>0</v>
      </c>
      <c r="K76" s="129">
        <f>IF(Table44[[#This Row],[CODE]]=3, Table44[ [#This Row],[Account Deposit Amount] ]-Table44[ [#This Row],[Account Withdrawl Amount] ], )</f>
        <v>0</v>
      </c>
      <c r="L76" s="128">
        <f>IF(Table44[[#This Row],[CODE]]=4, Table44[ [#This Row],[Account Deposit Amount] ]-Table44[ [#This Row],[Account Withdrawl Amount] ], )</f>
        <v>0</v>
      </c>
      <c r="M76" s="128">
        <f>IF(Table44[[#This Row],[CODE]]=5, Table44[ [#This Row],[Account Deposit Amount] ]-Table44[ [#This Row],[Account Withdrawl Amount] ], )</f>
        <v>0</v>
      </c>
      <c r="N76" s="128">
        <f>IF(Table44[[#This Row],[CODE]]=6, Table44[ [#This Row],[Account Deposit Amount] ]-Table44[ [#This Row],[Account Withdrawl Amount] ], )</f>
        <v>0</v>
      </c>
      <c r="O76" s="128">
        <f>IF(Table44[[#This Row],[CODE]]=11, Table44[ [#This Row],[Account Deposit Amount] ]-Table44[ [#This Row],[Account Withdrawl Amount] ], )</f>
        <v>0</v>
      </c>
      <c r="P76" s="128">
        <f>IF(Table44[[#This Row],[CODE]]=12, Table44[ [#This Row],[Account Deposit Amount] ]-Table44[ [#This Row],[Account Withdrawl Amount] ], )</f>
        <v>0</v>
      </c>
      <c r="Q76" s="128">
        <f>IF(Table44[[#This Row],[CODE]]=13, Table44[ [#This Row],[Account Deposit Amount] ]-Table44[ [#This Row],[Account Withdrawl Amount] ], )</f>
        <v>0</v>
      </c>
      <c r="R76" s="128">
        <f>IF(Table44[[#This Row],[CODE]]=14, Table44[ [#This Row],[Account Deposit Amount] ]-Table44[ [#This Row],[Account Withdrawl Amount] ], )</f>
        <v>0</v>
      </c>
      <c r="S76" s="128">
        <f>IF(Table44[[#This Row],[CODE]]=15, Table44[ [#This Row],[Account Deposit Amount] ]-Table44[ [#This Row],[Account Withdrawl Amount] ], )</f>
        <v>0</v>
      </c>
      <c r="T76" s="128">
        <f>IF(Table44[[#This Row],[CODE]]=16, Table44[ [#This Row],[Account Deposit Amount] ]-Table44[ [#This Row],[Account Withdrawl Amount] ], )</f>
        <v>0</v>
      </c>
      <c r="U76" s="127">
        <f>IF(Table44[[#This Row],[CODE]]=17, Table44[ [#This Row],[Account Deposit Amount] ]-Table44[ [#This Row],[Account Withdrawl Amount] ], )</f>
        <v>0</v>
      </c>
    </row>
    <row r="77" spans="1:21" ht="16.2" thickBot="1">
      <c r="A77" s="130"/>
      <c r="B77" s="133"/>
      <c r="C77" s="130"/>
      <c r="D77" s="132"/>
      <c r="E77" s="128"/>
      <c r="F77" s="128"/>
      <c r="G77" s="131">
        <f t="shared" si="4"/>
        <v>15576.109999999997</v>
      </c>
      <c r="H77" s="130"/>
      <c r="I77" s="127">
        <f>IF(Table44[[#This Row],[CODE]]=1, Table44[ [#This Row],[Account Deposit Amount] ]-Table44[ [#This Row],[Account Withdrawl Amount] ], )</f>
        <v>0</v>
      </c>
      <c r="J77" s="129">
        <f>IF(Table44[[#This Row],[CODE]]=2, Table44[ [#This Row],[Account Deposit Amount] ]-Table44[ [#This Row],[Account Withdrawl Amount] ], )</f>
        <v>0</v>
      </c>
      <c r="K77" s="129">
        <f>IF(Table44[[#This Row],[CODE]]=3, Table44[ [#This Row],[Account Deposit Amount] ]-Table44[ [#This Row],[Account Withdrawl Amount] ], )</f>
        <v>0</v>
      </c>
      <c r="L77" s="128">
        <f>IF(Table44[[#This Row],[CODE]]=4, Table44[ [#This Row],[Account Deposit Amount] ]-Table44[ [#This Row],[Account Withdrawl Amount] ], )</f>
        <v>0</v>
      </c>
      <c r="M77" s="128">
        <f>IF(Table44[[#This Row],[CODE]]=5, Table44[ [#This Row],[Account Deposit Amount] ]-Table44[ [#This Row],[Account Withdrawl Amount] ], )</f>
        <v>0</v>
      </c>
      <c r="N77" s="128">
        <f>IF(Table44[[#This Row],[CODE]]=6, Table44[ [#This Row],[Account Deposit Amount] ]-Table44[ [#This Row],[Account Withdrawl Amount] ], )</f>
        <v>0</v>
      </c>
      <c r="O77" s="128">
        <f>IF(Table44[[#This Row],[CODE]]=11, Table44[ [#This Row],[Account Deposit Amount] ]-Table44[ [#This Row],[Account Withdrawl Amount] ], )</f>
        <v>0</v>
      </c>
      <c r="P77" s="128">
        <f>IF(Table44[[#This Row],[CODE]]=12, Table44[ [#This Row],[Account Deposit Amount] ]-Table44[ [#This Row],[Account Withdrawl Amount] ], )</f>
        <v>0</v>
      </c>
      <c r="Q77" s="128">
        <f>IF(Table44[[#This Row],[CODE]]=13, Table44[ [#This Row],[Account Deposit Amount] ]-Table44[ [#This Row],[Account Withdrawl Amount] ], )</f>
        <v>0</v>
      </c>
      <c r="R77" s="128">
        <f>IF(Table44[[#This Row],[CODE]]=14, Table44[ [#This Row],[Account Deposit Amount] ]-Table44[ [#This Row],[Account Withdrawl Amount] ], )</f>
        <v>0</v>
      </c>
      <c r="S77" s="128">
        <f>IF(Table44[[#This Row],[CODE]]=15, Table44[ [#This Row],[Account Deposit Amount] ]-Table44[ [#This Row],[Account Withdrawl Amount] ], )</f>
        <v>0</v>
      </c>
      <c r="T77" s="128">
        <f>IF(Table44[[#This Row],[CODE]]=16, Table44[ [#This Row],[Account Deposit Amount] ]-Table44[ [#This Row],[Account Withdrawl Amount] ], )</f>
        <v>0</v>
      </c>
      <c r="U77" s="127">
        <f>IF(Table44[[#This Row],[CODE]]=17, Table44[ [#This Row],[Account Deposit Amount] ]-Table44[ [#This Row],[Account Withdrawl Amount] ], )</f>
        <v>0</v>
      </c>
    </row>
    <row r="78" spans="1:21" ht="16.2" thickBot="1">
      <c r="A78" s="130"/>
      <c r="B78" s="133"/>
      <c r="C78" s="130"/>
      <c r="D78" s="132"/>
      <c r="E78" s="128"/>
      <c r="F78" s="128"/>
      <c r="G78" s="131">
        <f t="shared" si="4"/>
        <v>15576.109999999997</v>
      </c>
      <c r="H78" s="130"/>
      <c r="I78" s="127">
        <f>IF(Table44[[#This Row],[CODE]]=1, Table44[ [#This Row],[Account Deposit Amount] ]-Table44[ [#This Row],[Account Withdrawl Amount] ], )</f>
        <v>0</v>
      </c>
      <c r="J78" s="129">
        <f>IF(Table44[[#This Row],[CODE]]=2, Table44[ [#This Row],[Account Deposit Amount] ]-Table44[ [#This Row],[Account Withdrawl Amount] ], )</f>
        <v>0</v>
      </c>
      <c r="K78" s="129">
        <f>IF(Table44[[#This Row],[CODE]]=3, Table44[ [#This Row],[Account Deposit Amount] ]-Table44[ [#This Row],[Account Withdrawl Amount] ], )</f>
        <v>0</v>
      </c>
      <c r="L78" s="128">
        <f>IF(Table44[[#This Row],[CODE]]=4, Table44[ [#This Row],[Account Deposit Amount] ]-Table44[ [#This Row],[Account Withdrawl Amount] ], )</f>
        <v>0</v>
      </c>
      <c r="M78" s="128">
        <f>IF(Table44[[#This Row],[CODE]]=5, Table44[ [#This Row],[Account Deposit Amount] ]-Table44[ [#This Row],[Account Withdrawl Amount] ], )</f>
        <v>0</v>
      </c>
      <c r="N78" s="128">
        <f>IF(Table44[[#This Row],[CODE]]=6, Table44[ [#This Row],[Account Deposit Amount] ]-Table44[ [#This Row],[Account Withdrawl Amount] ], )</f>
        <v>0</v>
      </c>
      <c r="O78" s="128">
        <f>IF(Table44[[#This Row],[CODE]]=11, Table44[ [#This Row],[Account Deposit Amount] ]-Table44[ [#This Row],[Account Withdrawl Amount] ], )</f>
        <v>0</v>
      </c>
      <c r="P78" s="128">
        <f>IF(Table44[[#This Row],[CODE]]=12, Table44[ [#This Row],[Account Deposit Amount] ]-Table44[ [#This Row],[Account Withdrawl Amount] ], )</f>
        <v>0</v>
      </c>
      <c r="Q78" s="128">
        <f>IF(Table44[[#This Row],[CODE]]=13, Table44[ [#This Row],[Account Deposit Amount] ]-Table44[ [#This Row],[Account Withdrawl Amount] ], )</f>
        <v>0</v>
      </c>
      <c r="R78" s="128">
        <f>IF(Table44[[#This Row],[CODE]]=14, Table44[ [#This Row],[Account Deposit Amount] ]-Table44[ [#This Row],[Account Withdrawl Amount] ], )</f>
        <v>0</v>
      </c>
      <c r="S78" s="128">
        <f>IF(Table44[[#This Row],[CODE]]=15, Table44[ [#This Row],[Account Deposit Amount] ]-Table44[ [#This Row],[Account Withdrawl Amount] ], )</f>
        <v>0</v>
      </c>
      <c r="T78" s="128">
        <f>IF(Table44[[#This Row],[CODE]]=16, Table44[ [#This Row],[Account Deposit Amount] ]-Table44[ [#This Row],[Account Withdrawl Amount] ], )</f>
        <v>0</v>
      </c>
      <c r="U78" s="127">
        <f>IF(Table44[[#This Row],[CODE]]=17, Table44[ [#This Row],[Account Deposit Amount] ]-Table44[ [#This Row],[Account Withdrawl Amount] ], )</f>
        <v>0</v>
      </c>
    </row>
    <row r="79" spans="1:21" ht="16.2" thickBot="1">
      <c r="A79" s="130"/>
      <c r="B79" s="133"/>
      <c r="C79" s="130"/>
      <c r="D79" s="132"/>
      <c r="E79" s="128"/>
      <c r="F79" s="128"/>
      <c r="G79" s="131">
        <f t="shared" si="4"/>
        <v>15576.109999999997</v>
      </c>
      <c r="H79" s="130"/>
      <c r="I79" s="127">
        <f>IF(Table44[[#This Row],[CODE]]=1, Table44[ [#This Row],[Account Deposit Amount] ]-Table44[ [#This Row],[Account Withdrawl Amount] ], )</f>
        <v>0</v>
      </c>
      <c r="J79" s="129">
        <f>IF(Table44[[#This Row],[CODE]]=2, Table44[ [#This Row],[Account Deposit Amount] ]-Table44[ [#This Row],[Account Withdrawl Amount] ], )</f>
        <v>0</v>
      </c>
      <c r="K79" s="129">
        <f>IF(Table44[[#This Row],[CODE]]=3, Table44[ [#This Row],[Account Deposit Amount] ]-Table44[ [#This Row],[Account Withdrawl Amount] ], )</f>
        <v>0</v>
      </c>
      <c r="L79" s="128">
        <f>IF(Table44[[#This Row],[CODE]]=4, Table44[ [#This Row],[Account Deposit Amount] ]-Table44[ [#This Row],[Account Withdrawl Amount] ], )</f>
        <v>0</v>
      </c>
      <c r="M79" s="128">
        <f>IF(Table44[[#This Row],[CODE]]=5, Table44[ [#This Row],[Account Deposit Amount] ]-Table44[ [#This Row],[Account Withdrawl Amount] ], )</f>
        <v>0</v>
      </c>
      <c r="N79" s="128">
        <f>IF(Table44[[#This Row],[CODE]]=6, Table44[ [#This Row],[Account Deposit Amount] ]-Table44[ [#This Row],[Account Withdrawl Amount] ], )</f>
        <v>0</v>
      </c>
      <c r="O79" s="128">
        <f>IF(Table44[[#This Row],[CODE]]=11, Table44[ [#This Row],[Account Deposit Amount] ]-Table44[ [#This Row],[Account Withdrawl Amount] ], )</f>
        <v>0</v>
      </c>
      <c r="P79" s="128">
        <f>IF(Table44[[#This Row],[CODE]]=12, Table44[ [#This Row],[Account Deposit Amount] ]-Table44[ [#This Row],[Account Withdrawl Amount] ], )</f>
        <v>0</v>
      </c>
      <c r="Q79" s="128">
        <f>IF(Table44[[#This Row],[CODE]]=13, Table44[ [#This Row],[Account Deposit Amount] ]-Table44[ [#This Row],[Account Withdrawl Amount] ], )</f>
        <v>0</v>
      </c>
      <c r="R79" s="128">
        <f>IF(Table44[[#This Row],[CODE]]=14, Table44[ [#This Row],[Account Deposit Amount] ]-Table44[ [#This Row],[Account Withdrawl Amount] ], )</f>
        <v>0</v>
      </c>
      <c r="S79" s="128">
        <f>IF(Table44[[#This Row],[CODE]]=15, Table44[ [#This Row],[Account Deposit Amount] ]-Table44[ [#This Row],[Account Withdrawl Amount] ], )</f>
        <v>0</v>
      </c>
      <c r="T79" s="128">
        <f>IF(Table44[[#This Row],[CODE]]=16, Table44[ [#This Row],[Account Deposit Amount] ]-Table44[ [#This Row],[Account Withdrawl Amount] ], )</f>
        <v>0</v>
      </c>
      <c r="U79" s="127">
        <f>IF(Table44[[#This Row],[CODE]]=17, Table44[ [#This Row],[Account Deposit Amount] ]-Table44[ [#This Row],[Account Withdrawl Amount] ], )</f>
        <v>0</v>
      </c>
    </row>
    <row r="80" spans="1:21" ht="16.2" thickBot="1">
      <c r="A80" s="130"/>
      <c r="B80" s="133"/>
      <c r="C80" s="130"/>
      <c r="D80" s="132"/>
      <c r="E80" s="128"/>
      <c r="F80" s="128"/>
      <c r="G80" s="131">
        <f t="shared" si="4"/>
        <v>15576.109999999997</v>
      </c>
      <c r="H80" s="130"/>
      <c r="I80" s="127">
        <f>IF(Table44[[#This Row],[CODE]]=1, Table44[ [#This Row],[Account Deposit Amount] ]-Table44[ [#This Row],[Account Withdrawl Amount] ], )</f>
        <v>0</v>
      </c>
      <c r="J80" s="129">
        <f>IF(Table44[[#This Row],[CODE]]=2, Table44[ [#This Row],[Account Deposit Amount] ]-Table44[ [#This Row],[Account Withdrawl Amount] ], )</f>
        <v>0</v>
      </c>
      <c r="K80" s="129">
        <f>IF(Table44[[#This Row],[CODE]]=3, Table44[ [#This Row],[Account Deposit Amount] ]-Table44[ [#This Row],[Account Withdrawl Amount] ], )</f>
        <v>0</v>
      </c>
      <c r="L80" s="128">
        <f>IF(Table44[[#This Row],[CODE]]=4, Table44[ [#This Row],[Account Deposit Amount] ]-Table44[ [#This Row],[Account Withdrawl Amount] ], )</f>
        <v>0</v>
      </c>
      <c r="M80" s="128">
        <f>IF(Table44[[#This Row],[CODE]]=5, Table44[ [#This Row],[Account Deposit Amount] ]-Table44[ [#This Row],[Account Withdrawl Amount] ], )</f>
        <v>0</v>
      </c>
      <c r="N80" s="128">
        <f>IF(Table44[[#This Row],[CODE]]=6, Table44[ [#This Row],[Account Deposit Amount] ]-Table44[ [#This Row],[Account Withdrawl Amount] ], )</f>
        <v>0</v>
      </c>
      <c r="O80" s="128">
        <f>IF(Table44[[#This Row],[CODE]]=11, Table44[ [#This Row],[Account Deposit Amount] ]-Table44[ [#This Row],[Account Withdrawl Amount] ], )</f>
        <v>0</v>
      </c>
      <c r="P80" s="128">
        <f>IF(Table44[[#This Row],[CODE]]=12, Table44[ [#This Row],[Account Deposit Amount] ]-Table44[ [#This Row],[Account Withdrawl Amount] ], )</f>
        <v>0</v>
      </c>
      <c r="Q80" s="128">
        <f>IF(Table44[[#This Row],[CODE]]=13, Table44[ [#This Row],[Account Deposit Amount] ]-Table44[ [#This Row],[Account Withdrawl Amount] ], )</f>
        <v>0</v>
      </c>
      <c r="R80" s="128">
        <f>IF(Table44[[#This Row],[CODE]]=14, Table44[ [#This Row],[Account Deposit Amount] ]-Table44[ [#This Row],[Account Withdrawl Amount] ], )</f>
        <v>0</v>
      </c>
      <c r="S80" s="128">
        <f>IF(Table44[[#This Row],[CODE]]=15, Table44[ [#This Row],[Account Deposit Amount] ]-Table44[ [#This Row],[Account Withdrawl Amount] ], )</f>
        <v>0</v>
      </c>
      <c r="T80" s="128">
        <f>IF(Table44[[#This Row],[CODE]]=16, Table44[ [#This Row],[Account Deposit Amount] ]-Table44[ [#This Row],[Account Withdrawl Amount] ], )</f>
        <v>0</v>
      </c>
      <c r="U80" s="127">
        <f>IF(Table44[[#This Row],[CODE]]=17, Table44[ [#This Row],[Account Deposit Amount] ]-Table44[ [#This Row],[Account Withdrawl Amount] ], )</f>
        <v>0</v>
      </c>
    </row>
    <row r="81" spans="1:21" ht="16.2" thickBot="1">
      <c r="A81" s="130"/>
      <c r="B81" s="133"/>
      <c r="C81" s="130"/>
      <c r="D81" s="132"/>
      <c r="E81" s="128"/>
      <c r="F81" s="128"/>
      <c r="G81" s="131">
        <f t="shared" si="4"/>
        <v>15576.109999999997</v>
      </c>
      <c r="H81" s="130"/>
      <c r="I81" s="127">
        <f>IF(Table44[[#This Row],[CODE]]=1, Table44[ [#This Row],[Account Deposit Amount] ]-Table44[ [#This Row],[Account Withdrawl Amount] ], )</f>
        <v>0</v>
      </c>
      <c r="J81" s="129">
        <f>IF(Table44[[#This Row],[CODE]]=2, Table44[ [#This Row],[Account Deposit Amount] ]-Table44[ [#This Row],[Account Withdrawl Amount] ], )</f>
        <v>0</v>
      </c>
      <c r="K81" s="129">
        <f>IF(Table44[[#This Row],[CODE]]=3, Table44[ [#This Row],[Account Deposit Amount] ]-Table44[ [#This Row],[Account Withdrawl Amount] ], )</f>
        <v>0</v>
      </c>
      <c r="L81" s="128">
        <f>IF(Table44[[#This Row],[CODE]]=4, Table44[ [#This Row],[Account Deposit Amount] ]-Table44[ [#This Row],[Account Withdrawl Amount] ], )</f>
        <v>0</v>
      </c>
      <c r="M81" s="128">
        <f>IF(Table44[[#This Row],[CODE]]=5, Table44[ [#This Row],[Account Deposit Amount] ]-Table44[ [#This Row],[Account Withdrawl Amount] ], )</f>
        <v>0</v>
      </c>
      <c r="N81" s="128">
        <f>IF(Table44[[#This Row],[CODE]]=6, Table44[ [#This Row],[Account Deposit Amount] ]-Table44[ [#This Row],[Account Withdrawl Amount] ], )</f>
        <v>0</v>
      </c>
      <c r="O81" s="128">
        <f>IF(Table44[[#This Row],[CODE]]=11, Table44[ [#This Row],[Account Deposit Amount] ]-Table44[ [#This Row],[Account Withdrawl Amount] ], )</f>
        <v>0</v>
      </c>
      <c r="P81" s="128">
        <f>IF(Table44[[#This Row],[CODE]]=12, Table44[ [#This Row],[Account Deposit Amount] ]-Table44[ [#This Row],[Account Withdrawl Amount] ], )</f>
        <v>0</v>
      </c>
      <c r="Q81" s="128">
        <f>IF(Table44[[#This Row],[CODE]]=13, Table44[ [#This Row],[Account Deposit Amount] ]-Table44[ [#This Row],[Account Withdrawl Amount] ], )</f>
        <v>0</v>
      </c>
      <c r="R81" s="128">
        <f>IF(Table44[[#This Row],[CODE]]=14, Table44[ [#This Row],[Account Deposit Amount] ]-Table44[ [#This Row],[Account Withdrawl Amount] ], )</f>
        <v>0</v>
      </c>
      <c r="S81" s="128">
        <f>IF(Table44[[#This Row],[CODE]]=15, Table44[ [#This Row],[Account Deposit Amount] ]-Table44[ [#This Row],[Account Withdrawl Amount] ], )</f>
        <v>0</v>
      </c>
      <c r="T81" s="128">
        <f>IF(Table44[[#This Row],[CODE]]=16, Table44[ [#This Row],[Account Deposit Amount] ]-Table44[ [#This Row],[Account Withdrawl Amount] ], )</f>
        <v>0</v>
      </c>
      <c r="U81" s="127">
        <f>IF(Table44[[#This Row],[CODE]]=17, Table44[ [#This Row],[Account Deposit Amount] ]-Table44[ [#This Row],[Account Withdrawl Amount] ], )</f>
        <v>0</v>
      </c>
    </row>
    <row r="82" spans="1:21" ht="16.2" thickBot="1">
      <c r="A82" s="130"/>
      <c r="B82" s="133"/>
      <c r="C82" s="130"/>
      <c r="D82" s="132"/>
      <c r="E82" s="128"/>
      <c r="F82" s="128"/>
      <c r="G82" s="131">
        <f t="shared" si="4"/>
        <v>15576.109999999997</v>
      </c>
      <c r="H82" s="130"/>
      <c r="I82" s="127">
        <f>IF(Table44[[#This Row],[CODE]]=1, Table44[ [#This Row],[Account Deposit Amount] ]-Table44[ [#This Row],[Account Withdrawl Amount] ], )</f>
        <v>0</v>
      </c>
      <c r="J82" s="129">
        <f>IF(Table44[[#This Row],[CODE]]=2, Table44[ [#This Row],[Account Deposit Amount] ]-Table44[ [#This Row],[Account Withdrawl Amount] ], )</f>
        <v>0</v>
      </c>
      <c r="K82" s="129">
        <f>IF(Table44[[#This Row],[CODE]]=3, Table44[ [#This Row],[Account Deposit Amount] ]-Table44[ [#This Row],[Account Withdrawl Amount] ], )</f>
        <v>0</v>
      </c>
      <c r="L82" s="128">
        <f>IF(Table44[[#This Row],[CODE]]=4, Table44[ [#This Row],[Account Deposit Amount] ]-Table44[ [#This Row],[Account Withdrawl Amount] ], )</f>
        <v>0</v>
      </c>
      <c r="M82" s="128">
        <f>IF(Table44[[#This Row],[CODE]]=5, Table44[ [#This Row],[Account Deposit Amount] ]-Table44[ [#This Row],[Account Withdrawl Amount] ], )</f>
        <v>0</v>
      </c>
      <c r="N82" s="128">
        <f>IF(Table44[[#This Row],[CODE]]=6, Table44[ [#This Row],[Account Deposit Amount] ]-Table44[ [#This Row],[Account Withdrawl Amount] ], )</f>
        <v>0</v>
      </c>
      <c r="O82" s="128">
        <f>IF(Table44[[#This Row],[CODE]]=11, Table44[ [#This Row],[Account Deposit Amount] ]-Table44[ [#This Row],[Account Withdrawl Amount] ], )</f>
        <v>0</v>
      </c>
      <c r="P82" s="128">
        <f>IF(Table44[[#This Row],[CODE]]=12, Table44[ [#This Row],[Account Deposit Amount] ]-Table44[ [#This Row],[Account Withdrawl Amount] ], )</f>
        <v>0</v>
      </c>
      <c r="Q82" s="128">
        <f>IF(Table44[[#This Row],[CODE]]=13, Table44[ [#This Row],[Account Deposit Amount] ]-Table44[ [#This Row],[Account Withdrawl Amount] ], )</f>
        <v>0</v>
      </c>
      <c r="R82" s="128">
        <f>IF(Table44[[#This Row],[CODE]]=14, Table44[ [#This Row],[Account Deposit Amount] ]-Table44[ [#This Row],[Account Withdrawl Amount] ], )</f>
        <v>0</v>
      </c>
      <c r="S82" s="128">
        <f>IF(Table44[[#This Row],[CODE]]=15, Table44[ [#This Row],[Account Deposit Amount] ]-Table44[ [#This Row],[Account Withdrawl Amount] ], )</f>
        <v>0</v>
      </c>
      <c r="T82" s="128">
        <f>IF(Table44[[#This Row],[CODE]]=16, Table44[ [#This Row],[Account Deposit Amount] ]-Table44[ [#This Row],[Account Withdrawl Amount] ], )</f>
        <v>0</v>
      </c>
      <c r="U82" s="127">
        <f>IF(Table44[[#This Row],[CODE]]=17, Table44[ [#This Row],[Account Deposit Amount] ]-Table44[ [#This Row],[Account Withdrawl Amount] ], )</f>
        <v>0</v>
      </c>
    </row>
    <row r="83" spans="1:21" ht="16.2" thickBot="1">
      <c r="A83" s="130"/>
      <c r="B83" s="133"/>
      <c r="C83" s="130"/>
      <c r="D83" s="132"/>
      <c r="E83" s="128"/>
      <c r="F83" s="128"/>
      <c r="G83" s="131">
        <f t="shared" si="4"/>
        <v>15576.109999999997</v>
      </c>
      <c r="H83" s="130"/>
      <c r="I83" s="127">
        <f>IF(Table44[[#This Row],[CODE]]=1, Table44[ [#This Row],[Account Deposit Amount] ]-Table44[ [#This Row],[Account Withdrawl Amount] ], )</f>
        <v>0</v>
      </c>
      <c r="J83" s="129">
        <f>IF(Table44[[#This Row],[CODE]]=2, Table44[ [#This Row],[Account Deposit Amount] ]-Table44[ [#This Row],[Account Withdrawl Amount] ], )</f>
        <v>0</v>
      </c>
      <c r="K83" s="129">
        <f>IF(Table44[[#This Row],[CODE]]=3, Table44[ [#This Row],[Account Deposit Amount] ]-Table44[ [#This Row],[Account Withdrawl Amount] ], )</f>
        <v>0</v>
      </c>
      <c r="L83" s="128">
        <f>IF(Table44[[#This Row],[CODE]]=4, Table44[ [#This Row],[Account Deposit Amount] ]-Table44[ [#This Row],[Account Withdrawl Amount] ], )</f>
        <v>0</v>
      </c>
      <c r="M83" s="128">
        <f>IF(Table44[[#This Row],[CODE]]=5, Table44[ [#This Row],[Account Deposit Amount] ]-Table44[ [#This Row],[Account Withdrawl Amount] ], )</f>
        <v>0</v>
      </c>
      <c r="N83" s="128">
        <f>IF(Table44[[#This Row],[CODE]]=6, Table44[ [#This Row],[Account Deposit Amount] ]-Table44[ [#This Row],[Account Withdrawl Amount] ], )</f>
        <v>0</v>
      </c>
      <c r="O83" s="128">
        <f>IF(Table44[[#This Row],[CODE]]=11, Table44[ [#This Row],[Account Deposit Amount] ]-Table44[ [#This Row],[Account Withdrawl Amount] ], )</f>
        <v>0</v>
      </c>
      <c r="P83" s="128">
        <f>IF(Table44[[#This Row],[CODE]]=12, Table44[ [#This Row],[Account Deposit Amount] ]-Table44[ [#This Row],[Account Withdrawl Amount] ], )</f>
        <v>0</v>
      </c>
      <c r="Q83" s="128">
        <f>IF(Table44[[#This Row],[CODE]]=13, Table44[ [#This Row],[Account Deposit Amount] ]-Table44[ [#This Row],[Account Withdrawl Amount] ], )</f>
        <v>0</v>
      </c>
      <c r="R83" s="128">
        <f>IF(Table44[[#This Row],[CODE]]=14, Table44[ [#This Row],[Account Deposit Amount] ]-Table44[ [#This Row],[Account Withdrawl Amount] ], )</f>
        <v>0</v>
      </c>
      <c r="S83" s="128">
        <f>IF(Table44[[#This Row],[CODE]]=15, Table44[ [#This Row],[Account Deposit Amount] ]-Table44[ [#This Row],[Account Withdrawl Amount] ], )</f>
        <v>0</v>
      </c>
      <c r="T83" s="128">
        <f>IF(Table44[[#This Row],[CODE]]=16, Table44[ [#This Row],[Account Deposit Amount] ]-Table44[ [#This Row],[Account Withdrawl Amount] ], )</f>
        <v>0</v>
      </c>
      <c r="U83" s="127">
        <f>IF(Table44[[#This Row],[CODE]]=17, Table44[ [#This Row],[Account Deposit Amount] ]-Table44[ [#This Row],[Account Withdrawl Amount] ], )</f>
        <v>0</v>
      </c>
    </row>
    <row r="84" spans="1:21" ht="16.2" thickBot="1">
      <c r="A84" s="130"/>
      <c r="B84" s="133"/>
      <c r="C84" s="130"/>
      <c r="D84" s="132"/>
      <c r="E84" s="128"/>
      <c r="F84" s="128"/>
      <c r="G84" s="131">
        <f t="shared" si="4"/>
        <v>15576.109999999997</v>
      </c>
      <c r="H84" s="130"/>
      <c r="I84" s="127">
        <f>IF(Table44[[#This Row],[CODE]]=1, Table44[ [#This Row],[Account Deposit Amount] ]-Table44[ [#This Row],[Account Withdrawl Amount] ], )</f>
        <v>0</v>
      </c>
      <c r="J84" s="129">
        <f>IF(Table44[[#This Row],[CODE]]=2, Table44[ [#This Row],[Account Deposit Amount] ]-Table44[ [#This Row],[Account Withdrawl Amount] ], )</f>
        <v>0</v>
      </c>
      <c r="K84" s="129">
        <f>IF(Table44[[#This Row],[CODE]]=3, Table44[ [#This Row],[Account Deposit Amount] ]-Table44[ [#This Row],[Account Withdrawl Amount] ], )</f>
        <v>0</v>
      </c>
      <c r="L84" s="128">
        <f>IF(Table44[[#This Row],[CODE]]=4, Table44[ [#This Row],[Account Deposit Amount] ]-Table44[ [#This Row],[Account Withdrawl Amount] ], )</f>
        <v>0</v>
      </c>
      <c r="M84" s="128">
        <f>IF(Table44[[#This Row],[CODE]]=5, Table44[ [#This Row],[Account Deposit Amount] ]-Table44[ [#This Row],[Account Withdrawl Amount] ], )</f>
        <v>0</v>
      </c>
      <c r="N84" s="128">
        <f>IF(Table44[[#This Row],[CODE]]=6, Table44[ [#This Row],[Account Deposit Amount] ]-Table44[ [#This Row],[Account Withdrawl Amount] ], )</f>
        <v>0</v>
      </c>
      <c r="O84" s="128">
        <f>IF(Table44[[#This Row],[CODE]]=11, Table44[ [#This Row],[Account Deposit Amount] ]-Table44[ [#This Row],[Account Withdrawl Amount] ], )</f>
        <v>0</v>
      </c>
      <c r="P84" s="128">
        <f>IF(Table44[[#This Row],[CODE]]=12, Table44[ [#This Row],[Account Deposit Amount] ]-Table44[ [#This Row],[Account Withdrawl Amount] ], )</f>
        <v>0</v>
      </c>
      <c r="Q84" s="128">
        <f>IF(Table44[[#This Row],[CODE]]=13, Table44[ [#This Row],[Account Deposit Amount] ]-Table44[ [#This Row],[Account Withdrawl Amount] ], )</f>
        <v>0</v>
      </c>
      <c r="R84" s="128">
        <f>IF(Table44[[#This Row],[CODE]]=14, Table44[ [#This Row],[Account Deposit Amount] ]-Table44[ [#This Row],[Account Withdrawl Amount] ], )</f>
        <v>0</v>
      </c>
      <c r="S84" s="128">
        <f>IF(Table44[[#This Row],[CODE]]=15, Table44[ [#This Row],[Account Deposit Amount] ]-Table44[ [#This Row],[Account Withdrawl Amount] ], )</f>
        <v>0</v>
      </c>
      <c r="T84" s="128">
        <f>IF(Table44[[#This Row],[CODE]]=16, Table44[ [#This Row],[Account Deposit Amount] ]-Table44[ [#This Row],[Account Withdrawl Amount] ], )</f>
        <v>0</v>
      </c>
      <c r="U84" s="127">
        <f>IF(Table44[[#This Row],[CODE]]=17, Table44[ [#This Row],[Account Deposit Amount] ]-Table44[ [#This Row],[Account Withdrawl Amount] ], )</f>
        <v>0</v>
      </c>
    </row>
    <row r="85" spans="1:21" ht="16.2" thickBot="1">
      <c r="A85" s="130"/>
      <c r="B85" s="133"/>
      <c r="C85" s="130"/>
      <c r="D85" s="132"/>
      <c r="E85" s="128"/>
      <c r="F85" s="128"/>
      <c r="G85" s="131">
        <f t="shared" si="4"/>
        <v>15576.109999999997</v>
      </c>
      <c r="H85" s="130"/>
      <c r="I85" s="127">
        <f>IF(Table44[[#This Row],[CODE]]=1, Table44[ [#This Row],[Account Deposit Amount] ]-Table44[ [#This Row],[Account Withdrawl Amount] ], )</f>
        <v>0</v>
      </c>
      <c r="J85" s="129">
        <f>IF(Table44[[#This Row],[CODE]]=2, Table44[ [#This Row],[Account Deposit Amount] ]-Table44[ [#This Row],[Account Withdrawl Amount] ], )</f>
        <v>0</v>
      </c>
      <c r="K85" s="129">
        <f>IF(Table44[[#This Row],[CODE]]=3, Table44[ [#This Row],[Account Deposit Amount] ]-Table44[ [#This Row],[Account Withdrawl Amount] ], )</f>
        <v>0</v>
      </c>
      <c r="L85" s="128">
        <f>IF(Table44[[#This Row],[CODE]]=4, Table44[ [#This Row],[Account Deposit Amount] ]-Table44[ [#This Row],[Account Withdrawl Amount] ], )</f>
        <v>0</v>
      </c>
      <c r="M85" s="128">
        <f>IF(Table44[[#This Row],[CODE]]=5, Table44[ [#This Row],[Account Deposit Amount] ]-Table44[ [#This Row],[Account Withdrawl Amount] ], )</f>
        <v>0</v>
      </c>
      <c r="N85" s="128">
        <f>IF(Table44[[#This Row],[CODE]]=6, Table44[ [#This Row],[Account Deposit Amount] ]-Table44[ [#This Row],[Account Withdrawl Amount] ], )</f>
        <v>0</v>
      </c>
      <c r="O85" s="128">
        <f>IF(Table44[[#This Row],[CODE]]=11, Table44[ [#This Row],[Account Deposit Amount] ]-Table44[ [#This Row],[Account Withdrawl Amount] ], )</f>
        <v>0</v>
      </c>
      <c r="P85" s="128">
        <f>IF(Table44[[#This Row],[CODE]]=12, Table44[ [#This Row],[Account Deposit Amount] ]-Table44[ [#This Row],[Account Withdrawl Amount] ], )</f>
        <v>0</v>
      </c>
      <c r="Q85" s="128">
        <f>IF(Table44[[#This Row],[CODE]]=13, Table44[ [#This Row],[Account Deposit Amount] ]-Table44[ [#This Row],[Account Withdrawl Amount] ], )</f>
        <v>0</v>
      </c>
      <c r="R85" s="128">
        <f>IF(Table44[[#This Row],[CODE]]=14, Table44[ [#This Row],[Account Deposit Amount] ]-Table44[ [#This Row],[Account Withdrawl Amount] ], )</f>
        <v>0</v>
      </c>
      <c r="S85" s="128">
        <f>IF(Table44[[#This Row],[CODE]]=15, Table44[ [#This Row],[Account Deposit Amount] ]-Table44[ [#This Row],[Account Withdrawl Amount] ], )</f>
        <v>0</v>
      </c>
      <c r="T85" s="128">
        <f>IF(Table44[[#This Row],[CODE]]=16, Table44[ [#This Row],[Account Deposit Amount] ]-Table44[ [#This Row],[Account Withdrawl Amount] ], )</f>
        <v>0</v>
      </c>
      <c r="U85" s="127">
        <f>IF(Table44[[#This Row],[CODE]]=17, Table44[ [#This Row],[Account Deposit Amount] ]-Table44[ [#This Row],[Account Withdrawl Amount] ], )</f>
        <v>0</v>
      </c>
    </row>
    <row r="86" spans="1:21" ht="16.2" thickBot="1">
      <c r="A86" s="130"/>
      <c r="B86" s="133"/>
      <c r="C86" s="130"/>
      <c r="D86" s="132"/>
      <c r="E86" s="128"/>
      <c r="F86" s="128"/>
      <c r="G86" s="131">
        <f t="shared" si="4"/>
        <v>15576.109999999997</v>
      </c>
      <c r="H86" s="130"/>
      <c r="I86" s="127">
        <f>IF(Table44[[#This Row],[CODE]]=1, Table44[ [#This Row],[Account Deposit Amount] ]-Table44[ [#This Row],[Account Withdrawl Amount] ], )</f>
        <v>0</v>
      </c>
      <c r="J86" s="129">
        <f>IF(Table44[[#This Row],[CODE]]=2, Table44[ [#This Row],[Account Deposit Amount] ]-Table44[ [#This Row],[Account Withdrawl Amount] ], )</f>
        <v>0</v>
      </c>
      <c r="K86" s="129">
        <f>IF(Table44[[#This Row],[CODE]]=3, Table44[ [#This Row],[Account Deposit Amount] ]-Table44[ [#This Row],[Account Withdrawl Amount] ], )</f>
        <v>0</v>
      </c>
      <c r="L86" s="128">
        <f>IF(Table44[[#This Row],[CODE]]=4, Table44[ [#This Row],[Account Deposit Amount] ]-Table44[ [#This Row],[Account Withdrawl Amount] ], )</f>
        <v>0</v>
      </c>
      <c r="M86" s="128">
        <f>IF(Table44[[#This Row],[CODE]]=5, Table44[ [#This Row],[Account Deposit Amount] ]-Table44[ [#This Row],[Account Withdrawl Amount] ], )</f>
        <v>0</v>
      </c>
      <c r="N86" s="128">
        <f>IF(Table44[[#This Row],[CODE]]=6, Table44[ [#This Row],[Account Deposit Amount] ]-Table44[ [#This Row],[Account Withdrawl Amount] ], )</f>
        <v>0</v>
      </c>
      <c r="O86" s="128">
        <f>IF(Table44[[#This Row],[CODE]]=11, Table44[ [#This Row],[Account Deposit Amount] ]-Table44[ [#This Row],[Account Withdrawl Amount] ], )</f>
        <v>0</v>
      </c>
      <c r="P86" s="128">
        <f>IF(Table44[[#This Row],[CODE]]=12, Table44[ [#This Row],[Account Deposit Amount] ]-Table44[ [#This Row],[Account Withdrawl Amount] ], )</f>
        <v>0</v>
      </c>
      <c r="Q86" s="128">
        <f>IF(Table44[[#This Row],[CODE]]=13, Table44[ [#This Row],[Account Deposit Amount] ]-Table44[ [#This Row],[Account Withdrawl Amount] ], )</f>
        <v>0</v>
      </c>
      <c r="R86" s="128">
        <f>IF(Table44[[#This Row],[CODE]]=14, Table44[ [#This Row],[Account Deposit Amount] ]-Table44[ [#This Row],[Account Withdrawl Amount] ], )</f>
        <v>0</v>
      </c>
      <c r="S86" s="128">
        <f>IF(Table44[[#This Row],[CODE]]=15, Table44[ [#This Row],[Account Deposit Amount] ]-Table44[ [#This Row],[Account Withdrawl Amount] ], )</f>
        <v>0</v>
      </c>
      <c r="T86" s="128">
        <f>IF(Table44[[#This Row],[CODE]]=16, Table44[ [#This Row],[Account Deposit Amount] ]-Table44[ [#This Row],[Account Withdrawl Amount] ], )</f>
        <v>0</v>
      </c>
      <c r="U86" s="127">
        <f>IF(Table44[[#This Row],[CODE]]=17, Table44[ [#This Row],[Account Deposit Amount] ]-Table44[ [#This Row],[Account Withdrawl Amount] ], )</f>
        <v>0</v>
      </c>
    </row>
    <row r="87" spans="1:21" ht="16.2" thickBot="1">
      <c r="A87" s="130"/>
      <c r="B87" s="133"/>
      <c r="C87" s="130"/>
      <c r="D87" s="132"/>
      <c r="E87" s="128"/>
      <c r="F87" s="128"/>
      <c r="G87" s="131">
        <f t="shared" si="4"/>
        <v>15576.109999999997</v>
      </c>
      <c r="H87" s="130"/>
      <c r="I87" s="127">
        <f>IF(Table44[[#This Row],[CODE]]=1, Table44[ [#This Row],[Account Deposit Amount] ]-Table44[ [#This Row],[Account Withdrawl Amount] ], )</f>
        <v>0</v>
      </c>
      <c r="J87" s="129">
        <f>IF(Table44[[#This Row],[CODE]]=2, Table44[ [#This Row],[Account Deposit Amount] ]-Table44[ [#This Row],[Account Withdrawl Amount] ], )</f>
        <v>0</v>
      </c>
      <c r="K87" s="129">
        <f>IF(Table44[[#This Row],[CODE]]=3, Table44[ [#This Row],[Account Deposit Amount] ]-Table44[ [#This Row],[Account Withdrawl Amount] ], )</f>
        <v>0</v>
      </c>
      <c r="L87" s="128">
        <f>IF(Table44[[#This Row],[CODE]]=4, Table44[ [#This Row],[Account Deposit Amount] ]-Table44[ [#This Row],[Account Withdrawl Amount] ], )</f>
        <v>0</v>
      </c>
      <c r="M87" s="128">
        <f>IF(Table44[[#This Row],[CODE]]=5, Table44[ [#This Row],[Account Deposit Amount] ]-Table44[ [#This Row],[Account Withdrawl Amount] ], )</f>
        <v>0</v>
      </c>
      <c r="N87" s="128">
        <f>IF(Table44[[#This Row],[CODE]]=6, Table44[ [#This Row],[Account Deposit Amount] ]-Table44[ [#This Row],[Account Withdrawl Amount] ], )</f>
        <v>0</v>
      </c>
      <c r="O87" s="128">
        <f>IF(Table44[[#This Row],[CODE]]=11, Table44[ [#This Row],[Account Deposit Amount] ]-Table44[ [#This Row],[Account Withdrawl Amount] ], )</f>
        <v>0</v>
      </c>
      <c r="P87" s="128">
        <f>IF(Table44[[#This Row],[CODE]]=12, Table44[ [#This Row],[Account Deposit Amount] ]-Table44[ [#This Row],[Account Withdrawl Amount] ], )</f>
        <v>0</v>
      </c>
      <c r="Q87" s="128">
        <f>IF(Table44[[#This Row],[CODE]]=13, Table44[ [#This Row],[Account Deposit Amount] ]-Table44[ [#This Row],[Account Withdrawl Amount] ], )</f>
        <v>0</v>
      </c>
      <c r="R87" s="128">
        <f>IF(Table44[[#This Row],[CODE]]=14, Table44[ [#This Row],[Account Deposit Amount] ]-Table44[ [#This Row],[Account Withdrawl Amount] ], )</f>
        <v>0</v>
      </c>
      <c r="S87" s="128">
        <f>IF(Table44[[#This Row],[CODE]]=15, Table44[ [#This Row],[Account Deposit Amount] ]-Table44[ [#This Row],[Account Withdrawl Amount] ], )</f>
        <v>0</v>
      </c>
      <c r="T87" s="128">
        <f>IF(Table44[[#This Row],[CODE]]=16, Table44[ [#This Row],[Account Deposit Amount] ]-Table44[ [#This Row],[Account Withdrawl Amount] ], )</f>
        <v>0</v>
      </c>
      <c r="U87" s="127">
        <f>IF(Table44[[#This Row],[CODE]]=17, Table44[ [#This Row],[Account Deposit Amount] ]-Table44[ [#This Row],[Account Withdrawl Amount] ], )</f>
        <v>0</v>
      </c>
    </row>
    <row r="88" spans="1:21" ht="16.2" thickBot="1">
      <c r="A88" s="130"/>
      <c r="B88" s="133"/>
      <c r="C88" s="130"/>
      <c r="D88" s="132"/>
      <c r="E88" s="128"/>
      <c r="F88" s="128"/>
      <c r="G88" s="131">
        <f t="shared" si="4"/>
        <v>15576.109999999997</v>
      </c>
      <c r="H88" s="130"/>
      <c r="I88" s="127">
        <f>IF(Table44[[#This Row],[CODE]]=1, Table44[ [#This Row],[Account Deposit Amount] ]-Table44[ [#This Row],[Account Withdrawl Amount] ], )</f>
        <v>0</v>
      </c>
      <c r="J88" s="129">
        <f>IF(Table44[[#This Row],[CODE]]=2, Table44[ [#This Row],[Account Deposit Amount] ]-Table44[ [#This Row],[Account Withdrawl Amount] ], )</f>
        <v>0</v>
      </c>
      <c r="K88" s="129">
        <f>IF(Table44[[#This Row],[CODE]]=3, Table44[ [#This Row],[Account Deposit Amount] ]-Table44[ [#This Row],[Account Withdrawl Amount] ], )</f>
        <v>0</v>
      </c>
      <c r="L88" s="128">
        <f>IF(Table44[[#This Row],[CODE]]=4, Table44[ [#This Row],[Account Deposit Amount] ]-Table44[ [#This Row],[Account Withdrawl Amount] ], )</f>
        <v>0</v>
      </c>
      <c r="M88" s="128">
        <f>IF(Table44[[#This Row],[CODE]]=5, Table44[ [#This Row],[Account Deposit Amount] ]-Table44[ [#This Row],[Account Withdrawl Amount] ], )</f>
        <v>0</v>
      </c>
      <c r="N88" s="128">
        <f>IF(Table44[[#This Row],[CODE]]=6, Table44[ [#This Row],[Account Deposit Amount] ]-Table44[ [#This Row],[Account Withdrawl Amount] ], )</f>
        <v>0</v>
      </c>
      <c r="O88" s="128">
        <f>IF(Table44[[#This Row],[CODE]]=11, Table44[ [#This Row],[Account Deposit Amount] ]-Table44[ [#This Row],[Account Withdrawl Amount] ], )</f>
        <v>0</v>
      </c>
      <c r="P88" s="128">
        <f>IF(Table44[[#This Row],[CODE]]=12, Table44[ [#This Row],[Account Deposit Amount] ]-Table44[ [#This Row],[Account Withdrawl Amount] ], )</f>
        <v>0</v>
      </c>
      <c r="Q88" s="128">
        <f>IF(Table44[[#This Row],[CODE]]=13, Table44[ [#This Row],[Account Deposit Amount] ]-Table44[ [#This Row],[Account Withdrawl Amount] ], )</f>
        <v>0</v>
      </c>
      <c r="R88" s="128">
        <f>IF(Table44[[#This Row],[CODE]]=14, Table44[ [#This Row],[Account Deposit Amount] ]-Table44[ [#This Row],[Account Withdrawl Amount] ], )</f>
        <v>0</v>
      </c>
      <c r="S88" s="128">
        <f>IF(Table44[[#This Row],[CODE]]=15, Table44[ [#This Row],[Account Deposit Amount] ]-Table44[ [#This Row],[Account Withdrawl Amount] ], )</f>
        <v>0</v>
      </c>
      <c r="T88" s="128">
        <f>IF(Table44[[#This Row],[CODE]]=16, Table44[ [#This Row],[Account Deposit Amount] ]-Table44[ [#This Row],[Account Withdrawl Amount] ], )</f>
        <v>0</v>
      </c>
      <c r="U88" s="127">
        <f>IF(Table44[[#This Row],[CODE]]=17, Table44[ [#This Row],[Account Deposit Amount] ]-Table44[ [#This Row],[Account Withdrawl Amount] ], )</f>
        <v>0</v>
      </c>
    </row>
    <row r="89" spans="1:21" ht="16.2" thickBot="1">
      <c r="A89" s="130"/>
      <c r="B89" s="133"/>
      <c r="C89" s="130"/>
      <c r="D89" s="132"/>
      <c r="E89" s="128"/>
      <c r="F89" s="128"/>
      <c r="G89" s="131">
        <f t="shared" si="4"/>
        <v>15576.109999999997</v>
      </c>
      <c r="H89" s="130"/>
      <c r="I89" s="127">
        <f>IF(Table44[[#This Row],[CODE]]=1, Table44[ [#This Row],[Account Deposit Amount] ]-Table44[ [#This Row],[Account Withdrawl Amount] ], )</f>
        <v>0</v>
      </c>
      <c r="J89" s="129">
        <f>IF(Table44[[#This Row],[CODE]]=2, Table44[ [#This Row],[Account Deposit Amount] ]-Table44[ [#This Row],[Account Withdrawl Amount] ], )</f>
        <v>0</v>
      </c>
      <c r="K89" s="129">
        <f>IF(Table44[[#This Row],[CODE]]=3, Table44[ [#This Row],[Account Deposit Amount] ]-Table44[ [#This Row],[Account Withdrawl Amount] ], )</f>
        <v>0</v>
      </c>
      <c r="L89" s="128">
        <f>IF(Table44[[#This Row],[CODE]]=4, Table44[ [#This Row],[Account Deposit Amount] ]-Table44[ [#This Row],[Account Withdrawl Amount] ], )</f>
        <v>0</v>
      </c>
      <c r="M89" s="128">
        <f>IF(Table44[[#This Row],[CODE]]=5, Table44[ [#This Row],[Account Deposit Amount] ]-Table44[ [#This Row],[Account Withdrawl Amount] ], )</f>
        <v>0</v>
      </c>
      <c r="N89" s="128">
        <f>IF(Table44[[#This Row],[CODE]]=6, Table44[ [#This Row],[Account Deposit Amount] ]-Table44[ [#This Row],[Account Withdrawl Amount] ], )</f>
        <v>0</v>
      </c>
      <c r="O89" s="128">
        <f>IF(Table44[[#This Row],[CODE]]=11, Table44[ [#This Row],[Account Deposit Amount] ]-Table44[ [#This Row],[Account Withdrawl Amount] ], )</f>
        <v>0</v>
      </c>
      <c r="P89" s="128">
        <f>IF(Table44[[#This Row],[CODE]]=12, Table44[ [#This Row],[Account Deposit Amount] ]-Table44[ [#This Row],[Account Withdrawl Amount] ], )</f>
        <v>0</v>
      </c>
      <c r="Q89" s="128">
        <f>IF(Table44[[#This Row],[CODE]]=13, Table44[ [#This Row],[Account Deposit Amount] ]-Table44[ [#This Row],[Account Withdrawl Amount] ], )</f>
        <v>0</v>
      </c>
      <c r="R89" s="128">
        <f>IF(Table44[[#This Row],[CODE]]=14, Table44[ [#This Row],[Account Deposit Amount] ]-Table44[ [#This Row],[Account Withdrawl Amount] ], )</f>
        <v>0</v>
      </c>
      <c r="S89" s="128">
        <f>IF(Table44[[#This Row],[CODE]]=15, Table44[ [#This Row],[Account Deposit Amount] ]-Table44[ [#This Row],[Account Withdrawl Amount] ], )</f>
        <v>0</v>
      </c>
      <c r="T89" s="128">
        <f>IF(Table44[[#This Row],[CODE]]=16, Table44[ [#This Row],[Account Deposit Amount] ]-Table44[ [#This Row],[Account Withdrawl Amount] ], )</f>
        <v>0</v>
      </c>
      <c r="U89" s="127">
        <f>IF(Table44[[#This Row],[CODE]]=17, Table44[ [#This Row],[Account Deposit Amount] ]-Table44[ [#This Row],[Account Withdrawl Amount] ], )</f>
        <v>0</v>
      </c>
    </row>
    <row r="90" spans="1:21" ht="16.2" thickBot="1">
      <c r="A90" s="130"/>
      <c r="B90" s="133"/>
      <c r="C90" s="130"/>
      <c r="D90" s="132"/>
      <c r="E90" s="128"/>
      <c r="F90" s="128"/>
      <c r="G90" s="131">
        <f t="shared" si="4"/>
        <v>15576.109999999997</v>
      </c>
      <c r="H90" s="130"/>
      <c r="I90" s="127">
        <f>IF(Table44[[#This Row],[CODE]]=1, Table44[ [#This Row],[Account Deposit Amount] ]-Table44[ [#This Row],[Account Withdrawl Amount] ], )</f>
        <v>0</v>
      </c>
      <c r="J90" s="129">
        <f>IF(Table44[[#This Row],[CODE]]=2, Table44[ [#This Row],[Account Deposit Amount] ]-Table44[ [#This Row],[Account Withdrawl Amount] ], )</f>
        <v>0</v>
      </c>
      <c r="K90" s="129">
        <f>IF(Table44[[#This Row],[CODE]]=3, Table44[ [#This Row],[Account Deposit Amount] ]-Table44[ [#This Row],[Account Withdrawl Amount] ], )</f>
        <v>0</v>
      </c>
      <c r="L90" s="128">
        <f>IF(Table44[[#This Row],[CODE]]=4, Table44[ [#This Row],[Account Deposit Amount] ]-Table44[ [#This Row],[Account Withdrawl Amount] ], )</f>
        <v>0</v>
      </c>
      <c r="M90" s="128">
        <f>IF(Table44[[#This Row],[CODE]]=5, Table44[ [#This Row],[Account Deposit Amount] ]-Table44[ [#This Row],[Account Withdrawl Amount] ], )</f>
        <v>0</v>
      </c>
      <c r="N90" s="128">
        <f>IF(Table44[[#This Row],[CODE]]=6, Table44[ [#This Row],[Account Deposit Amount] ]-Table44[ [#This Row],[Account Withdrawl Amount] ], )</f>
        <v>0</v>
      </c>
      <c r="O90" s="128">
        <f>IF(Table44[[#This Row],[CODE]]=11, Table44[ [#This Row],[Account Deposit Amount] ]-Table44[ [#This Row],[Account Withdrawl Amount] ], )</f>
        <v>0</v>
      </c>
      <c r="P90" s="128">
        <f>IF(Table44[[#This Row],[CODE]]=12, Table44[ [#This Row],[Account Deposit Amount] ]-Table44[ [#This Row],[Account Withdrawl Amount] ], )</f>
        <v>0</v>
      </c>
      <c r="Q90" s="128">
        <f>IF(Table44[[#This Row],[CODE]]=13, Table44[ [#This Row],[Account Deposit Amount] ]-Table44[ [#This Row],[Account Withdrawl Amount] ], )</f>
        <v>0</v>
      </c>
      <c r="R90" s="128">
        <f>IF(Table44[[#This Row],[CODE]]=14, Table44[ [#This Row],[Account Deposit Amount] ]-Table44[ [#This Row],[Account Withdrawl Amount] ], )</f>
        <v>0</v>
      </c>
      <c r="S90" s="128">
        <f>IF(Table44[[#This Row],[CODE]]=15, Table44[ [#This Row],[Account Deposit Amount] ]-Table44[ [#This Row],[Account Withdrawl Amount] ], )</f>
        <v>0</v>
      </c>
      <c r="T90" s="128">
        <f>IF(Table44[[#This Row],[CODE]]=16, Table44[ [#This Row],[Account Deposit Amount] ]-Table44[ [#This Row],[Account Withdrawl Amount] ], )</f>
        <v>0</v>
      </c>
      <c r="U90" s="127">
        <f>IF(Table44[[#This Row],[CODE]]=17, Table44[ [#This Row],[Account Deposit Amount] ]-Table44[ [#This Row],[Account Withdrawl Amount] ], )</f>
        <v>0</v>
      </c>
    </row>
    <row r="91" spans="1:21" ht="16.2" thickBot="1">
      <c r="A91" s="130"/>
      <c r="B91" s="133"/>
      <c r="C91" s="130"/>
      <c r="D91" s="132"/>
      <c r="E91" s="128"/>
      <c r="F91" s="128"/>
      <c r="G91" s="131">
        <f t="shared" si="4"/>
        <v>15576.109999999997</v>
      </c>
      <c r="H91" s="130"/>
      <c r="I91" s="127">
        <f>IF(Table44[[#This Row],[CODE]]=1, Table44[ [#This Row],[Account Deposit Amount] ]-Table44[ [#This Row],[Account Withdrawl Amount] ], )</f>
        <v>0</v>
      </c>
      <c r="J91" s="129">
        <f>IF(Table44[[#This Row],[CODE]]=2, Table44[ [#This Row],[Account Deposit Amount] ]-Table44[ [#This Row],[Account Withdrawl Amount] ], )</f>
        <v>0</v>
      </c>
      <c r="K91" s="129">
        <f>IF(Table44[[#This Row],[CODE]]=3, Table44[ [#This Row],[Account Deposit Amount] ]-Table44[ [#This Row],[Account Withdrawl Amount] ], )</f>
        <v>0</v>
      </c>
      <c r="L91" s="128">
        <f>IF(Table44[[#This Row],[CODE]]=4, Table44[ [#This Row],[Account Deposit Amount] ]-Table44[ [#This Row],[Account Withdrawl Amount] ], )</f>
        <v>0</v>
      </c>
      <c r="M91" s="128">
        <f>IF(Table44[[#This Row],[CODE]]=5, Table44[ [#This Row],[Account Deposit Amount] ]-Table44[ [#This Row],[Account Withdrawl Amount] ], )</f>
        <v>0</v>
      </c>
      <c r="N91" s="128">
        <f>IF(Table44[[#This Row],[CODE]]=6, Table44[ [#This Row],[Account Deposit Amount] ]-Table44[ [#This Row],[Account Withdrawl Amount] ], )</f>
        <v>0</v>
      </c>
      <c r="O91" s="128">
        <f>IF(Table44[[#This Row],[CODE]]=11, Table44[ [#This Row],[Account Deposit Amount] ]-Table44[ [#This Row],[Account Withdrawl Amount] ], )</f>
        <v>0</v>
      </c>
      <c r="P91" s="128">
        <f>IF(Table44[[#This Row],[CODE]]=12, Table44[ [#This Row],[Account Deposit Amount] ]-Table44[ [#This Row],[Account Withdrawl Amount] ], )</f>
        <v>0</v>
      </c>
      <c r="Q91" s="128">
        <f>IF(Table44[[#This Row],[CODE]]=13, Table44[ [#This Row],[Account Deposit Amount] ]-Table44[ [#This Row],[Account Withdrawl Amount] ], )</f>
        <v>0</v>
      </c>
      <c r="R91" s="128">
        <f>IF(Table44[[#This Row],[CODE]]=14, Table44[ [#This Row],[Account Deposit Amount] ]-Table44[ [#This Row],[Account Withdrawl Amount] ], )</f>
        <v>0</v>
      </c>
      <c r="S91" s="128">
        <f>IF(Table44[[#This Row],[CODE]]=15, Table44[ [#This Row],[Account Deposit Amount] ]-Table44[ [#This Row],[Account Withdrawl Amount] ], )</f>
        <v>0</v>
      </c>
      <c r="T91" s="128">
        <f>IF(Table44[[#This Row],[CODE]]=16, Table44[ [#This Row],[Account Deposit Amount] ]-Table44[ [#This Row],[Account Withdrawl Amount] ], )</f>
        <v>0</v>
      </c>
      <c r="U91" s="127">
        <f>IF(Table44[[#This Row],[CODE]]=17, Table44[ [#This Row],[Account Deposit Amount] ]-Table44[ [#This Row],[Account Withdrawl Amount] ], )</f>
        <v>0</v>
      </c>
    </row>
    <row r="92" spans="1:21" ht="16.2" thickBot="1">
      <c r="A92" s="130"/>
      <c r="B92" s="133"/>
      <c r="C92" s="130"/>
      <c r="D92" s="132"/>
      <c r="E92" s="128"/>
      <c r="F92" s="128"/>
      <c r="G92" s="131">
        <f t="shared" si="4"/>
        <v>15576.109999999997</v>
      </c>
      <c r="H92" s="130"/>
      <c r="I92" s="127">
        <f>IF(Table44[[#This Row],[CODE]]=1, Table44[ [#This Row],[Account Deposit Amount] ]-Table44[ [#This Row],[Account Withdrawl Amount] ], )</f>
        <v>0</v>
      </c>
      <c r="J92" s="129">
        <f>IF(Table44[[#This Row],[CODE]]=2, Table44[ [#This Row],[Account Deposit Amount] ]-Table44[ [#This Row],[Account Withdrawl Amount] ], )</f>
        <v>0</v>
      </c>
      <c r="K92" s="129">
        <f>IF(Table44[[#This Row],[CODE]]=3, Table44[ [#This Row],[Account Deposit Amount] ]-Table44[ [#This Row],[Account Withdrawl Amount] ], )</f>
        <v>0</v>
      </c>
      <c r="L92" s="128">
        <f>IF(Table44[[#This Row],[CODE]]=4, Table44[ [#This Row],[Account Deposit Amount] ]-Table44[ [#This Row],[Account Withdrawl Amount] ], )</f>
        <v>0</v>
      </c>
      <c r="M92" s="128">
        <f>IF(Table44[[#This Row],[CODE]]=5, Table44[ [#This Row],[Account Deposit Amount] ]-Table44[ [#This Row],[Account Withdrawl Amount] ], )</f>
        <v>0</v>
      </c>
      <c r="N92" s="128">
        <f>IF(Table44[[#This Row],[CODE]]=6, Table44[ [#This Row],[Account Deposit Amount] ]-Table44[ [#This Row],[Account Withdrawl Amount] ], )</f>
        <v>0</v>
      </c>
      <c r="O92" s="128">
        <f>IF(Table44[[#This Row],[CODE]]=11, Table44[ [#This Row],[Account Deposit Amount] ]-Table44[ [#This Row],[Account Withdrawl Amount] ], )</f>
        <v>0</v>
      </c>
      <c r="P92" s="128">
        <f>IF(Table44[[#This Row],[CODE]]=12, Table44[ [#This Row],[Account Deposit Amount] ]-Table44[ [#This Row],[Account Withdrawl Amount] ], )</f>
        <v>0</v>
      </c>
      <c r="Q92" s="128">
        <f>IF(Table44[[#This Row],[CODE]]=13, Table44[ [#This Row],[Account Deposit Amount] ]-Table44[ [#This Row],[Account Withdrawl Amount] ], )</f>
        <v>0</v>
      </c>
      <c r="R92" s="128">
        <f>IF(Table44[[#This Row],[CODE]]=14, Table44[ [#This Row],[Account Deposit Amount] ]-Table44[ [#This Row],[Account Withdrawl Amount] ], )</f>
        <v>0</v>
      </c>
      <c r="S92" s="128">
        <f>IF(Table44[[#This Row],[CODE]]=15, Table44[ [#This Row],[Account Deposit Amount] ]-Table44[ [#This Row],[Account Withdrawl Amount] ], )</f>
        <v>0</v>
      </c>
      <c r="T92" s="128">
        <f>IF(Table44[[#This Row],[CODE]]=16, Table44[ [#This Row],[Account Deposit Amount] ]-Table44[ [#This Row],[Account Withdrawl Amount] ], )</f>
        <v>0</v>
      </c>
      <c r="U92" s="127">
        <f>IF(Table44[[#This Row],[CODE]]=17, Table44[ [#This Row],[Account Deposit Amount] ]-Table44[ [#This Row],[Account Withdrawl Amount] ], )</f>
        <v>0</v>
      </c>
    </row>
    <row r="93" spans="1:21" ht="16.2" thickBot="1">
      <c r="A93" s="130"/>
      <c r="B93" s="133"/>
      <c r="C93" s="130"/>
      <c r="D93" s="132"/>
      <c r="E93" s="128"/>
      <c r="F93" s="128"/>
      <c r="G93" s="131">
        <f t="shared" si="4"/>
        <v>15576.109999999997</v>
      </c>
      <c r="H93" s="130"/>
      <c r="I93" s="127">
        <f>IF(Table44[[#This Row],[CODE]]=1, Table44[ [#This Row],[Account Deposit Amount] ]-Table44[ [#This Row],[Account Withdrawl Amount] ], )</f>
        <v>0</v>
      </c>
      <c r="J93" s="129">
        <f>IF(Table44[[#This Row],[CODE]]=2, Table44[ [#This Row],[Account Deposit Amount] ]-Table44[ [#This Row],[Account Withdrawl Amount] ], )</f>
        <v>0</v>
      </c>
      <c r="K93" s="129">
        <f>IF(Table44[[#This Row],[CODE]]=3, Table44[ [#This Row],[Account Deposit Amount] ]-Table44[ [#This Row],[Account Withdrawl Amount] ], )</f>
        <v>0</v>
      </c>
      <c r="L93" s="128">
        <f>IF(Table44[[#This Row],[CODE]]=4, Table44[ [#This Row],[Account Deposit Amount] ]-Table44[ [#This Row],[Account Withdrawl Amount] ], )</f>
        <v>0</v>
      </c>
      <c r="M93" s="128">
        <f>IF(Table44[[#This Row],[CODE]]=5, Table44[ [#This Row],[Account Deposit Amount] ]-Table44[ [#This Row],[Account Withdrawl Amount] ], )</f>
        <v>0</v>
      </c>
      <c r="N93" s="128">
        <f>IF(Table44[[#This Row],[CODE]]=6, Table44[ [#This Row],[Account Deposit Amount] ]-Table44[ [#This Row],[Account Withdrawl Amount] ], )</f>
        <v>0</v>
      </c>
      <c r="O93" s="128">
        <f>IF(Table44[[#This Row],[CODE]]=11, Table44[ [#This Row],[Account Deposit Amount] ]-Table44[ [#This Row],[Account Withdrawl Amount] ], )</f>
        <v>0</v>
      </c>
      <c r="P93" s="128">
        <f>IF(Table44[[#This Row],[CODE]]=12, Table44[ [#This Row],[Account Deposit Amount] ]-Table44[ [#This Row],[Account Withdrawl Amount] ], )</f>
        <v>0</v>
      </c>
      <c r="Q93" s="128">
        <f>IF(Table44[[#This Row],[CODE]]=13, Table44[ [#This Row],[Account Deposit Amount] ]-Table44[ [#This Row],[Account Withdrawl Amount] ], )</f>
        <v>0</v>
      </c>
      <c r="R93" s="128">
        <f>IF(Table44[[#This Row],[CODE]]=14, Table44[ [#This Row],[Account Deposit Amount] ]-Table44[ [#This Row],[Account Withdrawl Amount] ], )</f>
        <v>0</v>
      </c>
      <c r="S93" s="128">
        <f>IF(Table44[[#This Row],[CODE]]=15, Table44[ [#This Row],[Account Deposit Amount] ]-Table44[ [#This Row],[Account Withdrawl Amount] ], )</f>
        <v>0</v>
      </c>
      <c r="T93" s="128">
        <f>IF(Table44[[#This Row],[CODE]]=16, Table44[ [#This Row],[Account Deposit Amount] ]-Table44[ [#This Row],[Account Withdrawl Amount] ], )</f>
        <v>0</v>
      </c>
      <c r="U93" s="127">
        <f>IF(Table44[[#This Row],[CODE]]=17, Table44[ [#This Row],[Account Deposit Amount] ]-Table44[ [#This Row],[Account Withdrawl Amount] ], )</f>
        <v>0</v>
      </c>
    </row>
    <row r="94" spans="1:21" ht="16.2" thickBot="1">
      <c r="A94" s="130"/>
      <c r="B94" s="133"/>
      <c r="C94" s="130"/>
      <c r="D94" s="132"/>
      <c r="E94" s="128"/>
      <c r="F94" s="128"/>
      <c r="G94" s="131">
        <f t="shared" si="4"/>
        <v>15576.109999999997</v>
      </c>
      <c r="H94" s="130"/>
      <c r="I94" s="127">
        <f>IF(Table44[[#This Row],[CODE]]=1, Table44[ [#This Row],[Account Deposit Amount] ]-Table44[ [#This Row],[Account Withdrawl Amount] ], )</f>
        <v>0</v>
      </c>
      <c r="J94" s="129">
        <f>IF(Table44[[#This Row],[CODE]]=2, Table44[ [#This Row],[Account Deposit Amount] ]-Table44[ [#This Row],[Account Withdrawl Amount] ], )</f>
        <v>0</v>
      </c>
      <c r="K94" s="129">
        <f>IF(Table44[[#This Row],[CODE]]=3, Table44[ [#This Row],[Account Deposit Amount] ]-Table44[ [#This Row],[Account Withdrawl Amount] ], )</f>
        <v>0</v>
      </c>
      <c r="L94" s="128">
        <f>IF(Table44[[#This Row],[CODE]]=4, Table44[ [#This Row],[Account Deposit Amount] ]-Table44[ [#This Row],[Account Withdrawl Amount] ], )</f>
        <v>0</v>
      </c>
      <c r="M94" s="128">
        <f>IF(Table44[[#This Row],[CODE]]=5, Table44[ [#This Row],[Account Deposit Amount] ]-Table44[ [#This Row],[Account Withdrawl Amount] ], )</f>
        <v>0</v>
      </c>
      <c r="N94" s="128">
        <f>IF(Table44[[#This Row],[CODE]]=6, Table44[ [#This Row],[Account Deposit Amount] ]-Table44[ [#This Row],[Account Withdrawl Amount] ], )</f>
        <v>0</v>
      </c>
      <c r="O94" s="128">
        <f>IF(Table44[[#This Row],[CODE]]=11, Table44[ [#This Row],[Account Deposit Amount] ]-Table44[ [#This Row],[Account Withdrawl Amount] ], )</f>
        <v>0</v>
      </c>
      <c r="P94" s="128">
        <f>IF(Table44[[#This Row],[CODE]]=12, Table44[ [#This Row],[Account Deposit Amount] ]-Table44[ [#This Row],[Account Withdrawl Amount] ], )</f>
        <v>0</v>
      </c>
      <c r="Q94" s="128">
        <f>IF(Table44[[#This Row],[CODE]]=13, Table44[ [#This Row],[Account Deposit Amount] ]-Table44[ [#This Row],[Account Withdrawl Amount] ], )</f>
        <v>0</v>
      </c>
      <c r="R94" s="128">
        <f>IF(Table44[[#This Row],[CODE]]=14, Table44[ [#This Row],[Account Deposit Amount] ]-Table44[ [#This Row],[Account Withdrawl Amount] ], )</f>
        <v>0</v>
      </c>
      <c r="S94" s="128">
        <f>IF(Table44[[#This Row],[CODE]]=15, Table44[ [#This Row],[Account Deposit Amount] ]-Table44[ [#This Row],[Account Withdrawl Amount] ], )</f>
        <v>0</v>
      </c>
      <c r="T94" s="128">
        <f>IF(Table44[[#This Row],[CODE]]=16, Table44[ [#This Row],[Account Deposit Amount] ]-Table44[ [#This Row],[Account Withdrawl Amount] ], )</f>
        <v>0</v>
      </c>
      <c r="U94" s="127">
        <f>IF(Table44[[#This Row],[CODE]]=17, Table44[ [#This Row],[Account Deposit Amount] ]-Table44[ [#This Row],[Account Withdrawl Amount] ], )</f>
        <v>0</v>
      </c>
    </row>
    <row r="95" spans="1:21" ht="16.2" thickBot="1">
      <c r="A95" s="130"/>
      <c r="B95" s="133"/>
      <c r="C95" s="130"/>
      <c r="D95" s="132"/>
      <c r="E95" s="128"/>
      <c r="F95" s="128"/>
      <c r="G95" s="131">
        <f t="shared" si="4"/>
        <v>15576.109999999997</v>
      </c>
      <c r="H95" s="130"/>
      <c r="I95" s="127">
        <f>IF(Table44[[#This Row],[CODE]]=1, Table44[ [#This Row],[Account Deposit Amount] ]-Table44[ [#This Row],[Account Withdrawl Amount] ], )</f>
        <v>0</v>
      </c>
      <c r="J95" s="129">
        <f>IF(Table44[[#This Row],[CODE]]=2, Table44[ [#This Row],[Account Deposit Amount] ]-Table44[ [#This Row],[Account Withdrawl Amount] ], )</f>
        <v>0</v>
      </c>
      <c r="K95" s="129">
        <f>IF(Table44[[#This Row],[CODE]]=3, Table44[ [#This Row],[Account Deposit Amount] ]-Table44[ [#This Row],[Account Withdrawl Amount] ], )</f>
        <v>0</v>
      </c>
      <c r="L95" s="128">
        <f>IF(Table44[[#This Row],[CODE]]=4, Table44[ [#This Row],[Account Deposit Amount] ]-Table44[ [#This Row],[Account Withdrawl Amount] ], )</f>
        <v>0</v>
      </c>
      <c r="M95" s="128">
        <f>IF(Table44[[#This Row],[CODE]]=5, Table44[ [#This Row],[Account Deposit Amount] ]-Table44[ [#This Row],[Account Withdrawl Amount] ], )</f>
        <v>0</v>
      </c>
      <c r="N95" s="128">
        <f>IF(Table44[[#This Row],[CODE]]=6, Table44[ [#This Row],[Account Deposit Amount] ]-Table44[ [#This Row],[Account Withdrawl Amount] ], )</f>
        <v>0</v>
      </c>
      <c r="O95" s="128">
        <f>IF(Table44[[#This Row],[CODE]]=11, Table44[ [#This Row],[Account Deposit Amount] ]-Table44[ [#This Row],[Account Withdrawl Amount] ], )</f>
        <v>0</v>
      </c>
      <c r="P95" s="128">
        <f>IF(Table44[[#This Row],[CODE]]=12, Table44[ [#This Row],[Account Deposit Amount] ]-Table44[ [#This Row],[Account Withdrawl Amount] ], )</f>
        <v>0</v>
      </c>
      <c r="Q95" s="128">
        <f>IF(Table44[[#This Row],[CODE]]=13, Table44[ [#This Row],[Account Deposit Amount] ]-Table44[ [#This Row],[Account Withdrawl Amount] ], )</f>
        <v>0</v>
      </c>
      <c r="R95" s="128">
        <f>IF(Table44[[#This Row],[CODE]]=14, Table44[ [#This Row],[Account Deposit Amount] ]-Table44[ [#This Row],[Account Withdrawl Amount] ], )</f>
        <v>0</v>
      </c>
      <c r="S95" s="128">
        <f>IF(Table44[[#This Row],[CODE]]=15, Table44[ [#This Row],[Account Deposit Amount] ]-Table44[ [#This Row],[Account Withdrawl Amount] ], )</f>
        <v>0</v>
      </c>
      <c r="T95" s="128">
        <f>IF(Table44[[#This Row],[CODE]]=16, Table44[ [#This Row],[Account Deposit Amount] ]-Table44[ [#This Row],[Account Withdrawl Amount] ], )</f>
        <v>0</v>
      </c>
      <c r="U95" s="127">
        <f>IF(Table44[[#This Row],[CODE]]=17, Table44[ [#This Row],[Account Deposit Amount] ]-Table44[ [#This Row],[Account Withdrawl Amount] ], )</f>
        <v>0</v>
      </c>
    </row>
    <row r="96" spans="1:21" ht="16.2" thickBot="1">
      <c r="A96" s="130"/>
      <c r="B96" s="133"/>
      <c r="C96" s="130"/>
      <c r="D96" s="132"/>
      <c r="E96" s="128"/>
      <c r="F96" s="128"/>
      <c r="G96" s="131">
        <f t="shared" si="4"/>
        <v>15576.109999999997</v>
      </c>
      <c r="H96" s="130"/>
      <c r="I96" s="127">
        <f>IF(Table44[[#This Row],[CODE]]=1, Table44[ [#This Row],[Account Deposit Amount] ]-Table44[ [#This Row],[Account Withdrawl Amount] ], )</f>
        <v>0</v>
      </c>
      <c r="J96" s="129">
        <f>IF(Table44[[#This Row],[CODE]]=2, Table44[ [#This Row],[Account Deposit Amount] ]-Table44[ [#This Row],[Account Withdrawl Amount] ], )</f>
        <v>0</v>
      </c>
      <c r="K96" s="129">
        <f>IF(Table44[[#This Row],[CODE]]=3, Table44[ [#This Row],[Account Deposit Amount] ]-Table44[ [#This Row],[Account Withdrawl Amount] ], )</f>
        <v>0</v>
      </c>
      <c r="L96" s="128">
        <f>IF(Table44[[#This Row],[CODE]]=4, Table44[ [#This Row],[Account Deposit Amount] ]-Table44[ [#This Row],[Account Withdrawl Amount] ], )</f>
        <v>0</v>
      </c>
      <c r="M96" s="128">
        <f>IF(Table44[[#This Row],[CODE]]=5, Table44[ [#This Row],[Account Deposit Amount] ]-Table44[ [#This Row],[Account Withdrawl Amount] ], )</f>
        <v>0</v>
      </c>
      <c r="N96" s="128">
        <f>IF(Table44[[#This Row],[CODE]]=6, Table44[ [#This Row],[Account Deposit Amount] ]-Table44[ [#This Row],[Account Withdrawl Amount] ], )</f>
        <v>0</v>
      </c>
      <c r="O96" s="128">
        <f>IF(Table44[[#This Row],[CODE]]=11, Table44[ [#This Row],[Account Deposit Amount] ]-Table44[ [#This Row],[Account Withdrawl Amount] ], )</f>
        <v>0</v>
      </c>
      <c r="P96" s="128">
        <f>IF(Table44[[#This Row],[CODE]]=12, Table44[ [#This Row],[Account Deposit Amount] ]-Table44[ [#This Row],[Account Withdrawl Amount] ], )</f>
        <v>0</v>
      </c>
      <c r="Q96" s="128">
        <f>IF(Table44[[#This Row],[CODE]]=13, Table44[ [#This Row],[Account Deposit Amount] ]-Table44[ [#This Row],[Account Withdrawl Amount] ], )</f>
        <v>0</v>
      </c>
      <c r="R96" s="128">
        <f>IF(Table44[[#This Row],[CODE]]=14, Table44[ [#This Row],[Account Deposit Amount] ]-Table44[ [#This Row],[Account Withdrawl Amount] ], )</f>
        <v>0</v>
      </c>
      <c r="S96" s="128">
        <f>IF(Table44[[#This Row],[CODE]]=15, Table44[ [#This Row],[Account Deposit Amount] ]-Table44[ [#This Row],[Account Withdrawl Amount] ], )</f>
        <v>0</v>
      </c>
      <c r="T96" s="128">
        <f>IF(Table44[[#This Row],[CODE]]=16, Table44[ [#This Row],[Account Deposit Amount] ]-Table44[ [#This Row],[Account Withdrawl Amount] ], )</f>
        <v>0</v>
      </c>
      <c r="U96" s="127">
        <f>IF(Table44[[#This Row],[CODE]]=17, Table44[ [#This Row],[Account Deposit Amount] ]-Table44[ [#This Row],[Account Withdrawl Amount] ], )</f>
        <v>0</v>
      </c>
    </row>
    <row r="97" spans="1:21" ht="16.2" thickBot="1">
      <c r="A97" s="130"/>
      <c r="B97" s="133"/>
      <c r="C97" s="130"/>
      <c r="D97" s="132"/>
      <c r="E97" s="128"/>
      <c r="F97" s="128"/>
      <c r="G97" s="131">
        <f t="shared" si="4"/>
        <v>15576.109999999997</v>
      </c>
      <c r="H97" s="130"/>
      <c r="I97" s="127">
        <f>IF(Table44[[#This Row],[CODE]]=1, Table44[ [#This Row],[Account Deposit Amount] ]-Table44[ [#This Row],[Account Withdrawl Amount] ], )</f>
        <v>0</v>
      </c>
      <c r="J97" s="129">
        <f>IF(Table44[[#This Row],[CODE]]=2, Table44[ [#This Row],[Account Deposit Amount] ]-Table44[ [#This Row],[Account Withdrawl Amount] ], )</f>
        <v>0</v>
      </c>
      <c r="K97" s="129">
        <f>IF(Table44[[#This Row],[CODE]]=3, Table44[ [#This Row],[Account Deposit Amount] ]-Table44[ [#This Row],[Account Withdrawl Amount] ], )</f>
        <v>0</v>
      </c>
      <c r="L97" s="128">
        <f>IF(Table44[[#This Row],[CODE]]=4, Table44[ [#This Row],[Account Deposit Amount] ]-Table44[ [#This Row],[Account Withdrawl Amount] ], )</f>
        <v>0</v>
      </c>
      <c r="M97" s="128">
        <f>IF(Table44[[#This Row],[CODE]]=5, Table44[ [#This Row],[Account Deposit Amount] ]-Table44[ [#This Row],[Account Withdrawl Amount] ], )</f>
        <v>0</v>
      </c>
      <c r="N97" s="128">
        <f>IF(Table44[[#This Row],[CODE]]=6, Table44[ [#This Row],[Account Deposit Amount] ]-Table44[ [#This Row],[Account Withdrawl Amount] ], )</f>
        <v>0</v>
      </c>
      <c r="O97" s="128">
        <f>IF(Table44[[#This Row],[CODE]]=11, Table44[ [#This Row],[Account Deposit Amount] ]-Table44[ [#This Row],[Account Withdrawl Amount] ], )</f>
        <v>0</v>
      </c>
      <c r="P97" s="128">
        <f>IF(Table44[[#This Row],[CODE]]=12, Table44[ [#This Row],[Account Deposit Amount] ]-Table44[ [#This Row],[Account Withdrawl Amount] ], )</f>
        <v>0</v>
      </c>
      <c r="Q97" s="128">
        <f>IF(Table44[[#This Row],[CODE]]=13, Table44[ [#This Row],[Account Deposit Amount] ]-Table44[ [#This Row],[Account Withdrawl Amount] ], )</f>
        <v>0</v>
      </c>
      <c r="R97" s="128">
        <f>IF(Table44[[#This Row],[CODE]]=14, Table44[ [#This Row],[Account Deposit Amount] ]-Table44[ [#This Row],[Account Withdrawl Amount] ], )</f>
        <v>0</v>
      </c>
      <c r="S97" s="128">
        <f>IF(Table44[[#This Row],[CODE]]=15, Table44[ [#This Row],[Account Deposit Amount] ]-Table44[ [#This Row],[Account Withdrawl Amount] ], )</f>
        <v>0</v>
      </c>
      <c r="T97" s="128">
        <f>IF(Table44[[#This Row],[CODE]]=16, Table44[ [#This Row],[Account Deposit Amount] ]-Table44[ [#This Row],[Account Withdrawl Amount] ], )</f>
        <v>0</v>
      </c>
      <c r="U97" s="127">
        <f>IF(Table44[[#This Row],[CODE]]=17, Table44[ [#This Row],[Account Deposit Amount] ]-Table44[ [#This Row],[Account Withdrawl Amount] ], )</f>
        <v>0</v>
      </c>
    </row>
    <row r="98" spans="1:21" ht="16.2" thickBot="1">
      <c r="A98" s="130"/>
      <c r="B98" s="133"/>
      <c r="C98" s="130"/>
      <c r="D98" s="132"/>
      <c r="E98" s="128"/>
      <c r="F98" s="128"/>
      <c r="G98" s="131">
        <f t="shared" si="4"/>
        <v>15576.109999999997</v>
      </c>
      <c r="H98" s="130"/>
      <c r="I98" s="127">
        <f>IF(Table44[[#This Row],[CODE]]=1, Table44[ [#This Row],[Account Deposit Amount] ]-Table44[ [#This Row],[Account Withdrawl Amount] ], )</f>
        <v>0</v>
      </c>
      <c r="J98" s="129">
        <f>IF(Table44[[#This Row],[CODE]]=2, Table44[ [#This Row],[Account Deposit Amount] ]-Table44[ [#This Row],[Account Withdrawl Amount] ], )</f>
        <v>0</v>
      </c>
      <c r="K98" s="129">
        <f>IF(Table44[[#This Row],[CODE]]=3, Table44[ [#This Row],[Account Deposit Amount] ]-Table44[ [#This Row],[Account Withdrawl Amount] ], )</f>
        <v>0</v>
      </c>
      <c r="L98" s="128">
        <f>IF(Table44[[#This Row],[CODE]]=4, Table44[ [#This Row],[Account Deposit Amount] ]-Table44[ [#This Row],[Account Withdrawl Amount] ], )</f>
        <v>0</v>
      </c>
      <c r="M98" s="128">
        <f>IF(Table44[[#This Row],[CODE]]=5, Table44[ [#This Row],[Account Deposit Amount] ]-Table44[ [#This Row],[Account Withdrawl Amount] ], )</f>
        <v>0</v>
      </c>
      <c r="N98" s="128">
        <f>IF(Table44[[#This Row],[CODE]]=6, Table44[ [#This Row],[Account Deposit Amount] ]-Table44[ [#This Row],[Account Withdrawl Amount] ], )</f>
        <v>0</v>
      </c>
      <c r="O98" s="128">
        <f>IF(Table44[[#This Row],[CODE]]=11, Table44[ [#This Row],[Account Deposit Amount] ]-Table44[ [#This Row],[Account Withdrawl Amount] ], )</f>
        <v>0</v>
      </c>
      <c r="P98" s="128">
        <f>IF(Table44[[#This Row],[CODE]]=12, Table44[ [#This Row],[Account Deposit Amount] ]-Table44[ [#This Row],[Account Withdrawl Amount] ], )</f>
        <v>0</v>
      </c>
      <c r="Q98" s="128">
        <f>IF(Table44[[#This Row],[CODE]]=13, Table44[ [#This Row],[Account Deposit Amount] ]-Table44[ [#This Row],[Account Withdrawl Amount] ], )</f>
        <v>0</v>
      </c>
      <c r="R98" s="128">
        <f>IF(Table44[[#This Row],[CODE]]=14, Table44[ [#This Row],[Account Deposit Amount] ]-Table44[ [#This Row],[Account Withdrawl Amount] ], )</f>
        <v>0</v>
      </c>
      <c r="S98" s="128">
        <f>IF(Table44[[#This Row],[CODE]]=15, Table44[ [#This Row],[Account Deposit Amount] ]-Table44[ [#This Row],[Account Withdrawl Amount] ], )</f>
        <v>0</v>
      </c>
      <c r="T98" s="128">
        <f>IF(Table44[[#This Row],[CODE]]=16, Table44[ [#This Row],[Account Deposit Amount] ]-Table44[ [#This Row],[Account Withdrawl Amount] ], )</f>
        <v>0</v>
      </c>
      <c r="U98" s="127">
        <f>IF(Table44[[#This Row],[CODE]]=17, Table44[ [#This Row],[Account Deposit Amount] ]-Table44[ [#This Row],[Account Withdrawl Amount] ], )</f>
        <v>0</v>
      </c>
    </row>
    <row r="99" spans="1:21" ht="16.2" thickBot="1">
      <c r="A99" s="130"/>
      <c r="B99" s="133"/>
      <c r="C99" s="130"/>
      <c r="D99" s="132"/>
      <c r="E99" s="128"/>
      <c r="F99" s="128"/>
      <c r="G99" s="131">
        <f t="shared" si="4"/>
        <v>15576.109999999997</v>
      </c>
      <c r="H99" s="130"/>
      <c r="I99" s="127">
        <f>IF(Table44[[#This Row],[CODE]]=1, Table44[ [#This Row],[Account Deposit Amount] ]-Table44[ [#This Row],[Account Withdrawl Amount] ], )</f>
        <v>0</v>
      </c>
      <c r="J99" s="129">
        <f>IF(Table44[[#This Row],[CODE]]=2, Table44[ [#This Row],[Account Deposit Amount] ]-Table44[ [#This Row],[Account Withdrawl Amount] ], )</f>
        <v>0</v>
      </c>
      <c r="K99" s="129">
        <f>IF(Table44[[#This Row],[CODE]]=3, Table44[ [#This Row],[Account Deposit Amount] ]-Table44[ [#This Row],[Account Withdrawl Amount] ], )</f>
        <v>0</v>
      </c>
      <c r="L99" s="128">
        <f>IF(Table44[[#This Row],[CODE]]=4, Table44[ [#This Row],[Account Deposit Amount] ]-Table44[ [#This Row],[Account Withdrawl Amount] ], )</f>
        <v>0</v>
      </c>
      <c r="M99" s="128">
        <f>IF(Table44[[#This Row],[CODE]]=5, Table44[ [#This Row],[Account Deposit Amount] ]-Table44[ [#This Row],[Account Withdrawl Amount] ], )</f>
        <v>0</v>
      </c>
      <c r="N99" s="128">
        <f>IF(Table44[[#This Row],[CODE]]=6, Table44[ [#This Row],[Account Deposit Amount] ]-Table44[ [#This Row],[Account Withdrawl Amount] ], )</f>
        <v>0</v>
      </c>
      <c r="O99" s="128">
        <f>IF(Table44[[#This Row],[CODE]]=11, Table44[ [#This Row],[Account Deposit Amount] ]-Table44[ [#This Row],[Account Withdrawl Amount] ], )</f>
        <v>0</v>
      </c>
      <c r="P99" s="128">
        <f>IF(Table44[[#This Row],[CODE]]=12, Table44[ [#This Row],[Account Deposit Amount] ]-Table44[ [#This Row],[Account Withdrawl Amount] ], )</f>
        <v>0</v>
      </c>
      <c r="Q99" s="128">
        <f>IF(Table44[[#This Row],[CODE]]=13, Table44[ [#This Row],[Account Deposit Amount] ]-Table44[ [#This Row],[Account Withdrawl Amount] ], )</f>
        <v>0</v>
      </c>
      <c r="R99" s="128">
        <f>IF(Table44[[#This Row],[CODE]]=14, Table44[ [#This Row],[Account Deposit Amount] ]-Table44[ [#This Row],[Account Withdrawl Amount] ], )</f>
        <v>0</v>
      </c>
      <c r="S99" s="128">
        <f>IF(Table44[[#This Row],[CODE]]=15, Table44[ [#This Row],[Account Deposit Amount] ]-Table44[ [#This Row],[Account Withdrawl Amount] ], )</f>
        <v>0</v>
      </c>
      <c r="T99" s="128">
        <f>IF(Table44[[#This Row],[CODE]]=16, Table44[ [#This Row],[Account Deposit Amount] ]-Table44[ [#This Row],[Account Withdrawl Amount] ], )</f>
        <v>0</v>
      </c>
      <c r="U99" s="127">
        <f>IF(Table44[[#This Row],[CODE]]=17, Table44[ [#This Row],[Account Deposit Amount] ]-Table44[ [#This Row],[Account Withdrawl Amount] ], )</f>
        <v>0</v>
      </c>
    </row>
    <row r="100" spans="1:21" ht="16.2" thickBot="1">
      <c r="A100" s="130"/>
      <c r="B100" s="133"/>
      <c r="C100" s="130"/>
      <c r="D100" s="132"/>
      <c r="E100" s="128"/>
      <c r="F100" s="128"/>
      <c r="G100" s="131">
        <f t="shared" si="4"/>
        <v>15576.109999999997</v>
      </c>
      <c r="H100" s="130"/>
      <c r="I100" s="127">
        <f>IF(Table44[[#This Row],[CODE]]=1, Table44[ [#This Row],[Account Deposit Amount] ]-Table44[ [#This Row],[Account Withdrawl Amount] ], )</f>
        <v>0</v>
      </c>
      <c r="J100" s="129">
        <f>IF(Table44[[#This Row],[CODE]]=2, Table44[ [#This Row],[Account Deposit Amount] ]-Table44[ [#This Row],[Account Withdrawl Amount] ], )</f>
        <v>0</v>
      </c>
      <c r="K100" s="129">
        <f>IF(Table44[[#This Row],[CODE]]=3, Table44[ [#This Row],[Account Deposit Amount] ]-Table44[ [#This Row],[Account Withdrawl Amount] ], )</f>
        <v>0</v>
      </c>
      <c r="L100" s="128">
        <f>IF(Table44[[#This Row],[CODE]]=4, Table44[ [#This Row],[Account Deposit Amount] ]-Table44[ [#This Row],[Account Withdrawl Amount] ], )</f>
        <v>0</v>
      </c>
      <c r="M100" s="128">
        <f>IF(Table44[[#This Row],[CODE]]=5, Table44[ [#This Row],[Account Deposit Amount] ]-Table44[ [#This Row],[Account Withdrawl Amount] ], )</f>
        <v>0</v>
      </c>
      <c r="N100" s="128">
        <f>IF(Table44[[#This Row],[CODE]]=6, Table44[ [#This Row],[Account Deposit Amount] ]-Table44[ [#This Row],[Account Withdrawl Amount] ], )</f>
        <v>0</v>
      </c>
      <c r="O100" s="128">
        <f>IF(Table44[[#This Row],[CODE]]=11, Table44[ [#This Row],[Account Deposit Amount] ]-Table44[ [#This Row],[Account Withdrawl Amount] ], )</f>
        <v>0</v>
      </c>
      <c r="P100" s="128">
        <f>IF(Table44[[#This Row],[CODE]]=12, Table44[ [#This Row],[Account Deposit Amount] ]-Table44[ [#This Row],[Account Withdrawl Amount] ], )</f>
        <v>0</v>
      </c>
      <c r="Q100" s="128">
        <f>IF(Table44[[#This Row],[CODE]]=13, Table44[ [#This Row],[Account Deposit Amount] ]-Table44[ [#This Row],[Account Withdrawl Amount] ], )</f>
        <v>0</v>
      </c>
      <c r="R100" s="128">
        <f>IF(Table44[[#This Row],[CODE]]=14, Table44[ [#This Row],[Account Deposit Amount] ]-Table44[ [#This Row],[Account Withdrawl Amount] ], )</f>
        <v>0</v>
      </c>
      <c r="S100" s="128">
        <f>IF(Table44[[#This Row],[CODE]]=15, Table44[ [#This Row],[Account Deposit Amount] ]-Table44[ [#This Row],[Account Withdrawl Amount] ], )</f>
        <v>0</v>
      </c>
      <c r="T100" s="128">
        <f>IF(Table44[[#This Row],[CODE]]=16, Table44[ [#This Row],[Account Deposit Amount] ]-Table44[ [#This Row],[Account Withdrawl Amount] ], )</f>
        <v>0</v>
      </c>
      <c r="U100" s="127">
        <f>IF(Table44[[#This Row],[CODE]]=17, Table44[ [#This Row],[Account Deposit Amount] ]-Table44[ [#This Row],[Account Withdrawl Amount] ], )</f>
        <v>0</v>
      </c>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353E8-57B5-4964-A5FB-DD48DD8E7501}">
  <dimension ref="A1:AA100"/>
  <sheetViews>
    <sheetView zoomScale="70" zoomScaleNormal="70" workbookViewId="0">
      <selection activeCell="G4" sqref="G4"/>
    </sheetView>
  </sheetViews>
  <sheetFormatPr defaultColWidth="12.44140625" defaultRowHeight="15.6"/>
  <cols>
    <col min="1" max="2" width="12.44140625" style="126"/>
    <col min="3" max="3" width="33.5546875" style="126" customWidth="1"/>
    <col min="4" max="16384" width="12.44140625" style="126"/>
  </cols>
  <sheetData>
    <row r="1" spans="1:27" s="4" customFormat="1" ht="15.75" customHeight="1" thickBot="1">
      <c r="A1" s="16"/>
      <c r="B1" s="2"/>
      <c r="C1" s="1"/>
      <c r="D1" s="1"/>
      <c r="E1" s="29"/>
      <c r="F1" s="30"/>
      <c r="G1" s="3" t="s">
        <v>180</v>
      </c>
      <c r="H1" s="3"/>
      <c r="I1" s="338" t="s">
        <v>49</v>
      </c>
      <c r="J1" s="339"/>
      <c r="K1" s="339"/>
      <c r="L1" s="339"/>
      <c r="M1" s="340">
        <f>SUM(I2:N2)</f>
        <v>2893.8</v>
      </c>
      <c r="N1" s="340"/>
      <c r="O1" s="344" t="s">
        <v>50</v>
      </c>
      <c r="P1" s="344"/>
      <c r="Q1" s="344"/>
      <c r="R1" s="344"/>
      <c r="S1" s="344"/>
      <c r="T1" s="344"/>
      <c r="U1" s="342">
        <f>SUM(O2:V2)</f>
        <v>-618.32000000000005</v>
      </c>
      <c r="V1" s="343"/>
      <c r="W1" s="1"/>
      <c r="X1" s="1"/>
      <c r="Y1" s="1"/>
      <c r="Z1" s="1"/>
      <c r="AA1" s="1"/>
    </row>
    <row r="2" spans="1:27" s="4" customFormat="1" ht="12.6" thickBot="1">
      <c r="A2" s="1"/>
      <c r="B2" s="2"/>
      <c r="C2" s="1"/>
      <c r="D2" s="1" t="s">
        <v>51</v>
      </c>
      <c r="E2" s="5">
        <f>SUM(E4:E1173)</f>
        <v>3995</v>
      </c>
      <c r="F2" s="5">
        <f>SUM(F4:F1173)</f>
        <v>1719.5200000000002</v>
      </c>
      <c r="G2" s="6">
        <f>G4+E2-F2</f>
        <v>17851.589999999993</v>
      </c>
      <c r="H2" s="81"/>
      <c r="I2" s="7">
        <f t="shared" ref="I2:T2" si="0">SUM(I4:I1173)</f>
        <v>-764.2</v>
      </c>
      <c r="J2" s="8">
        <f t="shared" si="0"/>
        <v>3665</v>
      </c>
      <c r="K2" s="8">
        <f t="shared" si="0"/>
        <v>0</v>
      </c>
      <c r="L2" s="7">
        <f t="shared" si="0"/>
        <v>0</v>
      </c>
      <c r="M2" s="7">
        <f t="shared" si="0"/>
        <v>0</v>
      </c>
      <c r="N2" s="7">
        <f t="shared" si="0"/>
        <v>-7</v>
      </c>
      <c r="O2" s="9">
        <f t="shared" si="0"/>
        <v>-25</v>
      </c>
      <c r="P2" s="9">
        <f t="shared" si="0"/>
        <v>-8.16</v>
      </c>
      <c r="Q2" s="9">
        <f t="shared" si="0"/>
        <v>-585.16000000000008</v>
      </c>
      <c r="R2" s="9">
        <f t="shared" si="0"/>
        <v>0</v>
      </c>
      <c r="S2" s="9">
        <f t="shared" si="0"/>
        <v>0</v>
      </c>
      <c r="T2" s="9">
        <f t="shared" si="0"/>
        <v>0</v>
      </c>
      <c r="U2" s="9">
        <f t="shared" ref="U2:V2" si="1">SUM(U4:U1006)</f>
        <v>0</v>
      </c>
      <c r="V2" s="9">
        <f t="shared" si="1"/>
        <v>0</v>
      </c>
      <c r="W2" s="1"/>
      <c r="X2" s="1"/>
      <c r="Y2" s="1"/>
      <c r="Z2" s="1"/>
      <c r="AA2" s="1"/>
    </row>
    <row r="3" spans="1:27"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6" t="s">
        <v>198</v>
      </c>
      <c r="W3" s="14"/>
      <c r="X3" s="14"/>
      <c r="Y3" s="14"/>
      <c r="Z3" s="14"/>
      <c r="AA3" s="14"/>
    </row>
    <row r="4" spans="1:27" ht="16.2" thickBot="1">
      <c r="A4" s="138"/>
      <c r="B4" s="139"/>
      <c r="C4" s="146" t="s">
        <v>448</v>
      </c>
      <c r="D4" s="138"/>
      <c r="E4" s="145"/>
      <c r="F4" s="144"/>
      <c r="G4" s="143">
        <f>Dec!G2</f>
        <v>15576.109999999995</v>
      </c>
      <c r="H4" s="155"/>
      <c r="I4" s="127">
        <f>IF(Table45[[#This Row],[CODE]]=1, Table45[ [#This Row],[Account Deposit Amount] ]-Table45[ [#This Row],[Account Withdrawl Amount] ], )</f>
        <v>0</v>
      </c>
      <c r="J4" s="142">
        <f>IF(Table45[[#This Row],[CODE]]=2, Table45[ [#This Row],[Account Deposit Amount] ]-Table45[ [#This Row],[Account Withdrawl Amount] ], )</f>
        <v>0</v>
      </c>
      <c r="K4" s="142">
        <f>IF(Table45[[#This Row],[CODE]]=3, Table45[ [#This Row],[Account Deposit Amount] ]-Table45[ [#This Row],[Account Withdrawl Amount] ], )</f>
        <v>0</v>
      </c>
      <c r="L4" s="141">
        <f>IF(Table45[[#This Row],[CODE]]=4, Table45[ [#This Row],[Account Deposit Amount] ]-Table45[ [#This Row],[Account Withdrawl Amount] ], )</f>
        <v>0</v>
      </c>
      <c r="M4" s="141">
        <f>IF(Table45[[#This Row],[CODE]]=5, Table45[ [#This Row],[Account Deposit Amount] ]-Table45[ [#This Row],[Account Withdrawl Amount] ], )</f>
        <v>0</v>
      </c>
      <c r="N4" s="141">
        <f>IF(Table45[[#This Row],[CODE]]=6, Table45[ [#This Row],[Account Deposit Amount] ]-Table45[ [#This Row],[Account Withdrawl Amount] ], )</f>
        <v>0</v>
      </c>
      <c r="O4" s="141">
        <f>IF(Table45[[#This Row],[CODE]]=11, Table45[ [#This Row],[Account Deposit Amount] ]-Table45[ [#This Row],[Account Withdrawl Amount] ], )</f>
        <v>0</v>
      </c>
      <c r="P4" s="141">
        <f>IF(Table45[[#This Row],[CODE]]=12, Table45[ [#This Row],[Account Deposit Amount] ]-Table45[ [#This Row],[Account Withdrawl Amount] ], )</f>
        <v>0</v>
      </c>
      <c r="Q4" s="141">
        <f>IF(Table45[[#This Row],[CODE]]=13, Table45[ [#This Row],[Account Deposit Amount] ]-Table45[ [#This Row],[Account Withdrawl Amount] ], )</f>
        <v>0</v>
      </c>
      <c r="R4" s="141">
        <f>IF(Table45[[#This Row],[CODE]]=14, Table45[ [#This Row],[Account Deposit Amount] ]-Table45[ [#This Row],[Account Withdrawl Amount] ], )</f>
        <v>0</v>
      </c>
      <c r="S4" s="141">
        <f>IF(Table45[[#This Row],[CODE]]=15, Table45[ [#This Row],[Account Deposit Amount] ]-Table45[ [#This Row],[Account Withdrawl Amount] ], )</f>
        <v>0</v>
      </c>
      <c r="T4" s="141">
        <f>IF(Table45[[#This Row],[CODE]]=16, Table45[ [#This Row],[Account Deposit Amount] ]-Table45[ [#This Row],[Account Withdrawl Amount] ], )</f>
        <v>0</v>
      </c>
      <c r="U4" s="141">
        <f>IF(Table45[[#This Row],[CODE]]=17, Table45[ [#This Row],[Account Deposit Amount] ]-Table45[ [#This Row],[Account Withdrawl Amount] ], )</f>
        <v>0</v>
      </c>
    </row>
    <row r="5" spans="1:27" ht="16.2" thickBot="1">
      <c r="A5" s="150" t="s">
        <v>241</v>
      </c>
      <c r="B5" s="151">
        <v>44930</v>
      </c>
      <c r="C5" s="150" t="s">
        <v>268</v>
      </c>
      <c r="D5" s="138" t="s">
        <v>449</v>
      </c>
      <c r="E5" s="136"/>
      <c r="F5" s="150">
        <v>40.81</v>
      </c>
      <c r="G5" s="134">
        <f t="shared" ref="G5:G36" si="2">G4+E5-F5</f>
        <v>15535.299999999996</v>
      </c>
      <c r="H5" s="138">
        <v>13</v>
      </c>
      <c r="I5" s="127">
        <f>IF(Table45[[#This Row],[CODE]]=1, Table45[ [#This Row],[Account Deposit Amount] ]-Table45[ [#This Row],[Account Withdrawl Amount] ], )</f>
        <v>0</v>
      </c>
      <c r="J5" s="137">
        <f>IF(Table45[[#This Row],[CODE]]=2, Table45[ [#This Row],[Account Deposit Amount] ]-Table45[ [#This Row],[Account Withdrawl Amount] ], )</f>
        <v>0</v>
      </c>
      <c r="K5" s="137">
        <f>IF(Table45[[#This Row],[CODE]]=3, Table45[ [#This Row],[Account Deposit Amount] ]-Table45[ [#This Row],[Account Withdrawl Amount] ], )</f>
        <v>0</v>
      </c>
      <c r="L5" s="136">
        <f>IF(Table45[[#This Row],[CODE]]=4, Table45[ [#This Row],[Account Deposit Amount] ]-Table45[ [#This Row],[Account Withdrawl Amount] ], )</f>
        <v>0</v>
      </c>
      <c r="M5" s="136">
        <f>IF(Table45[[#This Row],[CODE]]=5, Table45[ [#This Row],[Account Deposit Amount] ]-Table45[ [#This Row],[Account Withdrawl Amount] ], )</f>
        <v>0</v>
      </c>
      <c r="N5" s="136">
        <f>IF(Table45[[#This Row],[CODE]]=6, Table45[ [#This Row],[Account Deposit Amount] ]-Table45[ [#This Row],[Account Withdrawl Amount] ], )</f>
        <v>0</v>
      </c>
      <c r="O5" s="136">
        <f>IF(Table45[[#This Row],[CODE]]=11, Table45[ [#This Row],[Account Deposit Amount] ]-Table45[ [#This Row],[Account Withdrawl Amount] ], )</f>
        <v>0</v>
      </c>
      <c r="P5" s="136">
        <f>IF(Table45[[#This Row],[CODE]]=12, Table45[ [#This Row],[Account Deposit Amount] ]-Table45[ [#This Row],[Account Withdrawl Amount] ], )</f>
        <v>0</v>
      </c>
      <c r="Q5" s="136">
        <f>IF(Table45[[#This Row],[CODE]]=13, Table45[ [#This Row],[Account Deposit Amount] ]-Table45[ [#This Row],[Account Withdrawl Amount] ], )</f>
        <v>-40.81</v>
      </c>
      <c r="R5" s="136">
        <f>IF(Table45[[#This Row],[CODE]]=14, Table45[ [#This Row],[Account Deposit Amount] ]-Table45[ [#This Row],[Account Withdrawl Amount] ], )</f>
        <v>0</v>
      </c>
      <c r="S5" s="136">
        <f>IF(Table45[[#This Row],[CODE]]=15, Table45[ [#This Row],[Account Deposit Amount] ]-Table45[ [#This Row],[Account Withdrawl Amount] ], )</f>
        <v>0</v>
      </c>
      <c r="T5" s="136">
        <f>IF(Table45[[#This Row],[CODE]]=16, Table45[ [#This Row],[Account Deposit Amount] ]-Table45[ [#This Row],[Account Withdrawl Amount] ], )</f>
        <v>0</v>
      </c>
      <c r="U5" s="135">
        <f>IF(Table45[[#This Row],[CODE]]=17, Table45[ [#This Row],[Account Deposit Amount] ]-Table45[ [#This Row],[Account Withdrawl Amount] ], )</f>
        <v>0</v>
      </c>
    </row>
    <row r="6" spans="1:27" ht="16.2" thickBot="1">
      <c r="A6" s="150" t="s">
        <v>241</v>
      </c>
      <c r="B6" s="151">
        <v>44932</v>
      </c>
      <c r="C6" s="150" t="s">
        <v>201</v>
      </c>
      <c r="D6" s="132" t="s">
        <v>450</v>
      </c>
      <c r="E6" s="128"/>
      <c r="F6" s="150">
        <v>200</v>
      </c>
      <c r="G6" s="134">
        <f t="shared" si="2"/>
        <v>15335.299999999996</v>
      </c>
      <c r="H6" s="130">
        <v>13</v>
      </c>
      <c r="I6" s="127">
        <f>IF(Table45[[#This Row],[CODE]]=1, Table45[ [#This Row],[Account Deposit Amount] ]-Table45[ [#This Row],[Account Withdrawl Amount] ], )</f>
        <v>0</v>
      </c>
      <c r="J6" s="129">
        <f>IF(Table45[[#This Row],[CODE]]=2, Table45[ [#This Row],[Account Deposit Amount] ]-Table45[ [#This Row],[Account Withdrawl Amount] ], )</f>
        <v>0</v>
      </c>
      <c r="K6" s="129">
        <f>IF(Table45[[#This Row],[CODE]]=3, Table45[ [#This Row],[Account Deposit Amount] ]-Table45[ [#This Row],[Account Withdrawl Amount] ], )</f>
        <v>0</v>
      </c>
      <c r="L6" s="128">
        <f>IF(Table45[[#This Row],[CODE]]=4, Table45[ [#This Row],[Account Deposit Amount] ]-Table45[ [#This Row],[Account Withdrawl Amount] ], )</f>
        <v>0</v>
      </c>
      <c r="M6" s="128">
        <f>IF(Table45[[#This Row],[CODE]]=5, Table45[ [#This Row],[Account Deposit Amount] ]-Table45[ [#This Row],[Account Withdrawl Amount] ], )</f>
        <v>0</v>
      </c>
      <c r="N6" s="128">
        <f>IF(Table45[[#This Row],[CODE]]=6, Table45[ [#This Row],[Account Deposit Amount] ]-Table45[ [#This Row],[Account Withdrawl Amount] ], )</f>
        <v>0</v>
      </c>
      <c r="O6" s="128">
        <f>IF(Table45[[#This Row],[CODE]]=11, Table45[ [#This Row],[Account Deposit Amount] ]-Table45[ [#This Row],[Account Withdrawl Amount] ], )</f>
        <v>0</v>
      </c>
      <c r="P6" s="128">
        <f>IF(Table45[[#This Row],[CODE]]=12, Table45[ [#This Row],[Account Deposit Amount] ]-Table45[ [#This Row],[Account Withdrawl Amount] ], )</f>
        <v>0</v>
      </c>
      <c r="Q6" s="128">
        <f>IF(Table45[[#This Row],[CODE]]=13, Table45[ [#This Row],[Account Deposit Amount] ]-Table45[ [#This Row],[Account Withdrawl Amount] ], )</f>
        <v>-200</v>
      </c>
      <c r="R6" s="128">
        <f>IF(Table45[[#This Row],[CODE]]=14, Table45[ [#This Row],[Account Deposit Amount] ]-Table45[ [#This Row],[Account Withdrawl Amount] ], )</f>
        <v>0</v>
      </c>
      <c r="S6" s="128">
        <f>IF(Table45[[#This Row],[CODE]]=15, Table45[ [#This Row],[Account Deposit Amount] ]-Table45[ [#This Row],[Account Withdrawl Amount] ], )</f>
        <v>0</v>
      </c>
      <c r="T6" s="128">
        <f>IF(Table45[[#This Row],[CODE]]=16, Table45[ [#This Row],[Account Deposit Amount] ]-Table45[ [#This Row],[Account Withdrawl Amount] ], )</f>
        <v>0</v>
      </c>
      <c r="U6" s="127">
        <f>IF(Table45[[#This Row],[CODE]]=17, Table45[ [#This Row],[Account Deposit Amount] ]-Table45[ [#This Row],[Account Withdrawl Amount] ], )</f>
        <v>0</v>
      </c>
    </row>
    <row r="7" spans="1:27" ht="16.2" thickBot="1">
      <c r="A7" s="150" t="s">
        <v>241</v>
      </c>
      <c r="B7" s="151">
        <v>44936</v>
      </c>
      <c r="C7" s="150" t="s">
        <v>201</v>
      </c>
      <c r="D7" s="132" t="s">
        <v>450</v>
      </c>
      <c r="E7" s="128"/>
      <c r="F7" s="150">
        <v>50</v>
      </c>
      <c r="G7" s="134">
        <f t="shared" si="2"/>
        <v>15285.299999999996</v>
      </c>
      <c r="H7" s="130">
        <v>13</v>
      </c>
      <c r="I7" s="127">
        <f>IF(Table45[[#This Row],[CODE]]=1, Table45[ [#This Row],[Account Deposit Amount] ]-Table45[ [#This Row],[Account Withdrawl Amount] ], )</f>
        <v>0</v>
      </c>
      <c r="J7" s="129">
        <f>IF(Table45[[#This Row],[CODE]]=2, Table45[ [#This Row],[Account Deposit Amount] ]-Table45[ [#This Row],[Account Withdrawl Amount] ], )</f>
        <v>0</v>
      </c>
      <c r="K7" s="129">
        <f>IF(Table45[[#This Row],[CODE]]=3, Table45[ [#This Row],[Account Deposit Amount] ]-Table45[ [#This Row],[Account Withdrawl Amount] ], )</f>
        <v>0</v>
      </c>
      <c r="L7" s="128">
        <f>IF(Table45[[#This Row],[CODE]]=4, Table45[ [#This Row],[Account Deposit Amount] ]-Table45[ [#This Row],[Account Withdrawl Amount] ], )</f>
        <v>0</v>
      </c>
      <c r="M7" s="128">
        <f>IF(Table45[[#This Row],[CODE]]=5, Table45[ [#This Row],[Account Deposit Amount] ]-Table45[ [#This Row],[Account Withdrawl Amount] ], )</f>
        <v>0</v>
      </c>
      <c r="N7" s="128">
        <f>IF(Table45[[#This Row],[CODE]]=6, Table45[ [#This Row],[Account Deposit Amount] ]-Table45[ [#This Row],[Account Withdrawl Amount] ], )</f>
        <v>0</v>
      </c>
      <c r="O7" s="128">
        <f>IF(Table45[[#This Row],[CODE]]=11, Table45[ [#This Row],[Account Deposit Amount] ]-Table45[ [#This Row],[Account Withdrawl Amount] ], )</f>
        <v>0</v>
      </c>
      <c r="P7" s="128">
        <f>IF(Table45[[#This Row],[CODE]]=12, Table45[ [#This Row],[Account Deposit Amount] ]-Table45[ [#This Row],[Account Withdrawl Amount] ], )</f>
        <v>0</v>
      </c>
      <c r="Q7" s="128">
        <f>IF(Table45[[#This Row],[CODE]]=13, Table45[ [#This Row],[Account Deposit Amount] ]-Table45[ [#This Row],[Account Withdrawl Amount] ], )</f>
        <v>-50</v>
      </c>
      <c r="R7" s="128">
        <f>IF(Table45[[#This Row],[CODE]]=14, Table45[ [#This Row],[Account Deposit Amount] ]-Table45[ [#This Row],[Account Withdrawl Amount] ], )</f>
        <v>0</v>
      </c>
      <c r="S7" s="128">
        <f>IF(Table45[[#This Row],[CODE]]=15, Table45[ [#This Row],[Account Deposit Amount] ]-Table45[ [#This Row],[Account Withdrawl Amount] ], )</f>
        <v>0</v>
      </c>
      <c r="T7" s="128">
        <f>IF(Table45[[#This Row],[CODE]]=16, Table45[ [#This Row],[Account Deposit Amount] ]-Table45[ [#This Row],[Account Withdrawl Amount] ], )</f>
        <v>0</v>
      </c>
      <c r="U7" s="127">
        <f>IF(Table45[[#This Row],[CODE]]=17, Table45[ [#This Row],[Account Deposit Amount] ]-Table45[ [#This Row],[Account Withdrawl Amount] ], )</f>
        <v>0</v>
      </c>
    </row>
    <row r="8" spans="1:27" ht="16.2" thickBot="1">
      <c r="A8" s="150" t="s">
        <v>238</v>
      </c>
      <c r="B8" s="151">
        <v>44937</v>
      </c>
      <c r="C8" s="150" t="s">
        <v>442</v>
      </c>
      <c r="D8" s="132" t="s">
        <v>276</v>
      </c>
      <c r="E8" s="128">
        <v>70</v>
      </c>
      <c r="F8" s="150"/>
      <c r="G8" s="134">
        <f t="shared" si="2"/>
        <v>15355.299999999996</v>
      </c>
      <c r="H8" s="130">
        <v>13</v>
      </c>
      <c r="I8" s="127">
        <f>IF(Table45[[#This Row],[CODE]]=1, Table45[ [#This Row],[Account Deposit Amount] ]-Table45[ [#This Row],[Account Withdrawl Amount] ], )</f>
        <v>0</v>
      </c>
      <c r="J8" s="129">
        <f>IF(Table45[[#This Row],[CODE]]=2, Table45[ [#This Row],[Account Deposit Amount] ]-Table45[ [#This Row],[Account Withdrawl Amount] ], )</f>
        <v>0</v>
      </c>
      <c r="K8" s="129">
        <f>IF(Table45[[#This Row],[CODE]]=3, Table45[ [#This Row],[Account Deposit Amount] ]-Table45[ [#This Row],[Account Withdrawl Amount] ], )</f>
        <v>0</v>
      </c>
      <c r="L8" s="128">
        <f>IF(Table45[[#This Row],[CODE]]=4, Table45[ [#This Row],[Account Deposit Amount] ]-Table45[ [#This Row],[Account Withdrawl Amount] ], )</f>
        <v>0</v>
      </c>
      <c r="M8" s="128">
        <f>IF(Table45[[#This Row],[CODE]]=5, Table45[ [#This Row],[Account Deposit Amount] ]-Table45[ [#This Row],[Account Withdrawl Amount] ], )</f>
        <v>0</v>
      </c>
      <c r="N8" s="128">
        <f>IF(Table45[[#This Row],[CODE]]=6, Table45[ [#This Row],[Account Deposit Amount] ]-Table45[ [#This Row],[Account Withdrawl Amount] ], )</f>
        <v>0</v>
      </c>
      <c r="O8" s="128">
        <f>IF(Table45[[#This Row],[CODE]]=11, Table45[ [#This Row],[Account Deposit Amount] ]-Table45[ [#This Row],[Account Withdrawl Amount] ], )</f>
        <v>0</v>
      </c>
      <c r="P8" s="128">
        <f>IF(Table45[[#This Row],[CODE]]=12, Table45[ [#This Row],[Account Deposit Amount] ]-Table45[ [#This Row],[Account Withdrawl Amount] ], )</f>
        <v>0</v>
      </c>
      <c r="Q8" s="128">
        <f>IF(Table45[[#This Row],[CODE]]=13, Table45[ [#This Row],[Account Deposit Amount] ]-Table45[ [#This Row],[Account Withdrawl Amount] ], )</f>
        <v>70</v>
      </c>
      <c r="R8" s="128">
        <f>IF(Table45[[#This Row],[CODE]]=14, Table45[ [#This Row],[Account Deposit Amount] ]-Table45[ [#This Row],[Account Withdrawl Amount] ], )</f>
        <v>0</v>
      </c>
      <c r="S8" s="128">
        <f>IF(Table45[[#This Row],[CODE]]=15, Table45[ [#This Row],[Account Deposit Amount] ]-Table45[ [#This Row],[Account Withdrawl Amount] ], )</f>
        <v>0</v>
      </c>
      <c r="T8" s="128">
        <f>IF(Table45[[#This Row],[CODE]]=16, Table45[ [#This Row],[Account Deposit Amount] ]-Table45[ [#This Row],[Account Withdrawl Amount] ], )</f>
        <v>0</v>
      </c>
      <c r="U8" s="127">
        <f>IF(Table45[[#This Row],[CODE]]=17, Table45[ [#This Row],[Account Deposit Amount] ]-Table45[ [#This Row],[Account Withdrawl Amount] ], )</f>
        <v>0</v>
      </c>
    </row>
    <row r="9" spans="1:27" ht="16.2" thickBot="1">
      <c r="A9" s="150" t="s">
        <v>241</v>
      </c>
      <c r="B9" s="151">
        <v>44938</v>
      </c>
      <c r="C9" s="150" t="s">
        <v>451</v>
      </c>
      <c r="D9" s="132" t="s">
        <v>452</v>
      </c>
      <c r="E9" s="128"/>
      <c r="F9" s="150">
        <v>764.2</v>
      </c>
      <c r="G9" s="134">
        <f t="shared" si="2"/>
        <v>14591.099999999995</v>
      </c>
      <c r="H9" s="156">
        <v>1</v>
      </c>
      <c r="I9" s="127">
        <f>IF(Table45[[#This Row],[CODE]]=1, Table45[ [#This Row],[Account Deposit Amount] ]-Table45[ [#This Row],[Account Withdrawl Amount] ], )</f>
        <v>-764.2</v>
      </c>
      <c r="J9" s="129">
        <f>IF(Table45[[#This Row],[CODE]]=2, Table45[ [#This Row],[Account Deposit Amount] ]-Table45[ [#This Row],[Account Withdrawl Amount] ], )</f>
        <v>0</v>
      </c>
      <c r="K9" s="129">
        <f>IF(Table45[[#This Row],[CODE]]=3, Table45[ [#This Row],[Account Deposit Amount] ]-Table45[ [#This Row],[Account Withdrawl Amount] ], )</f>
        <v>0</v>
      </c>
      <c r="L9" s="128">
        <f>IF(Table45[[#This Row],[CODE]]=4, Table45[ [#This Row],[Account Deposit Amount] ]-Table45[ [#This Row],[Account Withdrawl Amount] ], )</f>
        <v>0</v>
      </c>
      <c r="M9" s="128">
        <f>IF(Table45[[#This Row],[CODE]]=5, Table45[ [#This Row],[Account Deposit Amount] ]-Table45[ [#This Row],[Account Withdrawl Amount] ], )</f>
        <v>0</v>
      </c>
      <c r="N9" s="128">
        <f>IF(Table45[[#This Row],[CODE]]=6, Table45[ [#This Row],[Account Deposit Amount] ]-Table45[ [#This Row],[Account Withdrawl Amount] ], )</f>
        <v>0</v>
      </c>
      <c r="O9" s="128">
        <f>IF(Table45[[#This Row],[CODE]]=11, Table45[ [#This Row],[Account Deposit Amount] ]-Table45[ [#This Row],[Account Withdrawl Amount] ], )</f>
        <v>0</v>
      </c>
      <c r="P9" s="128">
        <f>IF(Table45[[#This Row],[CODE]]=12, Table45[ [#This Row],[Account Deposit Amount] ]-Table45[ [#This Row],[Account Withdrawl Amount] ], )</f>
        <v>0</v>
      </c>
      <c r="Q9" s="128">
        <f>IF(Table45[[#This Row],[CODE]]=13, Table45[ [#This Row],[Account Deposit Amount] ]-Table45[ [#This Row],[Account Withdrawl Amount] ], )</f>
        <v>0</v>
      </c>
      <c r="R9" s="128">
        <f>IF(Table45[[#This Row],[CODE]]=14, Table45[ [#This Row],[Account Deposit Amount] ]-Table45[ [#This Row],[Account Withdrawl Amount] ], )</f>
        <v>0</v>
      </c>
      <c r="S9" s="128">
        <f>IF(Table45[[#This Row],[CODE]]=15, Table45[ [#This Row],[Account Deposit Amount] ]-Table45[ [#This Row],[Account Withdrawl Amount] ], )</f>
        <v>0</v>
      </c>
      <c r="T9" s="128">
        <f>IF(Table45[[#This Row],[CODE]]=16, Table45[ [#This Row],[Account Deposit Amount] ]-Table45[ [#This Row],[Account Withdrawl Amount] ], )</f>
        <v>0</v>
      </c>
      <c r="U9" s="127">
        <f>IF(Table45[[#This Row],[CODE]]=17, Table45[ [#This Row],[Account Deposit Amount] ]-Table45[ [#This Row],[Account Withdrawl Amount] ], )</f>
        <v>0</v>
      </c>
    </row>
    <row r="10" spans="1:27" ht="16.2" thickBot="1">
      <c r="A10" s="150" t="s">
        <v>241</v>
      </c>
      <c r="B10" s="151">
        <v>44940</v>
      </c>
      <c r="C10" s="150" t="s">
        <v>453</v>
      </c>
      <c r="D10" s="132" t="s">
        <v>285</v>
      </c>
      <c r="E10" s="128"/>
      <c r="F10" s="150">
        <v>624.35</v>
      </c>
      <c r="G10" s="134">
        <f t="shared" si="2"/>
        <v>13966.749999999995</v>
      </c>
      <c r="H10" s="130">
        <v>13</v>
      </c>
      <c r="I10" s="127">
        <f>IF(Table45[[#This Row],[CODE]]=1, Table45[ [#This Row],[Account Deposit Amount] ]-Table45[ [#This Row],[Account Withdrawl Amount] ], )</f>
        <v>0</v>
      </c>
      <c r="J10" s="129">
        <f>IF(Table45[[#This Row],[CODE]]=2, Table45[ [#This Row],[Account Deposit Amount] ]-Table45[ [#This Row],[Account Withdrawl Amount] ], )</f>
        <v>0</v>
      </c>
      <c r="K10" s="129">
        <f>IF(Table45[[#This Row],[CODE]]=3, Table45[ [#This Row],[Account Deposit Amount] ]-Table45[ [#This Row],[Account Withdrawl Amount] ], )</f>
        <v>0</v>
      </c>
      <c r="L10" s="128">
        <f>IF(Table45[[#This Row],[CODE]]=4, Table45[ [#This Row],[Account Deposit Amount] ]-Table45[ [#This Row],[Account Withdrawl Amount] ], )</f>
        <v>0</v>
      </c>
      <c r="M10" s="128">
        <f>IF(Table45[[#This Row],[CODE]]=5, Table45[ [#This Row],[Account Deposit Amount] ]-Table45[ [#This Row],[Account Withdrawl Amount] ], )</f>
        <v>0</v>
      </c>
      <c r="N10" s="128">
        <f>IF(Table45[[#This Row],[CODE]]=6, Table45[ [#This Row],[Account Deposit Amount] ]-Table45[ [#This Row],[Account Withdrawl Amount] ], )</f>
        <v>0</v>
      </c>
      <c r="O10" s="128">
        <f>IF(Table45[[#This Row],[CODE]]=11, Table45[ [#This Row],[Account Deposit Amount] ]-Table45[ [#This Row],[Account Withdrawl Amount] ], )</f>
        <v>0</v>
      </c>
      <c r="P10" s="128">
        <f>IF(Table45[[#This Row],[CODE]]=12, Table45[ [#This Row],[Account Deposit Amount] ]-Table45[ [#This Row],[Account Withdrawl Amount] ], )</f>
        <v>0</v>
      </c>
      <c r="Q10" s="128">
        <f>IF(Table45[[#This Row],[CODE]]=13, Table45[ [#This Row],[Account Deposit Amount] ]-Table45[ [#This Row],[Account Withdrawl Amount] ], )</f>
        <v>-624.35</v>
      </c>
      <c r="R10" s="128">
        <f>IF(Table45[[#This Row],[CODE]]=14, Table45[ [#This Row],[Account Deposit Amount] ]-Table45[ [#This Row],[Account Withdrawl Amount] ], )</f>
        <v>0</v>
      </c>
      <c r="S10" s="128">
        <f>IF(Table45[[#This Row],[CODE]]=15, Table45[ [#This Row],[Account Deposit Amount] ]-Table45[ [#This Row],[Account Withdrawl Amount] ], )</f>
        <v>0</v>
      </c>
      <c r="T10" s="128">
        <f>IF(Table45[[#This Row],[CODE]]=16, Table45[ [#This Row],[Account Deposit Amount] ]-Table45[ [#This Row],[Account Withdrawl Amount] ], )</f>
        <v>0</v>
      </c>
      <c r="U10" s="127">
        <f>IF(Table45[[#This Row],[CODE]]=17, Table45[ [#This Row],[Account Deposit Amount] ]-Table45[ [#This Row],[Account Withdrawl Amount] ], )</f>
        <v>0</v>
      </c>
    </row>
    <row r="11" spans="1:27" ht="16.2" thickBot="1">
      <c r="A11" s="150" t="s">
        <v>238</v>
      </c>
      <c r="B11" s="151">
        <v>44949</v>
      </c>
      <c r="C11" s="150" t="s">
        <v>276</v>
      </c>
      <c r="D11" s="132" t="s">
        <v>285</v>
      </c>
      <c r="E11" s="128">
        <v>260</v>
      </c>
      <c r="F11" s="150"/>
      <c r="G11" s="134">
        <f t="shared" si="2"/>
        <v>14226.749999999995</v>
      </c>
      <c r="H11" s="130">
        <v>13</v>
      </c>
      <c r="I11" s="127">
        <f>IF(Table45[[#This Row],[CODE]]=1, Table45[ [#This Row],[Account Deposit Amount] ]-Table45[ [#This Row],[Account Withdrawl Amount] ], )</f>
        <v>0</v>
      </c>
      <c r="J11" s="129">
        <f>IF(Table45[[#This Row],[CODE]]=2, Table45[ [#This Row],[Account Deposit Amount] ]-Table45[ [#This Row],[Account Withdrawl Amount] ], )</f>
        <v>0</v>
      </c>
      <c r="K11" s="129">
        <f>IF(Table45[[#This Row],[CODE]]=3, Table45[ [#This Row],[Account Deposit Amount] ]-Table45[ [#This Row],[Account Withdrawl Amount] ], )</f>
        <v>0</v>
      </c>
      <c r="L11" s="128">
        <f>IF(Table45[[#This Row],[CODE]]=4, Table45[ [#This Row],[Account Deposit Amount] ]-Table45[ [#This Row],[Account Withdrawl Amount] ], )</f>
        <v>0</v>
      </c>
      <c r="M11" s="128">
        <f>IF(Table45[[#This Row],[CODE]]=5, Table45[ [#This Row],[Account Deposit Amount] ]-Table45[ [#This Row],[Account Withdrawl Amount] ], )</f>
        <v>0</v>
      </c>
      <c r="N11" s="128">
        <f>IF(Table45[[#This Row],[CODE]]=6, Table45[ [#This Row],[Account Deposit Amount] ]-Table45[ [#This Row],[Account Withdrawl Amount] ], )</f>
        <v>0</v>
      </c>
      <c r="O11" s="128">
        <f>IF(Table45[[#This Row],[CODE]]=11, Table45[ [#This Row],[Account Deposit Amount] ]-Table45[ [#This Row],[Account Withdrawl Amount] ], )</f>
        <v>0</v>
      </c>
      <c r="P11" s="128">
        <f>IF(Table45[[#This Row],[CODE]]=12, Table45[ [#This Row],[Account Deposit Amount] ]-Table45[ [#This Row],[Account Withdrawl Amount] ], )</f>
        <v>0</v>
      </c>
      <c r="Q11" s="128">
        <f>IF(Table45[[#This Row],[CODE]]=13, Table45[ [#This Row],[Account Deposit Amount] ]-Table45[ [#This Row],[Account Withdrawl Amount] ], )</f>
        <v>260</v>
      </c>
      <c r="R11" s="128">
        <f>IF(Table45[[#This Row],[CODE]]=14, Table45[ [#This Row],[Account Deposit Amount] ]-Table45[ [#This Row],[Account Withdrawl Amount] ], )</f>
        <v>0</v>
      </c>
      <c r="S11" s="128">
        <f>IF(Table45[[#This Row],[CODE]]=15, Table45[ [#This Row],[Account Deposit Amount] ]-Table45[ [#This Row],[Account Withdrawl Amount] ], )</f>
        <v>0</v>
      </c>
      <c r="T11" s="128">
        <f>IF(Table45[[#This Row],[CODE]]=16, Table45[ [#This Row],[Account Deposit Amount] ]-Table45[ [#This Row],[Account Withdrawl Amount] ], )</f>
        <v>0</v>
      </c>
      <c r="U11" s="127">
        <f>IF(Table45[[#This Row],[CODE]]=17, Table45[ [#This Row],[Account Deposit Amount] ]-Table45[ [#This Row],[Account Withdrawl Amount] ], )</f>
        <v>0</v>
      </c>
    </row>
    <row r="12" spans="1:27" ht="16.2" thickBot="1">
      <c r="A12" s="150" t="s">
        <v>238</v>
      </c>
      <c r="B12" s="151">
        <v>44949</v>
      </c>
      <c r="C12" s="150" t="s">
        <v>276</v>
      </c>
      <c r="D12" s="132" t="s">
        <v>132</v>
      </c>
      <c r="E12" s="128">
        <v>935</v>
      </c>
      <c r="F12" s="150"/>
      <c r="G12" s="134">
        <f t="shared" si="2"/>
        <v>15161.749999999995</v>
      </c>
      <c r="H12" s="130">
        <v>2</v>
      </c>
      <c r="I12" s="127">
        <f>IF(Table45[[#This Row],[CODE]]=1, Table45[ [#This Row],[Account Deposit Amount] ]-Table45[ [#This Row],[Account Withdrawl Amount] ], )</f>
        <v>0</v>
      </c>
      <c r="J12" s="129">
        <f>IF(Table45[[#This Row],[CODE]]=2, Table45[ [#This Row],[Account Deposit Amount] ]-Table45[ [#This Row],[Account Withdrawl Amount] ], )</f>
        <v>935</v>
      </c>
      <c r="K12" s="129">
        <f>IF(Table45[[#This Row],[CODE]]=3, Table45[ [#This Row],[Account Deposit Amount] ]-Table45[ [#This Row],[Account Withdrawl Amount] ], )</f>
        <v>0</v>
      </c>
      <c r="L12" s="128">
        <f>IF(Table45[[#This Row],[CODE]]=4, Table45[ [#This Row],[Account Deposit Amount] ]-Table45[ [#This Row],[Account Withdrawl Amount] ], )</f>
        <v>0</v>
      </c>
      <c r="M12" s="128">
        <f>IF(Table45[[#This Row],[CODE]]=5, Table45[ [#This Row],[Account Deposit Amount] ]-Table45[ [#This Row],[Account Withdrawl Amount] ], )</f>
        <v>0</v>
      </c>
      <c r="N12" s="128">
        <f>IF(Table45[[#This Row],[CODE]]=6, Table45[ [#This Row],[Account Deposit Amount] ]-Table45[ [#This Row],[Account Withdrawl Amount] ], )</f>
        <v>0</v>
      </c>
      <c r="O12" s="128">
        <f>IF(Table45[[#This Row],[CODE]]=11, Table45[ [#This Row],[Account Deposit Amount] ]-Table45[ [#This Row],[Account Withdrawl Amount] ], )</f>
        <v>0</v>
      </c>
      <c r="P12" s="128">
        <f>IF(Table45[[#This Row],[CODE]]=12, Table45[ [#This Row],[Account Deposit Amount] ]-Table45[ [#This Row],[Account Withdrawl Amount] ], )</f>
        <v>0</v>
      </c>
      <c r="Q12" s="128">
        <f>IF(Table45[[#This Row],[CODE]]=13, Table45[ [#This Row],[Account Deposit Amount] ]-Table45[ [#This Row],[Account Withdrawl Amount] ], )</f>
        <v>0</v>
      </c>
      <c r="R12" s="128">
        <f>IF(Table45[[#This Row],[CODE]]=14, Table45[ [#This Row],[Account Deposit Amount] ]-Table45[ [#This Row],[Account Withdrawl Amount] ], )</f>
        <v>0</v>
      </c>
      <c r="S12" s="128">
        <f>IF(Table45[[#This Row],[CODE]]=15, Table45[ [#This Row],[Account Deposit Amount] ]-Table45[ [#This Row],[Account Withdrawl Amount] ], )</f>
        <v>0</v>
      </c>
      <c r="T12" s="128">
        <f>IF(Table45[[#This Row],[CODE]]=16, Table45[ [#This Row],[Account Deposit Amount] ]-Table45[ [#This Row],[Account Withdrawl Amount] ], )</f>
        <v>0</v>
      </c>
      <c r="U12" s="127">
        <f>IF(Table45[[#This Row],[CODE]]=17, Table45[ [#This Row],[Account Deposit Amount] ]-Table45[ [#This Row],[Account Withdrawl Amount] ], )</f>
        <v>0</v>
      </c>
    </row>
    <row r="13" spans="1:27" ht="25.2" thickBot="1">
      <c r="A13" s="150" t="s">
        <v>300</v>
      </c>
      <c r="B13" s="151">
        <v>44953</v>
      </c>
      <c r="C13" s="150" t="s">
        <v>454</v>
      </c>
      <c r="D13" s="132" t="s">
        <v>455</v>
      </c>
      <c r="E13" s="128"/>
      <c r="F13" s="150">
        <v>7</v>
      </c>
      <c r="G13" s="134">
        <f t="shared" si="2"/>
        <v>15154.749999999995</v>
      </c>
      <c r="H13" s="130">
        <v>6</v>
      </c>
      <c r="I13" s="127">
        <f>IF(Table45[[#This Row],[CODE]]=1, Table45[ [#This Row],[Account Deposit Amount] ]-Table45[ [#This Row],[Account Withdrawl Amount] ], )</f>
        <v>0</v>
      </c>
      <c r="J13" s="129">
        <f>IF(Table45[[#This Row],[CODE]]=2, Table45[ [#This Row],[Account Deposit Amount] ]-Table45[ [#This Row],[Account Withdrawl Amount] ], )</f>
        <v>0</v>
      </c>
      <c r="K13" s="129">
        <f>IF(Table45[[#This Row],[CODE]]=3, Table45[ [#This Row],[Account Deposit Amount] ]-Table45[ [#This Row],[Account Withdrawl Amount] ], )</f>
        <v>0</v>
      </c>
      <c r="L13" s="128">
        <f>IF(Table45[[#This Row],[CODE]]=4, Table45[ [#This Row],[Account Deposit Amount] ]-Table45[ [#This Row],[Account Withdrawl Amount] ], )</f>
        <v>0</v>
      </c>
      <c r="M13" s="128">
        <f>IF(Table45[[#This Row],[CODE]]=5, Table45[ [#This Row],[Account Deposit Amount] ]-Table45[ [#This Row],[Account Withdrawl Amount] ], )</f>
        <v>0</v>
      </c>
      <c r="N13" s="128">
        <f>IF(Table45[[#This Row],[CODE]]=6, Table45[ [#This Row],[Account Deposit Amount] ]-Table45[ [#This Row],[Account Withdrawl Amount] ], )</f>
        <v>-7</v>
      </c>
      <c r="O13" s="128">
        <f>IF(Table45[[#This Row],[CODE]]=11, Table45[ [#This Row],[Account Deposit Amount] ]-Table45[ [#This Row],[Account Withdrawl Amount] ], )</f>
        <v>0</v>
      </c>
      <c r="P13" s="128">
        <f>IF(Table45[[#This Row],[CODE]]=12, Table45[ [#This Row],[Account Deposit Amount] ]-Table45[ [#This Row],[Account Withdrawl Amount] ], )</f>
        <v>0</v>
      </c>
      <c r="Q13" s="128">
        <f>IF(Table45[[#This Row],[CODE]]=13, Table45[ [#This Row],[Account Deposit Amount] ]-Table45[ [#This Row],[Account Withdrawl Amount] ], )</f>
        <v>0</v>
      </c>
      <c r="R13" s="128">
        <f>IF(Table45[[#This Row],[CODE]]=14, Table45[ [#This Row],[Account Deposit Amount] ]-Table45[ [#This Row],[Account Withdrawl Amount] ], )</f>
        <v>0</v>
      </c>
      <c r="S13" s="128">
        <f>IF(Table45[[#This Row],[CODE]]=15, Table45[ [#This Row],[Account Deposit Amount] ]-Table45[ [#This Row],[Account Withdrawl Amount] ], )</f>
        <v>0</v>
      </c>
      <c r="T13" s="128">
        <f>IF(Table45[[#This Row],[CODE]]=16, Table45[ [#This Row],[Account Deposit Amount] ]-Table45[ [#This Row],[Account Withdrawl Amount] ], )</f>
        <v>0</v>
      </c>
      <c r="U13" s="127">
        <f>IF(Table45[[#This Row],[CODE]]=17, Table45[ [#This Row],[Account Deposit Amount] ]-Table45[ [#This Row],[Account Withdrawl Amount] ], )</f>
        <v>0</v>
      </c>
    </row>
    <row r="14" spans="1:27" ht="16.2" thickBot="1">
      <c r="A14" s="150" t="s">
        <v>238</v>
      </c>
      <c r="B14" s="151">
        <v>44953</v>
      </c>
      <c r="C14" s="150" t="s">
        <v>276</v>
      </c>
      <c r="D14" s="132" t="s">
        <v>132</v>
      </c>
      <c r="E14" s="128">
        <v>665</v>
      </c>
      <c r="F14" s="150"/>
      <c r="G14" s="134">
        <f t="shared" si="2"/>
        <v>15819.749999999995</v>
      </c>
      <c r="H14" s="130">
        <v>2</v>
      </c>
      <c r="I14" s="127">
        <f>IF(Table45[[#This Row],[CODE]]=1, Table45[ [#This Row],[Account Deposit Amount] ]-Table45[ [#This Row],[Account Withdrawl Amount] ], )</f>
        <v>0</v>
      </c>
      <c r="J14" s="129">
        <f>IF(Table45[[#This Row],[CODE]]=2, Table45[ [#This Row],[Account Deposit Amount] ]-Table45[ [#This Row],[Account Withdrawl Amount] ], )</f>
        <v>665</v>
      </c>
      <c r="K14" s="129">
        <f>IF(Table45[[#This Row],[CODE]]=3, Table45[ [#This Row],[Account Deposit Amount] ]-Table45[ [#This Row],[Account Withdrawl Amount] ], )</f>
        <v>0</v>
      </c>
      <c r="L14" s="128">
        <f>IF(Table45[[#This Row],[CODE]]=4, Table45[ [#This Row],[Account Deposit Amount] ]-Table45[ [#This Row],[Account Withdrawl Amount] ], )</f>
        <v>0</v>
      </c>
      <c r="M14" s="128">
        <f>IF(Table45[[#This Row],[CODE]]=5, Table45[ [#This Row],[Account Deposit Amount] ]-Table45[ [#This Row],[Account Withdrawl Amount] ], )</f>
        <v>0</v>
      </c>
      <c r="N14" s="128">
        <f>IF(Table45[[#This Row],[CODE]]=6, Table45[ [#This Row],[Account Deposit Amount] ]-Table45[ [#This Row],[Account Withdrawl Amount] ], )</f>
        <v>0</v>
      </c>
      <c r="O14" s="128">
        <f>IF(Table45[[#This Row],[CODE]]=11, Table45[ [#This Row],[Account Deposit Amount] ]-Table45[ [#This Row],[Account Withdrawl Amount] ], )</f>
        <v>0</v>
      </c>
      <c r="P14" s="128">
        <f>IF(Table45[[#This Row],[CODE]]=12, Table45[ [#This Row],[Account Deposit Amount] ]-Table45[ [#This Row],[Account Withdrawl Amount] ], )</f>
        <v>0</v>
      </c>
      <c r="Q14" s="128">
        <f>IF(Table45[[#This Row],[CODE]]=13, Table45[ [#This Row],[Account Deposit Amount] ]-Table45[ [#This Row],[Account Withdrawl Amount] ], )</f>
        <v>0</v>
      </c>
      <c r="R14" s="128">
        <f>IF(Table45[[#This Row],[CODE]]=14, Table45[ [#This Row],[Account Deposit Amount] ]-Table45[ [#This Row],[Account Withdrawl Amount] ], )</f>
        <v>0</v>
      </c>
      <c r="S14" s="128">
        <f>IF(Table45[[#This Row],[CODE]]=15, Table45[ [#This Row],[Account Deposit Amount] ]-Table45[ [#This Row],[Account Withdrawl Amount] ], )</f>
        <v>0</v>
      </c>
      <c r="T14" s="128">
        <f>IF(Table45[[#This Row],[CODE]]=16, Table45[ [#This Row],[Account Deposit Amount] ]-Table45[ [#This Row],[Account Withdrawl Amount] ], )</f>
        <v>0</v>
      </c>
      <c r="U14" s="127">
        <f>IF(Table45[[#This Row],[CODE]]=17, Table45[ [#This Row],[Account Deposit Amount] ]-Table45[ [#This Row],[Account Withdrawl Amount] ], )</f>
        <v>0</v>
      </c>
    </row>
    <row r="15" spans="1:27" ht="16.2" thickBot="1">
      <c r="A15" s="150" t="s">
        <v>241</v>
      </c>
      <c r="B15" s="151">
        <v>44953</v>
      </c>
      <c r="C15" s="150" t="s">
        <v>201</v>
      </c>
      <c r="D15" s="132" t="s">
        <v>67</v>
      </c>
      <c r="E15" s="128"/>
      <c r="F15" s="150">
        <v>8.16</v>
      </c>
      <c r="G15" s="134">
        <f t="shared" si="2"/>
        <v>15811.589999999995</v>
      </c>
      <c r="H15" s="130">
        <v>12</v>
      </c>
      <c r="I15" s="127">
        <f>IF(Table45[[#This Row],[CODE]]=1, Table45[ [#This Row],[Account Deposit Amount] ]-Table45[ [#This Row],[Account Withdrawl Amount] ], )</f>
        <v>0</v>
      </c>
      <c r="J15" s="129">
        <f>IF(Table45[[#This Row],[CODE]]=2, Table45[ [#This Row],[Account Deposit Amount] ]-Table45[ [#This Row],[Account Withdrawl Amount] ], )</f>
        <v>0</v>
      </c>
      <c r="K15" s="129">
        <f>IF(Table45[[#This Row],[CODE]]=3, Table45[ [#This Row],[Account Deposit Amount] ]-Table45[ [#This Row],[Account Withdrawl Amount] ], )</f>
        <v>0</v>
      </c>
      <c r="L15" s="128">
        <f>IF(Table45[[#This Row],[CODE]]=4, Table45[ [#This Row],[Account Deposit Amount] ]-Table45[ [#This Row],[Account Withdrawl Amount] ], )</f>
        <v>0</v>
      </c>
      <c r="M15" s="128">
        <f>IF(Table45[[#This Row],[CODE]]=5, Table45[ [#This Row],[Account Deposit Amount] ]-Table45[ [#This Row],[Account Withdrawl Amount] ], )</f>
        <v>0</v>
      </c>
      <c r="N15" s="128">
        <f>IF(Table45[[#This Row],[CODE]]=6, Table45[ [#This Row],[Account Deposit Amount] ]-Table45[ [#This Row],[Account Withdrawl Amount] ], )</f>
        <v>0</v>
      </c>
      <c r="O15" s="128">
        <f>IF(Table45[[#This Row],[CODE]]=11, Table45[ [#This Row],[Account Deposit Amount] ]-Table45[ [#This Row],[Account Withdrawl Amount] ], )</f>
        <v>0</v>
      </c>
      <c r="P15" s="128">
        <f>IF(Table45[[#This Row],[CODE]]=12, Table45[ [#This Row],[Account Deposit Amount] ]-Table45[ [#This Row],[Account Withdrawl Amount] ], )</f>
        <v>-8.16</v>
      </c>
      <c r="Q15" s="128">
        <f>IF(Table45[[#This Row],[CODE]]=13, Table45[ [#This Row],[Account Deposit Amount] ]-Table45[ [#This Row],[Account Withdrawl Amount] ], )</f>
        <v>0</v>
      </c>
      <c r="R15" s="128">
        <f>IF(Table45[[#This Row],[CODE]]=14, Table45[ [#This Row],[Account Deposit Amount] ]-Table45[ [#This Row],[Account Withdrawl Amount] ], )</f>
        <v>0</v>
      </c>
      <c r="S15" s="128">
        <f>IF(Table45[[#This Row],[CODE]]=15, Table45[ [#This Row],[Account Deposit Amount] ]-Table45[ [#This Row],[Account Withdrawl Amount] ], )</f>
        <v>0</v>
      </c>
      <c r="T15" s="128">
        <f>IF(Table45[[#This Row],[CODE]]=16, Table45[ [#This Row],[Account Deposit Amount] ]-Table45[ [#This Row],[Account Withdrawl Amount] ], )</f>
        <v>0</v>
      </c>
      <c r="U15" s="127">
        <f>IF(Table45[[#This Row],[CODE]]=17, Table45[ [#This Row],[Account Deposit Amount] ]-Table45[ [#This Row],[Account Withdrawl Amount] ], )</f>
        <v>0</v>
      </c>
    </row>
    <row r="16" spans="1:27" ht="25.2" thickBot="1">
      <c r="A16" s="150" t="s">
        <v>241</v>
      </c>
      <c r="B16" s="151">
        <v>44956</v>
      </c>
      <c r="C16" s="150" t="s">
        <v>456</v>
      </c>
      <c r="D16" s="132" t="s">
        <v>457</v>
      </c>
      <c r="E16" s="128"/>
      <c r="F16" s="150">
        <v>25</v>
      </c>
      <c r="G16" s="134">
        <f t="shared" si="2"/>
        <v>15786.589999999995</v>
      </c>
      <c r="H16" s="130">
        <v>11</v>
      </c>
      <c r="I16" s="127">
        <f>IF(Table45[[#This Row],[CODE]]=1, Table45[ [#This Row],[Account Deposit Amount] ]-Table45[ [#This Row],[Account Withdrawl Amount] ], )</f>
        <v>0</v>
      </c>
      <c r="J16" s="129">
        <f>IF(Table45[[#This Row],[CODE]]=2, Table45[ [#This Row],[Account Deposit Amount] ]-Table45[ [#This Row],[Account Withdrawl Amount] ], )</f>
        <v>0</v>
      </c>
      <c r="K16" s="129">
        <f>IF(Table45[[#This Row],[CODE]]=3, Table45[ [#This Row],[Account Deposit Amount] ]-Table45[ [#This Row],[Account Withdrawl Amount] ], )</f>
        <v>0</v>
      </c>
      <c r="L16" s="128">
        <f>IF(Table45[[#This Row],[CODE]]=4, Table45[ [#This Row],[Account Deposit Amount] ]-Table45[ [#This Row],[Account Withdrawl Amount] ], )</f>
        <v>0</v>
      </c>
      <c r="M16" s="128">
        <f>IF(Table45[[#This Row],[CODE]]=5, Table45[ [#This Row],[Account Deposit Amount] ]-Table45[ [#This Row],[Account Withdrawl Amount] ], )</f>
        <v>0</v>
      </c>
      <c r="N16" s="128">
        <f>IF(Table45[[#This Row],[CODE]]=6, Table45[ [#This Row],[Account Deposit Amount] ]-Table45[ [#This Row],[Account Withdrawl Amount] ], )</f>
        <v>0</v>
      </c>
      <c r="O16" s="128">
        <f>IF(Table45[[#This Row],[CODE]]=11, Table45[ [#This Row],[Account Deposit Amount] ]-Table45[ [#This Row],[Account Withdrawl Amount] ], )</f>
        <v>-25</v>
      </c>
      <c r="P16" s="128">
        <f>IF(Table45[[#This Row],[CODE]]=12, Table45[ [#This Row],[Account Deposit Amount] ]-Table45[ [#This Row],[Account Withdrawl Amount] ], )</f>
        <v>0</v>
      </c>
      <c r="Q16" s="128">
        <f>IF(Table45[[#This Row],[CODE]]=13, Table45[ [#This Row],[Account Deposit Amount] ]-Table45[ [#This Row],[Account Withdrawl Amount] ], )</f>
        <v>0</v>
      </c>
      <c r="R16" s="128">
        <f>IF(Table45[[#This Row],[CODE]]=14, Table45[ [#This Row],[Account Deposit Amount] ]-Table45[ [#This Row],[Account Withdrawl Amount] ], )</f>
        <v>0</v>
      </c>
      <c r="S16" s="128">
        <f>IF(Table45[[#This Row],[CODE]]=15, Table45[ [#This Row],[Account Deposit Amount] ]-Table45[ [#This Row],[Account Withdrawl Amount] ], )</f>
        <v>0</v>
      </c>
      <c r="T16" s="128">
        <f>IF(Table45[[#This Row],[CODE]]=16, Table45[ [#This Row],[Account Deposit Amount] ]-Table45[ [#This Row],[Account Withdrawl Amount] ], )</f>
        <v>0</v>
      </c>
      <c r="U16" s="127">
        <f>IF(Table45[[#This Row],[CODE]]=17, Table45[ [#This Row],[Account Deposit Amount] ]-Table45[ [#This Row],[Account Withdrawl Amount] ], )</f>
        <v>0</v>
      </c>
    </row>
    <row r="17" spans="1:21" ht="16.2" thickBot="1">
      <c r="A17" s="150" t="s">
        <v>238</v>
      </c>
      <c r="B17" s="151">
        <v>44957</v>
      </c>
      <c r="C17" s="150" t="s">
        <v>276</v>
      </c>
      <c r="D17" s="132" t="s">
        <v>132</v>
      </c>
      <c r="E17" s="128">
        <v>2065</v>
      </c>
      <c r="F17" s="128"/>
      <c r="G17" s="134">
        <f t="shared" si="2"/>
        <v>17851.589999999997</v>
      </c>
      <c r="H17" s="130">
        <v>2</v>
      </c>
      <c r="I17" s="127">
        <f>IF(Table45[[#This Row],[CODE]]=1, Table45[ [#This Row],[Account Deposit Amount] ]-Table45[ [#This Row],[Account Withdrawl Amount] ], )</f>
        <v>0</v>
      </c>
      <c r="J17" s="129">
        <f>IF(Table45[[#This Row],[CODE]]=2, Table45[ [#This Row],[Account Deposit Amount] ]-Table45[ [#This Row],[Account Withdrawl Amount] ], )</f>
        <v>2065</v>
      </c>
      <c r="K17" s="129">
        <f>IF(Table45[[#This Row],[CODE]]=3, Table45[ [#This Row],[Account Deposit Amount] ]-Table45[ [#This Row],[Account Withdrawl Amount] ], )</f>
        <v>0</v>
      </c>
      <c r="L17" s="128">
        <f>IF(Table45[[#This Row],[CODE]]=4, Table45[ [#This Row],[Account Deposit Amount] ]-Table45[ [#This Row],[Account Withdrawl Amount] ], )</f>
        <v>0</v>
      </c>
      <c r="M17" s="128">
        <f>IF(Table45[[#This Row],[CODE]]=5, Table45[ [#This Row],[Account Deposit Amount] ]-Table45[ [#This Row],[Account Withdrawl Amount] ], )</f>
        <v>0</v>
      </c>
      <c r="N17" s="128">
        <f>IF(Table45[[#This Row],[CODE]]=6, Table45[ [#This Row],[Account Deposit Amount] ]-Table45[ [#This Row],[Account Withdrawl Amount] ], )</f>
        <v>0</v>
      </c>
      <c r="O17" s="128">
        <f>IF(Table45[[#This Row],[CODE]]=11, Table45[ [#This Row],[Account Deposit Amount] ]-Table45[ [#This Row],[Account Withdrawl Amount] ], )</f>
        <v>0</v>
      </c>
      <c r="P17" s="128">
        <f>IF(Table45[[#This Row],[CODE]]=12, Table45[ [#This Row],[Account Deposit Amount] ]-Table45[ [#This Row],[Account Withdrawl Amount] ], )</f>
        <v>0</v>
      </c>
      <c r="Q17" s="128">
        <f>IF(Table45[[#This Row],[CODE]]=13, Table45[ [#This Row],[Account Deposit Amount] ]-Table45[ [#This Row],[Account Withdrawl Amount] ], )</f>
        <v>0</v>
      </c>
      <c r="R17" s="128">
        <f>IF(Table45[[#This Row],[CODE]]=14, Table45[ [#This Row],[Account Deposit Amount] ]-Table45[ [#This Row],[Account Withdrawl Amount] ], )</f>
        <v>0</v>
      </c>
      <c r="S17" s="128">
        <f>IF(Table45[[#This Row],[CODE]]=15, Table45[ [#This Row],[Account Deposit Amount] ]-Table45[ [#This Row],[Account Withdrawl Amount] ], )</f>
        <v>0</v>
      </c>
      <c r="T17" s="128">
        <f>IF(Table45[[#This Row],[CODE]]=16, Table45[ [#This Row],[Account Deposit Amount] ]-Table45[ [#This Row],[Account Withdrawl Amount] ], )</f>
        <v>0</v>
      </c>
      <c r="U17" s="127">
        <f>IF(Table45[[#This Row],[CODE]]=17, Table45[ [#This Row],[Account Deposit Amount] ]-Table45[ [#This Row],[Account Withdrawl Amount] ], )</f>
        <v>0</v>
      </c>
    </row>
    <row r="18" spans="1:21" ht="16.2" thickBot="1">
      <c r="A18" s="130"/>
      <c r="B18" s="133"/>
      <c r="C18" s="130"/>
      <c r="D18" s="132"/>
      <c r="E18" s="128"/>
      <c r="F18" s="128"/>
      <c r="G18" s="134">
        <f t="shared" si="2"/>
        <v>17851.589999999997</v>
      </c>
      <c r="H18" s="130"/>
      <c r="I18" s="127">
        <f>IF(Table45[[#This Row],[CODE]]=1, Table45[ [#This Row],[Account Deposit Amount] ]-Table45[ [#This Row],[Account Withdrawl Amount] ], )</f>
        <v>0</v>
      </c>
      <c r="J18" s="129">
        <f>IF(Table45[[#This Row],[CODE]]=2, Table45[ [#This Row],[Account Deposit Amount] ]-Table45[ [#This Row],[Account Withdrawl Amount] ], )</f>
        <v>0</v>
      </c>
      <c r="K18" s="129">
        <f>IF(Table45[[#This Row],[CODE]]=3, Table45[ [#This Row],[Account Deposit Amount] ]-Table45[ [#This Row],[Account Withdrawl Amount] ], )</f>
        <v>0</v>
      </c>
      <c r="L18" s="128">
        <f>IF(Table45[[#This Row],[CODE]]=4, Table45[ [#This Row],[Account Deposit Amount] ]-Table45[ [#This Row],[Account Withdrawl Amount] ], )</f>
        <v>0</v>
      </c>
      <c r="M18" s="128">
        <f>IF(Table45[[#This Row],[CODE]]=5, Table45[ [#This Row],[Account Deposit Amount] ]-Table45[ [#This Row],[Account Withdrawl Amount] ], )</f>
        <v>0</v>
      </c>
      <c r="N18" s="128">
        <f>IF(Table45[[#This Row],[CODE]]=6, Table45[ [#This Row],[Account Deposit Amount] ]-Table45[ [#This Row],[Account Withdrawl Amount] ], )</f>
        <v>0</v>
      </c>
      <c r="O18" s="128">
        <f>IF(Table45[[#This Row],[CODE]]=11, Table45[ [#This Row],[Account Deposit Amount] ]-Table45[ [#This Row],[Account Withdrawl Amount] ], )</f>
        <v>0</v>
      </c>
      <c r="P18" s="128">
        <f>IF(Table45[[#This Row],[CODE]]=12, Table45[ [#This Row],[Account Deposit Amount] ]-Table45[ [#This Row],[Account Withdrawl Amount] ], )</f>
        <v>0</v>
      </c>
      <c r="Q18" s="128">
        <f>IF(Table45[[#This Row],[CODE]]=13, Table45[ [#This Row],[Account Deposit Amount] ]-Table45[ [#This Row],[Account Withdrawl Amount] ], )</f>
        <v>0</v>
      </c>
      <c r="R18" s="128">
        <f>IF(Table45[[#This Row],[CODE]]=14, Table45[ [#This Row],[Account Deposit Amount] ]-Table45[ [#This Row],[Account Withdrawl Amount] ], )</f>
        <v>0</v>
      </c>
      <c r="S18" s="128">
        <f>IF(Table45[[#This Row],[CODE]]=15, Table45[ [#This Row],[Account Deposit Amount] ]-Table45[ [#This Row],[Account Withdrawl Amount] ], )</f>
        <v>0</v>
      </c>
      <c r="T18" s="128">
        <f>IF(Table45[[#This Row],[CODE]]=16, Table45[ [#This Row],[Account Deposit Amount] ]-Table45[ [#This Row],[Account Withdrawl Amount] ], )</f>
        <v>0</v>
      </c>
      <c r="U18" s="127">
        <f>IF(Table45[[#This Row],[CODE]]=17, Table45[ [#This Row],[Account Deposit Amount] ]-Table45[ [#This Row],[Account Withdrawl Amount] ], )</f>
        <v>0</v>
      </c>
    </row>
    <row r="19" spans="1:21" ht="16.2" thickBot="1">
      <c r="A19" s="130"/>
      <c r="B19" s="133"/>
      <c r="C19" s="130"/>
      <c r="D19" s="132"/>
      <c r="E19" s="150"/>
      <c r="F19" s="128"/>
      <c r="G19" s="134">
        <f t="shared" si="2"/>
        <v>17851.589999999997</v>
      </c>
      <c r="H19" s="130"/>
      <c r="I19" s="127">
        <f>IF(Table45[[#This Row],[CODE]]=1, Table45[ [#This Row],[Account Deposit Amount] ]-Table45[ [#This Row],[Account Withdrawl Amount] ], )</f>
        <v>0</v>
      </c>
      <c r="J19" s="129">
        <f>IF(Table45[[#This Row],[CODE]]=2, Table45[ [#This Row],[Account Deposit Amount] ]-Table45[ [#This Row],[Account Withdrawl Amount] ], )</f>
        <v>0</v>
      </c>
      <c r="K19" s="129">
        <f>IF(Table45[[#This Row],[CODE]]=3, Table45[ [#This Row],[Account Deposit Amount] ]-Table45[ [#This Row],[Account Withdrawl Amount] ], )</f>
        <v>0</v>
      </c>
      <c r="L19" s="128">
        <f>IF(Table45[[#This Row],[CODE]]=4, Table45[ [#This Row],[Account Deposit Amount] ]-Table45[ [#This Row],[Account Withdrawl Amount] ], )</f>
        <v>0</v>
      </c>
      <c r="M19" s="128">
        <f>IF(Table45[[#This Row],[CODE]]=5, Table45[ [#This Row],[Account Deposit Amount] ]-Table45[ [#This Row],[Account Withdrawl Amount] ], )</f>
        <v>0</v>
      </c>
      <c r="N19" s="128">
        <f>IF(Table45[[#This Row],[CODE]]=6, Table45[ [#This Row],[Account Deposit Amount] ]-Table45[ [#This Row],[Account Withdrawl Amount] ], )</f>
        <v>0</v>
      </c>
      <c r="O19" s="128">
        <f>IF(Table45[[#This Row],[CODE]]=11, Table45[ [#This Row],[Account Deposit Amount] ]-Table45[ [#This Row],[Account Withdrawl Amount] ], )</f>
        <v>0</v>
      </c>
      <c r="P19" s="128">
        <f>IF(Table45[[#This Row],[CODE]]=12, Table45[ [#This Row],[Account Deposit Amount] ]-Table45[ [#This Row],[Account Withdrawl Amount] ], )</f>
        <v>0</v>
      </c>
      <c r="Q19" s="128">
        <f>IF(Table45[[#This Row],[CODE]]=13, Table45[ [#This Row],[Account Deposit Amount] ]-Table45[ [#This Row],[Account Withdrawl Amount] ], )</f>
        <v>0</v>
      </c>
      <c r="R19" s="128">
        <f>IF(Table45[[#This Row],[CODE]]=14, Table45[ [#This Row],[Account Deposit Amount] ]-Table45[ [#This Row],[Account Withdrawl Amount] ], )</f>
        <v>0</v>
      </c>
      <c r="S19" s="128">
        <f>IF(Table45[[#This Row],[CODE]]=15, Table45[ [#This Row],[Account Deposit Amount] ]-Table45[ [#This Row],[Account Withdrawl Amount] ], )</f>
        <v>0</v>
      </c>
      <c r="T19" s="128">
        <f>IF(Table45[[#This Row],[CODE]]=16, Table45[ [#This Row],[Account Deposit Amount] ]-Table45[ [#This Row],[Account Withdrawl Amount] ], )</f>
        <v>0</v>
      </c>
      <c r="U19" s="127">
        <f>IF(Table45[[#This Row],[CODE]]=17, Table45[ [#This Row],[Account Deposit Amount] ]-Table45[ [#This Row],[Account Withdrawl Amount] ], )</f>
        <v>0</v>
      </c>
    </row>
    <row r="20" spans="1:21" ht="16.2" thickBot="1">
      <c r="A20" s="130"/>
      <c r="B20" s="133"/>
      <c r="C20" s="130"/>
      <c r="D20" s="132"/>
      <c r="E20" s="150"/>
      <c r="F20" s="128"/>
      <c r="G20" s="134">
        <f t="shared" si="2"/>
        <v>17851.589999999997</v>
      </c>
      <c r="H20" s="130"/>
      <c r="I20" s="127">
        <f>IF(Table45[[#This Row],[CODE]]=1, Table45[ [#This Row],[Account Deposit Amount] ]-Table45[ [#This Row],[Account Withdrawl Amount] ], )</f>
        <v>0</v>
      </c>
      <c r="J20" s="129">
        <f>IF(Table45[[#This Row],[CODE]]=2, Table45[ [#This Row],[Account Deposit Amount] ]-Table45[ [#This Row],[Account Withdrawl Amount] ], )</f>
        <v>0</v>
      </c>
      <c r="K20" s="129">
        <f>IF(Table45[[#This Row],[CODE]]=3, Table45[ [#This Row],[Account Deposit Amount] ]-Table45[ [#This Row],[Account Withdrawl Amount] ], )</f>
        <v>0</v>
      </c>
      <c r="L20" s="128">
        <f>IF(Table45[[#This Row],[CODE]]=4, Table45[ [#This Row],[Account Deposit Amount] ]-Table45[ [#This Row],[Account Withdrawl Amount] ], )</f>
        <v>0</v>
      </c>
      <c r="M20" s="128">
        <f>IF(Table45[[#This Row],[CODE]]=5, Table45[ [#This Row],[Account Deposit Amount] ]-Table45[ [#This Row],[Account Withdrawl Amount] ], )</f>
        <v>0</v>
      </c>
      <c r="N20" s="128">
        <f>IF(Table45[[#This Row],[CODE]]=6, Table45[ [#This Row],[Account Deposit Amount] ]-Table45[ [#This Row],[Account Withdrawl Amount] ], )</f>
        <v>0</v>
      </c>
      <c r="O20" s="128">
        <f>IF(Table45[[#This Row],[CODE]]=11, Table45[ [#This Row],[Account Deposit Amount] ]-Table45[ [#This Row],[Account Withdrawl Amount] ], )</f>
        <v>0</v>
      </c>
      <c r="P20" s="128">
        <f>IF(Table45[[#This Row],[CODE]]=12, Table45[ [#This Row],[Account Deposit Amount] ]-Table45[ [#This Row],[Account Withdrawl Amount] ], )</f>
        <v>0</v>
      </c>
      <c r="Q20" s="128">
        <f>IF(Table45[[#This Row],[CODE]]=13, Table45[ [#This Row],[Account Deposit Amount] ]-Table45[ [#This Row],[Account Withdrawl Amount] ], )</f>
        <v>0</v>
      </c>
      <c r="R20" s="128">
        <f>IF(Table45[[#This Row],[CODE]]=14, Table45[ [#This Row],[Account Deposit Amount] ]-Table45[ [#This Row],[Account Withdrawl Amount] ], )</f>
        <v>0</v>
      </c>
      <c r="S20" s="128">
        <f>IF(Table45[[#This Row],[CODE]]=15, Table45[ [#This Row],[Account Deposit Amount] ]-Table45[ [#This Row],[Account Withdrawl Amount] ], )</f>
        <v>0</v>
      </c>
      <c r="T20" s="128">
        <f>IF(Table45[[#This Row],[CODE]]=16, Table45[ [#This Row],[Account Deposit Amount] ]-Table45[ [#This Row],[Account Withdrawl Amount] ], )</f>
        <v>0</v>
      </c>
      <c r="U20" s="127">
        <f>IF(Table45[[#This Row],[CODE]]=17, Table45[ [#This Row],[Account Deposit Amount] ]-Table45[ [#This Row],[Account Withdrawl Amount] ], )</f>
        <v>0</v>
      </c>
    </row>
    <row r="21" spans="1:21" ht="16.2" thickBot="1">
      <c r="A21" s="130"/>
      <c r="B21" s="133"/>
      <c r="C21" s="130"/>
      <c r="D21" s="132"/>
      <c r="E21" s="150"/>
      <c r="F21" s="128"/>
      <c r="G21" s="134">
        <f t="shared" si="2"/>
        <v>17851.589999999997</v>
      </c>
      <c r="H21" s="130"/>
      <c r="I21" s="127">
        <f>IF(Table45[[#This Row],[CODE]]=1, Table45[ [#This Row],[Account Deposit Amount] ]-Table45[ [#This Row],[Account Withdrawl Amount] ], )</f>
        <v>0</v>
      </c>
      <c r="J21" s="129">
        <f>IF(Table45[[#This Row],[CODE]]=2, Table45[ [#This Row],[Account Deposit Amount] ]-Table45[ [#This Row],[Account Withdrawl Amount] ], )</f>
        <v>0</v>
      </c>
      <c r="K21" s="129">
        <f>IF(Table45[[#This Row],[CODE]]=3, Table45[ [#This Row],[Account Deposit Amount] ]-Table45[ [#This Row],[Account Withdrawl Amount] ], )</f>
        <v>0</v>
      </c>
      <c r="L21" s="128">
        <f>IF(Table45[[#This Row],[CODE]]=4, Table45[ [#This Row],[Account Deposit Amount] ]-Table45[ [#This Row],[Account Withdrawl Amount] ], )</f>
        <v>0</v>
      </c>
      <c r="M21" s="128">
        <f>IF(Table45[[#This Row],[CODE]]=5, Table45[ [#This Row],[Account Deposit Amount] ]-Table45[ [#This Row],[Account Withdrawl Amount] ], )</f>
        <v>0</v>
      </c>
      <c r="N21" s="128">
        <f>IF(Table45[[#This Row],[CODE]]=6, Table45[ [#This Row],[Account Deposit Amount] ]-Table45[ [#This Row],[Account Withdrawl Amount] ], )</f>
        <v>0</v>
      </c>
      <c r="O21" s="128">
        <f>IF(Table45[[#This Row],[CODE]]=11, Table45[ [#This Row],[Account Deposit Amount] ]-Table45[ [#This Row],[Account Withdrawl Amount] ], )</f>
        <v>0</v>
      </c>
      <c r="P21" s="128">
        <f>IF(Table45[[#This Row],[CODE]]=12, Table45[ [#This Row],[Account Deposit Amount] ]-Table45[ [#This Row],[Account Withdrawl Amount] ], )</f>
        <v>0</v>
      </c>
      <c r="Q21" s="128">
        <f>IF(Table45[[#This Row],[CODE]]=13, Table45[ [#This Row],[Account Deposit Amount] ]-Table45[ [#This Row],[Account Withdrawl Amount] ], )</f>
        <v>0</v>
      </c>
      <c r="R21" s="128">
        <f>IF(Table45[[#This Row],[CODE]]=14, Table45[ [#This Row],[Account Deposit Amount] ]-Table45[ [#This Row],[Account Withdrawl Amount] ], )</f>
        <v>0</v>
      </c>
      <c r="S21" s="128">
        <f>IF(Table45[[#This Row],[CODE]]=15, Table45[ [#This Row],[Account Deposit Amount] ]-Table45[ [#This Row],[Account Withdrawl Amount] ], )</f>
        <v>0</v>
      </c>
      <c r="T21" s="128">
        <f>IF(Table45[[#This Row],[CODE]]=16, Table45[ [#This Row],[Account Deposit Amount] ]-Table45[ [#This Row],[Account Withdrawl Amount] ], )</f>
        <v>0</v>
      </c>
      <c r="U21" s="127">
        <f>IF(Table45[[#This Row],[CODE]]=17, Table45[ [#This Row],[Account Deposit Amount] ]-Table45[ [#This Row],[Account Withdrawl Amount] ], )</f>
        <v>0</v>
      </c>
    </row>
    <row r="22" spans="1:21" ht="16.2" thickBot="1">
      <c r="A22" s="130"/>
      <c r="B22" s="133"/>
      <c r="C22" s="130"/>
      <c r="D22" s="132"/>
      <c r="E22" s="150"/>
      <c r="F22" s="128"/>
      <c r="G22" s="134">
        <f t="shared" si="2"/>
        <v>17851.589999999997</v>
      </c>
      <c r="H22" s="130"/>
      <c r="I22" s="127">
        <f>IF(Table45[[#This Row],[CODE]]=1, Table45[ [#This Row],[Account Deposit Amount] ]-Table45[ [#This Row],[Account Withdrawl Amount] ], )</f>
        <v>0</v>
      </c>
      <c r="J22" s="129">
        <f>IF(Table45[[#This Row],[CODE]]=2, Table45[ [#This Row],[Account Deposit Amount] ]-Table45[ [#This Row],[Account Withdrawl Amount] ], )</f>
        <v>0</v>
      </c>
      <c r="K22" s="129">
        <f>IF(Table45[[#This Row],[CODE]]=3, Table45[ [#This Row],[Account Deposit Amount] ]-Table45[ [#This Row],[Account Withdrawl Amount] ], )</f>
        <v>0</v>
      </c>
      <c r="L22" s="128">
        <f>IF(Table45[[#This Row],[CODE]]=4, Table45[ [#This Row],[Account Deposit Amount] ]-Table45[ [#This Row],[Account Withdrawl Amount] ], )</f>
        <v>0</v>
      </c>
      <c r="M22" s="128">
        <f>IF(Table45[[#This Row],[CODE]]=5, Table45[ [#This Row],[Account Deposit Amount] ]-Table45[ [#This Row],[Account Withdrawl Amount] ], )</f>
        <v>0</v>
      </c>
      <c r="N22" s="128">
        <f>IF(Table45[[#This Row],[CODE]]=6, Table45[ [#This Row],[Account Deposit Amount] ]-Table45[ [#This Row],[Account Withdrawl Amount] ], )</f>
        <v>0</v>
      </c>
      <c r="O22" s="128">
        <f>IF(Table45[[#This Row],[CODE]]=11, Table45[ [#This Row],[Account Deposit Amount] ]-Table45[ [#This Row],[Account Withdrawl Amount] ], )</f>
        <v>0</v>
      </c>
      <c r="P22" s="128">
        <f>IF(Table45[[#This Row],[CODE]]=12, Table45[ [#This Row],[Account Deposit Amount] ]-Table45[ [#This Row],[Account Withdrawl Amount] ], )</f>
        <v>0</v>
      </c>
      <c r="Q22" s="128">
        <f>IF(Table45[[#This Row],[CODE]]=13, Table45[ [#This Row],[Account Deposit Amount] ]-Table45[ [#This Row],[Account Withdrawl Amount] ], )</f>
        <v>0</v>
      </c>
      <c r="R22" s="128">
        <f>IF(Table45[[#This Row],[CODE]]=14, Table45[ [#This Row],[Account Deposit Amount] ]-Table45[ [#This Row],[Account Withdrawl Amount] ], )</f>
        <v>0</v>
      </c>
      <c r="S22" s="128">
        <f>IF(Table45[[#This Row],[CODE]]=15, Table45[ [#This Row],[Account Deposit Amount] ]-Table45[ [#This Row],[Account Withdrawl Amount] ], )</f>
        <v>0</v>
      </c>
      <c r="T22" s="128">
        <f>IF(Table45[[#This Row],[CODE]]=16, Table45[ [#This Row],[Account Deposit Amount] ]-Table45[ [#This Row],[Account Withdrawl Amount] ], )</f>
        <v>0</v>
      </c>
      <c r="U22" s="127">
        <f>IF(Table45[[#This Row],[CODE]]=17, Table45[ [#This Row],[Account Deposit Amount] ]-Table45[ [#This Row],[Account Withdrawl Amount] ], )</f>
        <v>0</v>
      </c>
    </row>
    <row r="23" spans="1:21" ht="16.2" thickBot="1">
      <c r="A23" s="130"/>
      <c r="B23" s="133"/>
      <c r="C23" s="130"/>
      <c r="D23" s="132"/>
      <c r="E23" s="150"/>
      <c r="F23" s="128"/>
      <c r="G23" s="134">
        <f t="shared" si="2"/>
        <v>17851.589999999997</v>
      </c>
      <c r="H23" s="130"/>
      <c r="I23" s="127">
        <f>IF(Table45[[#This Row],[CODE]]=1, Table45[ [#This Row],[Account Deposit Amount] ]-Table45[ [#This Row],[Account Withdrawl Amount] ], )</f>
        <v>0</v>
      </c>
      <c r="J23" s="129">
        <f>IF(Table45[[#This Row],[CODE]]=2, Table45[ [#This Row],[Account Deposit Amount] ]-Table45[ [#This Row],[Account Withdrawl Amount] ], )</f>
        <v>0</v>
      </c>
      <c r="K23" s="129">
        <f>IF(Table45[[#This Row],[CODE]]=3, Table45[ [#This Row],[Account Deposit Amount] ]-Table45[ [#This Row],[Account Withdrawl Amount] ], )</f>
        <v>0</v>
      </c>
      <c r="L23" s="128">
        <f>IF(Table45[[#This Row],[CODE]]=4, Table45[ [#This Row],[Account Deposit Amount] ]-Table45[ [#This Row],[Account Withdrawl Amount] ], )</f>
        <v>0</v>
      </c>
      <c r="M23" s="128">
        <f>IF(Table45[[#This Row],[CODE]]=5, Table45[ [#This Row],[Account Deposit Amount] ]-Table45[ [#This Row],[Account Withdrawl Amount] ], )</f>
        <v>0</v>
      </c>
      <c r="N23" s="128">
        <f>IF(Table45[[#This Row],[CODE]]=6, Table45[ [#This Row],[Account Deposit Amount] ]-Table45[ [#This Row],[Account Withdrawl Amount] ], )</f>
        <v>0</v>
      </c>
      <c r="O23" s="128">
        <f>IF(Table45[[#This Row],[CODE]]=11, Table45[ [#This Row],[Account Deposit Amount] ]-Table45[ [#This Row],[Account Withdrawl Amount] ], )</f>
        <v>0</v>
      </c>
      <c r="P23" s="128">
        <f>IF(Table45[[#This Row],[CODE]]=12, Table45[ [#This Row],[Account Deposit Amount] ]-Table45[ [#This Row],[Account Withdrawl Amount] ], )</f>
        <v>0</v>
      </c>
      <c r="Q23" s="128">
        <f>IF(Table45[[#This Row],[CODE]]=13, Table45[ [#This Row],[Account Deposit Amount] ]-Table45[ [#This Row],[Account Withdrawl Amount] ], )</f>
        <v>0</v>
      </c>
      <c r="R23" s="128">
        <f>IF(Table45[[#This Row],[CODE]]=14, Table45[ [#This Row],[Account Deposit Amount] ]-Table45[ [#This Row],[Account Withdrawl Amount] ], )</f>
        <v>0</v>
      </c>
      <c r="S23" s="128">
        <f>IF(Table45[[#This Row],[CODE]]=15, Table45[ [#This Row],[Account Deposit Amount] ]-Table45[ [#This Row],[Account Withdrawl Amount] ], )</f>
        <v>0</v>
      </c>
      <c r="T23" s="128">
        <f>IF(Table45[[#This Row],[CODE]]=16, Table45[ [#This Row],[Account Deposit Amount] ]-Table45[ [#This Row],[Account Withdrawl Amount] ], )</f>
        <v>0</v>
      </c>
      <c r="U23" s="127">
        <f>IF(Table45[[#This Row],[CODE]]=17, Table45[ [#This Row],[Account Deposit Amount] ]-Table45[ [#This Row],[Account Withdrawl Amount] ], )</f>
        <v>0</v>
      </c>
    </row>
    <row r="24" spans="1:21" ht="16.2" thickBot="1">
      <c r="A24" s="130"/>
      <c r="B24" s="133"/>
      <c r="C24" s="130"/>
      <c r="D24" s="132"/>
      <c r="E24" s="150"/>
      <c r="F24" s="128"/>
      <c r="G24" s="134">
        <f t="shared" si="2"/>
        <v>17851.589999999997</v>
      </c>
      <c r="H24" s="130"/>
      <c r="I24" s="127">
        <f>IF(Table45[[#This Row],[CODE]]=1, Table45[ [#This Row],[Account Deposit Amount] ]-Table45[ [#This Row],[Account Withdrawl Amount] ], )</f>
        <v>0</v>
      </c>
      <c r="J24" s="129">
        <f>IF(Table45[[#This Row],[CODE]]=2, Table45[ [#This Row],[Account Deposit Amount] ]-Table45[ [#This Row],[Account Withdrawl Amount] ], )</f>
        <v>0</v>
      </c>
      <c r="K24" s="129">
        <f>IF(Table45[[#This Row],[CODE]]=3, Table45[ [#This Row],[Account Deposit Amount] ]-Table45[ [#This Row],[Account Withdrawl Amount] ], )</f>
        <v>0</v>
      </c>
      <c r="L24" s="128">
        <f>IF(Table45[[#This Row],[CODE]]=4, Table45[ [#This Row],[Account Deposit Amount] ]-Table45[ [#This Row],[Account Withdrawl Amount] ], )</f>
        <v>0</v>
      </c>
      <c r="M24" s="128">
        <f>IF(Table45[[#This Row],[CODE]]=5, Table45[ [#This Row],[Account Deposit Amount] ]-Table45[ [#This Row],[Account Withdrawl Amount] ], )</f>
        <v>0</v>
      </c>
      <c r="N24" s="128">
        <f>IF(Table45[[#This Row],[CODE]]=6, Table45[ [#This Row],[Account Deposit Amount] ]-Table45[ [#This Row],[Account Withdrawl Amount] ], )</f>
        <v>0</v>
      </c>
      <c r="O24" s="128">
        <f>IF(Table45[[#This Row],[CODE]]=11, Table45[ [#This Row],[Account Deposit Amount] ]-Table45[ [#This Row],[Account Withdrawl Amount] ], )</f>
        <v>0</v>
      </c>
      <c r="P24" s="128">
        <f>IF(Table45[[#This Row],[CODE]]=12, Table45[ [#This Row],[Account Deposit Amount] ]-Table45[ [#This Row],[Account Withdrawl Amount] ], )</f>
        <v>0</v>
      </c>
      <c r="Q24" s="128">
        <f>IF(Table45[[#This Row],[CODE]]=13, Table45[ [#This Row],[Account Deposit Amount] ]-Table45[ [#This Row],[Account Withdrawl Amount] ], )</f>
        <v>0</v>
      </c>
      <c r="R24" s="128">
        <f>IF(Table45[[#This Row],[CODE]]=14, Table45[ [#This Row],[Account Deposit Amount] ]-Table45[ [#This Row],[Account Withdrawl Amount] ], )</f>
        <v>0</v>
      </c>
      <c r="S24" s="128">
        <f>IF(Table45[[#This Row],[CODE]]=15, Table45[ [#This Row],[Account Deposit Amount] ]-Table45[ [#This Row],[Account Withdrawl Amount] ], )</f>
        <v>0</v>
      </c>
      <c r="T24" s="128">
        <f>IF(Table45[[#This Row],[CODE]]=16, Table45[ [#This Row],[Account Deposit Amount] ]-Table45[ [#This Row],[Account Withdrawl Amount] ], )</f>
        <v>0</v>
      </c>
      <c r="U24" s="127">
        <f>IF(Table45[[#This Row],[CODE]]=17, Table45[ [#This Row],[Account Deposit Amount] ]-Table45[ [#This Row],[Account Withdrawl Amount] ], )</f>
        <v>0</v>
      </c>
    </row>
    <row r="25" spans="1:21" ht="16.2" thickBot="1">
      <c r="A25" s="130"/>
      <c r="B25" s="133"/>
      <c r="C25" s="130"/>
      <c r="D25" s="132"/>
      <c r="E25" s="150"/>
      <c r="F25" s="128"/>
      <c r="G25" s="134">
        <f t="shared" si="2"/>
        <v>17851.589999999997</v>
      </c>
      <c r="H25" s="130"/>
      <c r="I25" s="127">
        <f>IF(Table45[[#This Row],[CODE]]=1, Table45[ [#This Row],[Account Deposit Amount] ]-Table45[ [#This Row],[Account Withdrawl Amount] ], )</f>
        <v>0</v>
      </c>
      <c r="J25" s="129">
        <f>IF(Table45[[#This Row],[CODE]]=2, Table45[ [#This Row],[Account Deposit Amount] ]-Table45[ [#This Row],[Account Withdrawl Amount] ], )</f>
        <v>0</v>
      </c>
      <c r="K25" s="129">
        <f>IF(Table45[[#This Row],[CODE]]=3, Table45[ [#This Row],[Account Deposit Amount] ]-Table45[ [#This Row],[Account Withdrawl Amount] ], )</f>
        <v>0</v>
      </c>
      <c r="L25" s="128">
        <f>IF(Table45[[#This Row],[CODE]]=4, Table45[ [#This Row],[Account Deposit Amount] ]-Table45[ [#This Row],[Account Withdrawl Amount] ], )</f>
        <v>0</v>
      </c>
      <c r="M25" s="128">
        <f>IF(Table45[[#This Row],[CODE]]=5, Table45[ [#This Row],[Account Deposit Amount] ]-Table45[ [#This Row],[Account Withdrawl Amount] ], )</f>
        <v>0</v>
      </c>
      <c r="N25" s="128">
        <f>IF(Table45[[#This Row],[CODE]]=6, Table45[ [#This Row],[Account Deposit Amount] ]-Table45[ [#This Row],[Account Withdrawl Amount] ], )</f>
        <v>0</v>
      </c>
      <c r="O25" s="128">
        <f>IF(Table45[[#This Row],[CODE]]=11, Table45[ [#This Row],[Account Deposit Amount] ]-Table45[ [#This Row],[Account Withdrawl Amount] ], )</f>
        <v>0</v>
      </c>
      <c r="P25" s="128">
        <f>IF(Table45[[#This Row],[CODE]]=12, Table45[ [#This Row],[Account Deposit Amount] ]-Table45[ [#This Row],[Account Withdrawl Amount] ], )</f>
        <v>0</v>
      </c>
      <c r="Q25" s="128">
        <f>IF(Table45[[#This Row],[CODE]]=13, Table45[ [#This Row],[Account Deposit Amount] ]-Table45[ [#This Row],[Account Withdrawl Amount] ], )</f>
        <v>0</v>
      </c>
      <c r="R25" s="128">
        <f>IF(Table45[[#This Row],[CODE]]=14, Table45[ [#This Row],[Account Deposit Amount] ]-Table45[ [#This Row],[Account Withdrawl Amount] ], )</f>
        <v>0</v>
      </c>
      <c r="S25" s="128">
        <f>IF(Table45[[#This Row],[CODE]]=15, Table45[ [#This Row],[Account Deposit Amount] ]-Table45[ [#This Row],[Account Withdrawl Amount] ], )</f>
        <v>0</v>
      </c>
      <c r="T25" s="128">
        <f>IF(Table45[[#This Row],[CODE]]=16, Table45[ [#This Row],[Account Deposit Amount] ]-Table45[ [#This Row],[Account Withdrawl Amount] ], )</f>
        <v>0</v>
      </c>
      <c r="U25" s="127">
        <f>IF(Table45[[#This Row],[CODE]]=17, Table45[ [#This Row],[Account Deposit Amount] ]-Table45[ [#This Row],[Account Withdrawl Amount] ], )</f>
        <v>0</v>
      </c>
    </row>
    <row r="26" spans="1:21" ht="16.2" thickBot="1">
      <c r="A26" s="130"/>
      <c r="B26" s="133"/>
      <c r="C26" s="130"/>
      <c r="D26" s="132"/>
      <c r="E26" s="150"/>
      <c r="F26" s="128"/>
      <c r="G26" s="134">
        <f t="shared" si="2"/>
        <v>17851.589999999997</v>
      </c>
      <c r="H26" s="130"/>
      <c r="I26" s="127">
        <f>IF(Table45[[#This Row],[CODE]]=1, Table45[ [#This Row],[Account Deposit Amount] ]-Table45[ [#This Row],[Account Withdrawl Amount] ], )</f>
        <v>0</v>
      </c>
      <c r="J26" s="129">
        <f>IF(Table45[[#This Row],[CODE]]=2, Table45[ [#This Row],[Account Deposit Amount] ]-Table45[ [#This Row],[Account Withdrawl Amount] ], )</f>
        <v>0</v>
      </c>
      <c r="K26" s="129">
        <f>IF(Table45[[#This Row],[CODE]]=3, Table45[ [#This Row],[Account Deposit Amount] ]-Table45[ [#This Row],[Account Withdrawl Amount] ], )</f>
        <v>0</v>
      </c>
      <c r="L26" s="128">
        <f>IF(Table45[[#This Row],[CODE]]=4, Table45[ [#This Row],[Account Deposit Amount] ]-Table45[ [#This Row],[Account Withdrawl Amount] ], )</f>
        <v>0</v>
      </c>
      <c r="M26" s="128">
        <f>IF(Table45[[#This Row],[CODE]]=5, Table45[ [#This Row],[Account Deposit Amount] ]-Table45[ [#This Row],[Account Withdrawl Amount] ], )</f>
        <v>0</v>
      </c>
      <c r="N26" s="128">
        <f>IF(Table45[[#This Row],[CODE]]=6, Table45[ [#This Row],[Account Deposit Amount] ]-Table45[ [#This Row],[Account Withdrawl Amount] ], )</f>
        <v>0</v>
      </c>
      <c r="O26" s="128">
        <f>IF(Table45[[#This Row],[CODE]]=11, Table45[ [#This Row],[Account Deposit Amount] ]-Table45[ [#This Row],[Account Withdrawl Amount] ], )</f>
        <v>0</v>
      </c>
      <c r="P26" s="128">
        <f>IF(Table45[[#This Row],[CODE]]=12, Table45[ [#This Row],[Account Deposit Amount] ]-Table45[ [#This Row],[Account Withdrawl Amount] ], )</f>
        <v>0</v>
      </c>
      <c r="Q26" s="128">
        <f>IF(Table45[[#This Row],[CODE]]=13, Table45[ [#This Row],[Account Deposit Amount] ]-Table45[ [#This Row],[Account Withdrawl Amount] ], )</f>
        <v>0</v>
      </c>
      <c r="R26" s="128">
        <f>IF(Table45[[#This Row],[CODE]]=14, Table45[ [#This Row],[Account Deposit Amount] ]-Table45[ [#This Row],[Account Withdrawl Amount] ], )</f>
        <v>0</v>
      </c>
      <c r="S26" s="128">
        <f>IF(Table45[[#This Row],[CODE]]=15, Table45[ [#This Row],[Account Deposit Amount] ]-Table45[ [#This Row],[Account Withdrawl Amount] ], )</f>
        <v>0</v>
      </c>
      <c r="T26" s="128">
        <f>IF(Table45[[#This Row],[CODE]]=16, Table45[ [#This Row],[Account Deposit Amount] ]-Table45[ [#This Row],[Account Withdrawl Amount] ], )</f>
        <v>0</v>
      </c>
      <c r="U26" s="127">
        <f>IF(Table45[[#This Row],[CODE]]=17, Table45[ [#This Row],[Account Deposit Amount] ]-Table45[ [#This Row],[Account Withdrawl Amount] ], )</f>
        <v>0</v>
      </c>
    </row>
    <row r="27" spans="1:21" ht="16.2" thickBot="1">
      <c r="A27" s="130"/>
      <c r="B27" s="133"/>
      <c r="C27" s="130"/>
      <c r="D27" s="132"/>
      <c r="E27" s="150"/>
      <c r="F27" s="128"/>
      <c r="G27" s="134">
        <f t="shared" si="2"/>
        <v>17851.589999999997</v>
      </c>
      <c r="H27" s="130"/>
      <c r="I27" s="127">
        <f>IF(Table45[[#This Row],[CODE]]=1, Table45[ [#This Row],[Account Deposit Amount] ]-Table45[ [#This Row],[Account Withdrawl Amount] ], )</f>
        <v>0</v>
      </c>
      <c r="J27" s="129">
        <f>IF(Table45[[#This Row],[CODE]]=2, Table45[ [#This Row],[Account Deposit Amount] ]-Table45[ [#This Row],[Account Withdrawl Amount] ], )</f>
        <v>0</v>
      </c>
      <c r="K27" s="129">
        <f>IF(Table45[[#This Row],[CODE]]=3, Table45[ [#This Row],[Account Deposit Amount] ]-Table45[ [#This Row],[Account Withdrawl Amount] ], )</f>
        <v>0</v>
      </c>
      <c r="L27" s="128">
        <f>IF(Table45[[#This Row],[CODE]]=4, Table45[ [#This Row],[Account Deposit Amount] ]-Table45[ [#This Row],[Account Withdrawl Amount] ], )</f>
        <v>0</v>
      </c>
      <c r="M27" s="128">
        <f>IF(Table45[[#This Row],[CODE]]=5, Table45[ [#This Row],[Account Deposit Amount] ]-Table45[ [#This Row],[Account Withdrawl Amount] ], )</f>
        <v>0</v>
      </c>
      <c r="N27" s="128">
        <f>IF(Table45[[#This Row],[CODE]]=6, Table45[ [#This Row],[Account Deposit Amount] ]-Table45[ [#This Row],[Account Withdrawl Amount] ], )</f>
        <v>0</v>
      </c>
      <c r="O27" s="128">
        <f>IF(Table45[[#This Row],[CODE]]=11, Table45[ [#This Row],[Account Deposit Amount] ]-Table45[ [#This Row],[Account Withdrawl Amount] ], )</f>
        <v>0</v>
      </c>
      <c r="P27" s="128">
        <f>IF(Table45[[#This Row],[CODE]]=12, Table45[ [#This Row],[Account Deposit Amount] ]-Table45[ [#This Row],[Account Withdrawl Amount] ], )</f>
        <v>0</v>
      </c>
      <c r="Q27" s="128">
        <f>IF(Table45[[#This Row],[CODE]]=13, Table45[ [#This Row],[Account Deposit Amount] ]-Table45[ [#This Row],[Account Withdrawl Amount] ], )</f>
        <v>0</v>
      </c>
      <c r="R27" s="128">
        <f>IF(Table45[[#This Row],[CODE]]=14, Table45[ [#This Row],[Account Deposit Amount] ]-Table45[ [#This Row],[Account Withdrawl Amount] ], )</f>
        <v>0</v>
      </c>
      <c r="S27" s="128">
        <f>IF(Table45[[#This Row],[CODE]]=15, Table45[ [#This Row],[Account Deposit Amount] ]-Table45[ [#This Row],[Account Withdrawl Amount] ], )</f>
        <v>0</v>
      </c>
      <c r="T27" s="128">
        <f>IF(Table45[[#This Row],[CODE]]=16, Table45[ [#This Row],[Account Deposit Amount] ]-Table45[ [#This Row],[Account Withdrawl Amount] ], )</f>
        <v>0</v>
      </c>
      <c r="U27" s="127">
        <f>IF(Table45[[#This Row],[CODE]]=17, Table45[ [#This Row],[Account Deposit Amount] ]-Table45[ [#This Row],[Account Withdrawl Amount] ], )</f>
        <v>0</v>
      </c>
    </row>
    <row r="28" spans="1:21" ht="16.2" thickBot="1">
      <c r="A28" s="130"/>
      <c r="B28" s="133"/>
      <c r="C28" s="130"/>
      <c r="D28" s="132"/>
      <c r="E28" s="150"/>
      <c r="F28" s="128"/>
      <c r="G28" s="134">
        <f t="shared" si="2"/>
        <v>17851.589999999997</v>
      </c>
      <c r="H28" s="130"/>
      <c r="I28" s="127">
        <f>IF(Table45[[#This Row],[CODE]]=1, Table45[ [#This Row],[Account Deposit Amount] ]-Table45[ [#This Row],[Account Withdrawl Amount] ], )</f>
        <v>0</v>
      </c>
      <c r="J28" s="129">
        <f>IF(Table45[[#This Row],[CODE]]=2, Table45[ [#This Row],[Account Deposit Amount] ]-Table45[ [#This Row],[Account Withdrawl Amount] ], )</f>
        <v>0</v>
      </c>
      <c r="K28" s="129">
        <f>IF(Table45[[#This Row],[CODE]]=3, Table45[ [#This Row],[Account Deposit Amount] ]-Table45[ [#This Row],[Account Withdrawl Amount] ], )</f>
        <v>0</v>
      </c>
      <c r="L28" s="128">
        <f>IF(Table45[[#This Row],[CODE]]=4, Table45[ [#This Row],[Account Deposit Amount] ]-Table45[ [#This Row],[Account Withdrawl Amount] ], )</f>
        <v>0</v>
      </c>
      <c r="M28" s="128">
        <f>IF(Table45[[#This Row],[CODE]]=5, Table45[ [#This Row],[Account Deposit Amount] ]-Table45[ [#This Row],[Account Withdrawl Amount] ], )</f>
        <v>0</v>
      </c>
      <c r="N28" s="128">
        <f>IF(Table45[[#This Row],[CODE]]=6, Table45[ [#This Row],[Account Deposit Amount] ]-Table45[ [#This Row],[Account Withdrawl Amount] ], )</f>
        <v>0</v>
      </c>
      <c r="O28" s="128">
        <f>IF(Table45[[#This Row],[CODE]]=11, Table45[ [#This Row],[Account Deposit Amount] ]-Table45[ [#This Row],[Account Withdrawl Amount] ], )</f>
        <v>0</v>
      </c>
      <c r="P28" s="128">
        <f>IF(Table45[[#This Row],[CODE]]=12, Table45[ [#This Row],[Account Deposit Amount] ]-Table45[ [#This Row],[Account Withdrawl Amount] ], )</f>
        <v>0</v>
      </c>
      <c r="Q28" s="128">
        <f>IF(Table45[[#This Row],[CODE]]=13, Table45[ [#This Row],[Account Deposit Amount] ]-Table45[ [#This Row],[Account Withdrawl Amount] ], )</f>
        <v>0</v>
      </c>
      <c r="R28" s="128">
        <f>IF(Table45[[#This Row],[CODE]]=14, Table45[ [#This Row],[Account Deposit Amount] ]-Table45[ [#This Row],[Account Withdrawl Amount] ], )</f>
        <v>0</v>
      </c>
      <c r="S28" s="128">
        <f>IF(Table45[[#This Row],[CODE]]=15, Table45[ [#This Row],[Account Deposit Amount] ]-Table45[ [#This Row],[Account Withdrawl Amount] ], )</f>
        <v>0</v>
      </c>
      <c r="T28" s="128">
        <f>IF(Table45[[#This Row],[CODE]]=16, Table45[ [#This Row],[Account Deposit Amount] ]-Table45[ [#This Row],[Account Withdrawl Amount] ], )</f>
        <v>0</v>
      </c>
      <c r="U28" s="127">
        <f>IF(Table45[[#This Row],[CODE]]=17, Table45[ [#This Row],[Account Deposit Amount] ]-Table45[ [#This Row],[Account Withdrawl Amount] ], )</f>
        <v>0</v>
      </c>
    </row>
    <row r="29" spans="1:21" ht="16.2" thickBot="1">
      <c r="A29" s="130"/>
      <c r="B29" s="133"/>
      <c r="C29" s="130"/>
      <c r="D29" s="132"/>
      <c r="E29" s="150"/>
      <c r="F29" s="128"/>
      <c r="G29" s="134">
        <f t="shared" si="2"/>
        <v>17851.589999999997</v>
      </c>
      <c r="H29" s="130"/>
      <c r="I29" s="127">
        <f>IF(Table45[[#This Row],[CODE]]=1, Table45[ [#This Row],[Account Deposit Amount] ]-Table45[ [#This Row],[Account Withdrawl Amount] ], )</f>
        <v>0</v>
      </c>
      <c r="J29" s="129">
        <f>IF(Table45[[#This Row],[CODE]]=2, Table45[ [#This Row],[Account Deposit Amount] ]-Table45[ [#This Row],[Account Withdrawl Amount] ], )</f>
        <v>0</v>
      </c>
      <c r="K29" s="129">
        <f>IF(Table45[[#This Row],[CODE]]=3, Table45[ [#This Row],[Account Deposit Amount] ]-Table45[ [#This Row],[Account Withdrawl Amount] ], )</f>
        <v>0</v>
      </c>
      <c r="L29" s="128">
        <f>IF(Table45[[#This Row],[CODE]]=4, Table45[ [#This Row],[Account Deposit Amount] ]-Table45[ [#This Row],[Account Withdrawl Amount] ], )</f>
        <v>0</v>
      </c>
      <c r="M29" s="128">
        <f>IF(Table45[[#This Row],[CODE]]=5, Table45[ [#This Row],[Account Deposit Amount] ]-Table45[ [#This Row],[Account Withdrawl Amount] ], )</f>
        <v>0</v>
      </c>
      <c r="N29" s="128">
        <f>IF(Table45[[#This Row],[CODE]]=6, Table45[ [#This Row],[Account Deposit Amount] ]-Table45[ [#This Row],[Account Withdrawl Amount] ], )</f>
        <v>0</v>
      </c>
      <c r="O29" s="128">
        <f>IF(Table45[[#This Row],[CODE]]=11, Table45[ [#This Row],[Account Deposit Amount] ]-Table45[ [#This Row],[Account Withdrawl Amount] ], )</f>
        <v>0</v>
      </c>
      <c r="P29" s="128">
        <f>IF(Table45[[#This Row],[CODE]]=12, Table45[ [#This Row],[Account Deposit Amount] ]-Table45[ [#This Row],[Account Withdrawl Amount] ], )</f>
        <v>0</v>
      </c>
      <c r="Q29" s="128">
        <f>IF(Table45[[#This Row],[CODE]]=13, Table45[ [#This Row],[Account Deposit Amount] ]-Table45[ [#This Row],[Account Withdrawl Amount] ], )</f>
        <v>0</v>
      </c>
      <c r="R29" s="128">
        <f>IF(Table45[[#This Row],[CODE]]=14, Table45[ [#This Row],[Account Deposit Amount] ]-Table45[ [#This Row],[Account Withdrawl Amount] ], )</f>
        <v>0</v>
      </c>
      <c r="S29" s="128">
        <f>IF(Table45[[#This Row],[CODE]]=15, Table45[ [#This Row],[Account Deposit Amount] ]-Table45[ [#This Row],[Account Withdrawl Amount] ], )</f>
        <v>0</v>
      </c>
      <c r="T29" s="128">
        <f>IF(Table45[[#This Row],[CODE]]=16, Table45[ [#This Row],[Account Deposit Amount] ]-Table45[ [#This Row],[Account Withdrawl Amount] ], )</f>
        <v>0</v>
      </c>
      <c r="U29" s="127">
        <f>IF(Table45[[#This Row],[CODE]]=17, Table45[ [#This Row],[Account Deposit Amount] ]-Table45[ [#This Row],[Account Withdrawl Amount] ], )</f>
        <v>0</v>
      </c>
    </row>
    <row r="30" spans="1:21" ht="16.2" thickBot="1">
      <c r="A30" s="130"/>
      <c r="B30" s="133"/>
      <c r="C30" s="130"/>
      <c r="D30" s="132"/>
      <c r="E30" s="150"/>
      <c r="F30" s="128"/>
      <c r="G30" s="134">
        <f t="shared" si="2"/>
        <v>17851.589999999997</v>
      </c>
      <c r="H30" s="130"/>
      <c r="I30" s="127">
        <f>IF(Table45[[#This Row],[CODE]]=1, Table45[ [#This Row],[Account Deposit Amount] ]-Table45[ [#This Row],[Account Withdrawl Amount] ], )</f>
        <v>0</v>
      </c>
      <c r="J30" s="129">
        <f>IF(Table45[[#This Row],[CODE]]=2, Table45[ [#This Row],[Account Deposit Amount] ]-Table45[ [#This Row],[Account Withdrawl Amount] ], )</f>
        <v>0</v>
      </c>
      <c r="K30" s="129">
        <f>IF(Table45[[#This Row],[CODE]]=3, Table45[ [#This Row],[Account Deposit Amount] ]-Table45[ [#This Row],[Account Withdrawl Amount] ], )</f>
        <v>0</v>
      </c>
      <c r="L30" s="128">
        <f>IF(Table45[[#This Row],[CODE]]=4, Table45[ [#This Row],[Account Deposit Amount] ]-Table45[ [#This Row],[Account Withdrawl Amount] ], )</f>
        <v>0</v>
      </c>
      <c r="M30" s="128">
        <f>IF(Table45[[#This Row],[CODE]]=5, Table45[ [#This Row],[Account Deposit Amount] ]-Table45[ [#This Row],[Account Withdrawl Amount] ], )</f>
        <v>0</v>
      </c>
      <c r="N30" s="128">
        <f>IF(Table45[[#This Row],[CODE]]=6, Table45[ [#This Row],[Account Deposit Amount] ]-Table45[ [#This Row],[Account Withdrawl Amount] ], )</f>
        <v>0</v>
      </c>
      <c r="O30" s="128">
        <f>IF(Table45[[#This Row],[CODE]]=11, Table45[ [#This Row],[Account Deposit Amount] ]-Table45[ [#This Row],[Account Withdrawl Amount] ], )</f>
        <v>0</v>
      </c>
      <c r="P30" s="128">
        <f>IF(Table45[[#This Row],[CODE]]=12, Table45[ [#This Row],[Account Deposit Amount] ]-Table45[ [#This Row],[Account Withdrawl Amount] ], )</f>
        <v>0</v>
      </c>
      <c r="Q30" s="128">
        <f>IF(Table45[[#This Row],[CODE]]=13, Table45[ [#This Row],[Account Deposit Amount] ]-Table45[ [#This Row],[Account Withdrawl Amount] ], )</f>
        <v>0</v>
      </c>
      <c r="R30" s="128">
        <f>IF(Table45[[#This Row],[CODE]]=14, Table45[ [#This Row],[Account Deposit Amount] ]-Table45[ [#This Row],[Account Withdrawl Amount] ], )</f>
        <v>0</v>
      </c>
      <c r="S30" s="128">
        <f>IF(Table45[[#This Row],[CODE]]=15, Table45[ [#This Row],[Account Deposit Amount] ]-Table45[ [#This Row],[Account Withdrawl Amount] ], )</f>
        <v>0</v>
      </c>
      <c r="T30" s="128">
        <f>IF(Table45[[#This Row],[CODE]]=16, Table45[ [#This Row],[Account Deposit Amount] ]-Table45[ [#This Row],[Account Withdrawl Amount] ], )</f>
        <v>0</v>
      </c>
      <c r="U30" s="127">
        <f>IF(Table45[[#This Row],[CODE]]=17, Table45[ [#This Row],[Account Deposit Amount] ]-Table45[ [#This Row],[Account Withdrawl Amount] ], )</f>
        <v>0</v>
      </c>
    </row>
    <row r="31" spans="1:21" ht="16.2" thickBot="1">
      <c r="A31" s="130"/>
      <c r="B31" s="133"/>
      <c r="C31" s="130"/>
      <c r="D31" s="132"/>
      <c r="E31" s="150"/>
      <c r="F31" s="128"/>
      <c r="G31" s="134">
        <f t="shared" si="2"/>
        <v>17851.589999999997</v>
      </c>
      <c r="H31" s="130"/>
      <c r="I31" s="127">
        <f>IF(Table45[[#This Row],[CODE]]=1, Table45[ [#This Row],[Account Deposit Amount] ]-Table45[ [#This Row],[Account Withdrawl Amount] ], )</f>
        <v>0</v>
      </c>
      <c r="J31" s="129">
        <f>IF(Table45[[#This Row],[CODE]]=2, Table45[ [#This Row],[Account Deposit Amount] ]-Table45[ [#This Row],[Account Withdrawl Amount] ], )</f>
        <v>0</v>
      </c>
      <c r="K31" s="129">
        <f>IF(Table45[[#This Row],[CODE]]=3, Table45[ [#This Row],[Account Deposit Amount] ]-Table45[ [#This Row],[Account Withdrawl Amount] ], )</f>
        <v>0</v>
      </c>
      <c r="L31" s="128">
        <f>IF(Table45[[#This Row],[CODE]]=4, Table45[ [#This Row],[Account Deposit Amount] ]-Table45[ [#This Row],[Account Withdrawl Amount] ], )</f>
        <v>0</v>
      </c>
      <c r="M31" s="128">
        <f>IF(Table45[[#This Row],[CODE]]=5, Table45[ [#This Row],[Account Deposit Amount] ]-Table45[ [#This Row],[Account Withdrawl Amount] ], )</f>
        <v>0</v>
      </c>
      <c r="N31" s="128">
        <f>IF(Table45[[#This Row],[CODE]]=6, Table45[ [#This Row],[Account Deposit Amount] ]-Table45[ [#This Row],[Account Withdrawl Amount] ], )</f>
        <v>0</v>
      </c>
      <c r="O31" s="128">
        <f>IF(Table45[[#This Row],[CODE]]=11, Table45[ [#This Row],[Account Deposit Amount] ]-Table45[ [#This Row],[Account Withdrawl Amount] ], )</f>
        <v>0</v>
      </c>
      <c r="P31" s="128">
        <f>IF(Table45[[#This Row],[CODE]]=12, Table45[ [#This Row],[Account Deposit Amount] ]-Table45[ [#This Row],[Account Withdrawl Amount] ], )</f>
        <v>0</v>
      </c>
      <c r="Q31" s="128">
        <f>IF(Table45[[#This Row],[CODE]]=13, Table45[ [#This Row],[Account Deposit Amount] ]-Table45[ [#This Row],[Account Withdrawl Amount] ], )</f>
        <v>0</v>
      </c>
      <c r="R31" s="128">
        <f>IF(Table45[[#This Row],[CODE]]=14, Table45[ [#This Row],[Account Deposit Amount] ]-Table45[ [#This Row],[Account Withdrawl Amount] ], )</f>
        <v>0</v>
      </c>
      <c r="S31" s="128">
        <f>IF(Table45[[#This Row],[CODE]]=15, Table45[ [#This Row],[Account Deposit Amount] ]-Table45[ [#This Row],[Account Withdrawl Amount] ], )</f>
        <v>0</v>
      </c>
      <c r="T31" s="128">
        <f>IF(Table45[[#This Row],[CODE]]=16, Table45[ [#This Row],[Account Deposit Amount] ]-Table45[ [#This Row],[Account Withdrawl Amount] ], )</f>
        <v>0</v>
      </c>
      <c r="U31" s="127">
        <f>IF(Table45[[#This Row],[CODE]]=17, Table45[ [#This Row],[Account Deposit Amount] ]-Table45[ [#This Row],[Account Withdrawl Amount] ], )</f>
        <v>0</v>
      </c>
    </row>
    <row r="32" spans="1:21" ht="16.2" thickBot="1">
      <c r="A32" s="130"/>
      <c r="B32" s="133"/>
      <c r="C32" s="130"/>
      <c r="D32" s="132"/>
      <c r="E32" s="128"/>
      <c r="F32" s="128"/>
      <c r="G32" s="134">
        <f t="shared" si="2"/>
        <v>17851.589999999997</v>
      </c>
      <c r="H32" s="130"/>
      <c r="I32" s="127">
        <f>IF(Table45[[#This Row],[CODE]]=1, Table45[ [#This Row],[Account Deposit Amount] ]-Table45[ [#This Row],[Account Withdrawl Amount] ], )</f>
        <v>0</v>
      </c>
      <c r="J32" s="129">
        <f>IF(Table45[[#This Row],[CODE]]=2, Table45[ [#This Row],[Account Deposit Amount] ]-Table45[ [#This Row],[Account Withdrawl Amount] ], )</f>
        <v>0</v>
      </c>
      <c r="K32" s="129">
        <f>IF(Table45[[#This Row],[CODE]]=3, Table45[ [#This Row],[Account Deposit Amount] ]-Table45[ [#This Row],[Account Withdrawl Amount] ], )</f>
        <v>0</v>
      </c>
      <c r="L32" s="128">
        <f>IF(Table45[[#This Row],[CODE]]=4, Table45[ [#This Row],[Account Deposit Amount] ]-Table45[ [#This Row],[Account Withdrawl Amount] ], )</f>
        <v>0</v>
      </c>
      <c r="M32" s="128">
        <f>IF(Table45[[#This Row],[CODE]]=5, Table45[ [#This Row],[Account Deposit Amount] ]-Table45[ [#This Row],[Account Withdrawl Amount] ], )</f>
        <v>0</v>
      </c>
      <c r="N32" s="128">
        <f>IF(Table45[[#This Row],[CODE]]=6, Table45[ [#This Row],[Account Deposit Amount] ]-Table45[ [#This Row],[Account Withdrawl Amount] ], )</f>
        <v>0</v>
      </c>
      <c r="O32" s="128">
        <f>IF(Table45[[#This Row],[CODE]]=11, Table45[ [#This Row],[Account Deposit Amount] ]-Table45[ [#This Row],[Account Withdrawl Amount] ], )</f>
        <v>0</v>
      </c>
      <c r="P32" s="128">
        <f>IF(Table45[[#This Row],[CODE]]=12, Table45[ [#This Row],[Account Deposit Amount] ]-Table45[ [#This Row],[Account Withdrawl Amount] ], )</f>
        <v>0</v>
      </c>
      <c r="Q32" s="128">
        <f>IF(Table45[[#This Row],[CODE]]=13, Table45[ [#This Row],[Account Deposit Amount] ]-Table45[ [#This Row],[Account Withdrawl Amount] ], )</f>
        <v>0</v>
      </c>
      <c r="R32" s="128">
        <f>IF(Table45[[#This Row],[CODE]]=14, Table45[ [#This Row],[Account Deposit Amount] ]-Table45[ [#This Row],[Account Withdrawl Amount] ], )</f>
        <v>0</v>
      </c>
      <c r="S32" s="128">
        <f>IF(Table45[[#This Row],[CODE]]=15, Table45[ [#This Row],[Account Deposit Amount] ]-Table45[ [#This Row],[Account Withdrawl Amount] ], )</f>
        <v>0</v>
      </c>
      <c r="T32" s="128">
        <f>IF(Table45[[#This Row],[CODE]]=16, Table45[ [#This Row],[Account Deposit Amount] ]-Table45[ [#This Row],[Account Withdrawl Amount] ], )</f>
        <v>0</v>
      </c>
      <c r="U32" s="127">
        <f>IF(Table45[[#This Row],[CODE]]=17, Table45[ [#This Row],[Account Deposit Amount] ]-Table45[ [#This Row],[Account Withdrawl Amount] ], )</f>
        <v>0</v>
      </c>
    </row>
    <row r="33" spans="1:21" ht="16.2" thickBot="1">
      <c r="A33" s="130"/>
      <c r="B33" s="133"/>
      <c r="C33" s="130"/>
      <c r="D33" s="132"/>
      <c r="E33" s="128"/>
      <c r="F33" s="128"/>
      <c r="G33" s="134">
        <f t="shared" si="2"/>
        <v>17851.589999999997</v>
      </c>
      <c r="H33" s="130"/>
      <c r="I33" s="127">
        <f>IF(Table45[[#This Row],[CODE]]=1, Table45[ [#This Row],[Account Deposit Amount] ]-Table45[ [#This Row],[Account Withdrawl Amount] ], )</f>
        <v>0</v>
      </c>
      <c r="J33" s="129">
        <f>IF(Table45[[#This Row],[CODE]]=2, Table45[ [#This Row],[Account Deposit Amount] ]-Table45[ [#This Row],[Account Withdrawl Amount] ], )</f>
        <v>0</v>
      </c>
      <c r="K33" s="129">
        <f>IF(Table45[[#This Row],[CODE]]=3, Table45[ [#This Row],[Account Deposit Amount] ]-Table45[ [#This Row],[Account Withdrawl Amount] ], )</f>
        <v>0</v>
      </c>
      <c r="L33" s="128">
        <f>IF(Table45[[#This Row],[CODE]]=4, Table45[ [#This Row],[Account Deposit Amount] ]-Table45[ [#This Row],[Account Withdrawl Amount] ], )</f>
        <v>0</v>
      </c>
      <c r="M33" s="128">
        <f>IF(Table45[[#This Row],[CODE]]=5, Table45[ [#This Row],[Account Deposit Amount] ]-Table45[ [#This Row],[Account Withdrawl Amount] ], )</f>
        <v>0</v>
      </c>
      <c r="N33" s="128">
        <f>IF(Table45[[#This Row],[CODE]]=6, Table45[ [#This Row],[Account Deposit Amount] ]-Table45[ [#This Row],[Account Withdrawl Amount] ], )</f>
        <v>0</v>
      </c>
      <c r="O33" s="128">
        <f>IF(Table45[[#This Row],[CODE]]=11, Table45[ [#This Row],[Account Deposit Amount] ]-Table45[ [#This Row],[Account Withdrawl Amount] ], )</f>
        <v>0</v>
      </c>
      <c r="P33" s="128">
        <f>IF(Table45[[#This Row],[CODE]]=12, Table45[ [#This Row],[Account Deposit Amount] ]-Table45[ [#This Row],[Account Withdrawl Amount] ], )</f>
        <v>0</v>
      </c>
      <c r="Q33" s="128">
        <f>IF(Table45[[#This Row],[CODE]]=13, Table45[ [#This Row],[Account Deposit Amount] ]-Table45[ [#This Row],[Account Withdrawl Amount] ], )</f>
        <v>0</v>
      </c>
      <c r="R33" s="128">
        <f>IF(Table45[[#This Row],[CODE]]=14, Table45[ [#This Row],[Account Deposit Amount] ]-Table45[ [#This Row],[Account Withdrawl Amount] ], )</f>
        <v>0</v>
      </c>
      <c r="S33" s="128">
        <f>IF(Table45[[#This Row],[CODE]]=15, Table45[ [#This Row],[Account Deposit Amount] ]-Table45[ [#This Row],[Account Withdrawl Amount] ], )</f>
        <v>0</v>
      </c>
      <c r="T33" s="128">
        <f>IF(Table45[[#This Row],[CODE]]=16, Table45[ [#This Row],[Account Deposit Amount] ]-Table45[ [#This Row],[Account Withdrawl Amount] ], )</f>
        <v>0</v>
      </c>
      <c r="U33" s="127">
        <f>IF(Table45[[#This Row],[CODE]]=17, Table45[ [#This Row],[Account Deposit Amount] ]-Table45[ [#This Row],[Account Withdrawl Amount] ], )</f>
        <v>0</v>
      </c>
    </row>
    <row r="34" spans="1:21" ht="16.2" thickBot="1">
      <c r="A34" s="130"/>
      <c r="B34" s="133"/>
      <c r="C34" s="130"/>
      <c r="D34" s="132"/>
      <c r="E34" s="128"/>
      <c r="F34" s="128"/>
      <c r="G34" s="134">
        <f t="shared" si="2"/>
        <v>17851.589999999997</v>
      </c>
      <c r="H34" s="130"/>
      <c r="I34" s="127">
        <f>IF(Table45[[#This Row],[CODE]]=1, Table45[ [#This Row],[Account Deposit Amount] ]-Table45[ [#This Row],[Account Withdrawl Amount] ], )</f>
        <v>0</v>
      </c>
      <c r="J34" s="129">
        <f>IF(Table45[[#This Row],[CODE]]=2, Table45[ [#This Row],[Account Deposit Amount] ]-Table45[ [#This Row],[Account Withdrawl Amount] ], )</f>
        <v>0</v>
      </c>
      <c r="K34" s="129">
        <f>IF(Table45[[#This Row],[CODE]]=3, Table45[ [#This Row],[Account Deposit Amount] ]-Table45[ [#This Row],[Account Withdrawl Amount] ], )</f>
        <v>0</v>
      </c>
      <c r="L34" s="128">
        <f>IF(Table45[[#This Row],[CODE]]=4, Table45[ [#This Row],[Account Deposit Amount] ]-Table45[ [#This Row],[Account Withdrawl Amount] ], )</f>
        <v>0</v>
      </c>
      <c r="M34" s="128">
        <f>IF(Table45[[#This Row],[CODE]]=5, Table45[ [#This Row],[Account Deposit Amount] ]-Table45[ [#This Row],[Account Withdrawl Amount] ], )</f>
        <v>0</v>
      </c>
      <c r="N34" s="128">
        <f>IF(Table45[[#This Row],[CODE]]=6, Table45[ [#This Row],[Account Deposit Amount] ]-Table45[ [#This Row],[Account Withdrawl Amount] ], )</f>
        <v>0</v>
      </c>
      <c r="O34" s="128">
        <f>IF(Table45[[#This Row],[CODE]]=11, Table45[ [#This Row],[Account Deposit Amount] ]-Table45[ [#This Row],[Account Withdrawl Amount] ], )</f>
        <v>0</v>
      </c>
      <c r="P34" s="128">
        <f>IF(Table45[[#This Row],[CODE]]=12, Table45[ [#This Row],[Account Deposit Amount] ]-Table45[ [#This Row],[Account Withdrawl Amount] ], )</f>
        <v>0</v>
      </c>
      <c r="Q34" s="128">
        <f>IF(Table45[[#This Row],[CODE]]=13, Table45[ [#This Row],[Account Deposit Amount] ]-Table45[ [#This Row],[Account Withdrawl Amount] ], )</f>
        <v>0</v>
      </c>
      <c r="R34" s="128">
        <f>IF(Table45[[#This Row],[CODE]]=14, Table45[ [#This Row],[Account Deposit Amount] ]-Table45[ [#This Row],[Account Withdrawl Amount] ], )</f>
        <v>0</v>
      </c>
      <c r="S34" s="128">
        <f>IF(Table45[[#This Row],[CODE]]=15, Table45[ [#This Row],[Account Deposit Amount] ]-Table45[ [#This Row],[Account Withdrawl Amount] ], )</f>
        <v>0</v>
      </c>
      <c r="T34" s="128">
        <f>IF(Table45[[#This Row],[CODE]]=16, Table45[ [#This Row],[Account Deposit Amount] ]-Table45[ [#This Row],[Account Withdrawl Amount] ], )</f>
        <v>0</v>
      </c>
      <c r="U34" s="127">
        <f>IF(Table45[[#This Row],[CODE]]=17, Table45[ [#This Row],[Account Deposit Amount] ]-Table45[ [#This Row],[Account Withdrawl Amount] ], )</f>
        <v>0</v>
      </c>
    </row>
    <row r="35" spans="1:21" ht="16.2" thickBot="1">
      <c r="A35" s="130"/>
      <c r="B35" s="133"/>
      <c r="C35" s="130"/>
      <c r="D35" s="132"/>
      <c r="E35" s="128"/>
      <c r="F35" s="128"/>
      <c r="G35" s="134">
        <f t="shared" si="2"/>
        <v>17851.589999999997</v>
      </c>
      <c r="H35" s="130"/>
      <c r="I35" s="127">
        <f>IF(Table45[[#This Row],[CODE]]=1, Table45[ [#This Row],[Account Deposit Amount] ]-Table45[ [#This Row],[Account Withdrawl Amount] ], )</f>
        <v>0</v>
      </c>
      <c r="J35" s="129">
        <f>IF(Table45[[#This Row],[CODE]]=2, Table45[ [#This Row],[Account Deposit Amount] ]-Table45[ [#This Row],[Account Withdrawl Amount] ], )</f>
        <v>0</v>
      </c>
      <c r="K35" s="129">
        <f>IF(Table45[[#This Row],[CODE]]=3, Table45[ [#This Row],[Account Deposit Amount] ]-Table45[ [#This Row],[Account Withdrawl Amount] ], )</f>
        <v>0</v>
      </c>
      <c r="L35" s="128">
        <f>IF(Table45[[#This Row],[CODE]]=4, Table45[ [#This Row],[Account Deposit Amount] ]-Table45[ [#This Row],[Account Withdrawl Amount] ], )</f>
        <v>0</v>
      </c>
      <c r="M35" s="128">
        <f>IF(Table45[[#This Row],[CODE]]=5, Table45[ [#This Row],[Account Deposit Amount] ]-Table45[ [#This Row],[Account Withdrawl Amount] ], )</f>
        <v>0</v>
      </c>
      <c r="N35" s="128">
        <f>IF(Table45[[#This Row],[CODE]]=6, Table45[ [#This Row],[Account Deposit Amount] ]-Table45[ [#This Row],[Account Withdrawl Amount] ], )</f>
        <v>0</v>
      </c>
      <c r="O35" s="128">
        <f>IF(Table45[[#This Row],[CODE]]=11, Table45[ [#This Row],[Account Deposit Amount] ]-Table45[ [#This Row],[Account Withdrawl Amount] ], )</f>
        <v>0</v>
      </c>
      <c r="P35" s="128">
        <f>IF(Table45[[#This Row],[CODE]]=12, Table45[ [#This Row],[Account Deposit Amount] ]-Table45[ [#This Row],[Account Withdrawl Amount] ], )</f>
        <v>0</v>
      </c>
      <c r="Q35" s="128">
        <f>IF(Table45[[#This Row],[CODE]]=13, Table45[ [#This Row],[Account Deposit Amount] ]-Table45[ [#This Row],[Account Withdrawl Amount] ], )</f>
        <v>0</v>
      </c>
      <c r="R35" s="128">
        <f>IF(Table45[[#This Row],[CODE]]=14, Table45[ [#This Row],[Account Deposit Amount] ]-Table45[ [#This Row],[Account Withdrawl Amount] ], )</f>
        <v>0</v>
      </c>
      <c r="S35" s="128">
        <f>IF(Table45[[#This Row],[CODE]]=15, Table45[ [#This Row],[Account Deposit Amount] ]-Table45[ [#This Row],[Account Withdrawl Amount] ], )</f>
        <v>0</v>
      </c>
      <c r="T35" s="128">
        <f>IF(Table45[[#This Row],[CODE]]=16, Table45[ [#This Row],[Account Deposit Amount] ]-Table45[ [#This Row],[Account Withdrawl Amount] ], )</f>
        <v>0</v>
      </c>
      <c r="U35" s="127">
        <f>IF(Table45[[#This Row],[CODE]]=17, Table45[ [#This Row],[Account Deposit Amount] ]-Table45[ [#This Row],[Account Withdrawl Amount] ], )</f>
        <v>0</v>
      </c>
    </row>
    <row r="36" spans="1:21" ht="16.2" thickBot="1">
      <c r="A36" s="130"/>
      <c r="B36" s="133"/>
      <c r="C36" s="130"/>
      <c r="D36" s="132"/>
      <c r="E36" s="128"/>
      <c r="F36" s="128"/>
      <c r="G36" s="134">
        <f t="shared" si="2"/>
        <v>17851.589999999997</v>
      </c>
      <c r="H36" s="130"/>
      <c r="I36" s="127">
        <f>IF(Table45[[#This Row],[CODE]]=1, Table45[ [#This Row],[Account Deposit Amount] ]-Table45[ [#This Row],[Account Withdrawl Amount] ], )</f>
        <v>0</v>
      </c>
      <c r="J36" s="129">
        <f>IF(Table45[[#This Row],[CODE]]=2, Table45[ [#This Row],[Account Deposit Amount] ]-Table45[ [#This Row],[Account Withdrawl Amount] ], )</f>
        <v>0</v>
      </c>
      <c r="K36" s="129">
        <f>IF(Table45[[#This Row],[CODE]]=3, Table45[ [#This Row],[Account Deposit Amount] ]-Table45[ [#This Row],[Account Withdrawl Amount] ], )</f>
        <v>0</v>
      </c>
      <c r="L36" s="128">
        <f>IF(Table45[[#This Row],[CODE]]=4, Table45[ [#This Row],[Account Deposit Amount] ]-Table45[ [#This Row],[Account Withdrawl Amount] ], )</f>
        <v>0</v>
      </c>
      <c r="M36" s="128">
        <f>IF(Table45[[#This Row],[CODE]]=5, Table45[ [#This Row],[Account Deposit Amount] ]-Table45[ [#This Row],[Account Withdrawl Amount] ], )</f>
        <v>0</v>
      </c>
      <c r="N36" s="128">
        <f>IF(Table45[[#This Row],[CODE]]=6, Table45[ [#This Row],[Account Deposit Amount] ]-Table45[ [#This Row],[Account Withdrawl Amount] ], )</f>
        <v>0</v>
      </c>
      <c r="O36" s="128">
        <f>IF(Table45[[#This Row],[CODE]]=11, Table45[ [#This Row],[Account Deposit Amount] ]-Table45[ [#This Row],[Account Withdrawl Amount] ], )</f>
        <v>0</v>
      </c>
      <c r="P36" s="128">
        <f>IF(Table45[[#This Row],[CODE]]=12, Table45[ [#This Row],[Account Deposit Amount] ]-Table45[ [#This Row],[Account Withdrawl Amount] ], )</f>
        <v>0</v>
      </c>
      <c r="Q36" s="128">
        <f>IF(Table45[[#This Row],[CODE]]=13, Table45[ [#This Row],[Account Deposit Amount] ]-Table45[ [#This Row],[Account Withdrawl Amount] ], )</f>
        <v>0</v>
      </c>
      <c r="R36" s="128">
        <f>IF(Table45[[#This Row],[CODE]]=14, Table45[ [#This Row],[Account Deposit Amount] ]-Table45[ [#This Row],[Account Withdrawl Amount] ], )</f>
        <v>0</v>
      </c>
      <c r="S36" s="128">
        <f>IF(Table45[[#This Row],[CODE]]=15, Table45[ [#This Row],[Account Deposit Amount] ]-Table45[ [#This Row],[Account Withdrawl Amount] ], )</f>
        <v>0</v>
      </c>
      <c r="T36" s="128">
        <f>IF(Table45[[#This Row],[CODE]]=16, Table45[ [#This Row],[Account Deposit Amount] ]-Table45[ [#This Row],[Account Withdrawl Amount] ], )</f>
        <v>0</v>
      </c>
      <c r="U36" s="127">
        <f>IF(Table45[[#This Row],[CODE]]=17, Table45[ [#This Row],[Account Deposit Amount] ]-Table45[ [#This Row],[Account Withdrawl Amount] ], )</f>
        <v>0</v>
      </c>
    </row>
    <row r="37" spans="1:21" ht="16.2" thickBot="1">
      <c r="A37" s="130"/>
      <c r="B37" s="133"/>
      <c r="C37" s="130"/>
      <c r="D37" s="132"/>
      <c r="E37" s="128"/>
      <c r="F37" s="128"/>
      <c r="G37" s="134">
        <f t="shared" ref="G37:G68" si="3">G36+E37-F37</f>
        <v>17851.589999999997</v>
      </c>
      <c r="H37" s="130"/>
      <c r="I37" s="127">
        <f>IF(Table45[[#This Row],[CODE]]=1, Table45[ [#This Row],[Account Deposit Amount] ]-Table45[ [#This Row],[Account Withdrawl Amount] ], )</f>
        <v>0</v>
      </c>
      <c r="J37" s="129">
        <f>IF(Table45[[#This Row],[CODE]]=2, Table45[ [#This Row],[Account Deposit Amount] ]-Table45[ [#This Row],[Account Withdrawl Amount] ], )</f>
        <v>0</v>
      </c>
      <c r="K37" s="129">
        <f>IF(Table45[[#This Row],[CODE]]=3, Table45[ [#This Row],[Account Deposit Amount] ]-Table45[ [#This Row],[Account Withdrawl Amount] ], )</f>
        <v>0</v>
      </c>
      <c r="L37" s="128">
        <f>IF(Table45[[#This Row],[CODE]]=4, Table45[ [#This Row],[Account Deposit Amount] ]-Table45[ [#This Row],[Account Withdrawl Amount] ], )</f>
        <v>0</v>
      </c>
      <c r="M37" s="128">
        <f>IF(Table45[[#This Row],[CODE]]=5, Table45[ [#This Row],[Account Deposit Amount] ]-Table45[ [#This Row],[Account Withdrawl Amount] ], )</f>
        <v>0</v>
      </c>
      <c r="N37" s="128">
        <f>IF(Table45[[#This Row],[CODE]]=6, Table45[ [#This Row],[Account Deposit Amount] ]-Table45[ [#This Row],[Account Withdrawl Amount] ], )</f>
        <v>0</v>
      </c>
      <c r="O37" s="128">
        <f>IF(Table45[[#This Row],[CODE]]=11, Table45[ [#This Row],[Account Deposit Amount] ]-Table45[ [#This Row],[Account Withdrawl Amount] ], )</f>
        <v>0</v>
      </c>
      <c r="P37" s="128">
        <f>IF(Table45[[#This Row],[CODE]]=12, Table45[ [#This Row],[Account Deposit Amount] ]-Table45[ [#This Row],[Account Withdrawl Amount] ], )</f>
        <v>0</v>
      </c>
      <c r="Q37" s="128">
        <f>IF(Table45[[#This Row],[CODE]]=13, Table45[ [#This Row],[Account Deposit Amount] ]-Table45[ [#This Row],[Account Withdrawl Amount] ], )</f>
        <v>0</v>
      </c>
      <c r="R37" s="128">
        <f>IF(Table45[[#This Row],[CODE]]=14, Table45[ [#This Row],[Account Deposit Amount] ]-Table45[ [#This Row],[Account Withdrawl Amount] ], )</f>
        <v>0</v>
      </c>
      <c r="S37" s="128">
        <f>IF(Table45[[#This Row],[CODE]]=15, Table45[ [#This Row],[Account Deposit Amount] ]-Table45[ [#This Row],[Account Withdrawl Amount] ], )</f>
        <v>0</v>
      </c>
      <c r="T37" s="128">
        <f>IF(Table45[[#This Row],[CODE]]=16, Table45[ [#This Row],[Account Deposit Amount] ]-Table45[ [#This Row],[Account Withdrawl Amount] ], )</f>
        <v>0</v>
      </c>
      <c r="U37" s="127">
        <f>IF(Table45[[#This Row],[CODE]]=17, Table45[ [#This Row],[Account Deposit Amount] ]-Table45[ [#This Row],[Account Withdrawl Amount] ], )</f>
        <v>0</v>
      </c>
    </row>
    <row r="38" spans="1:21" ht="16.2" thickBot="1">
      <c r="A38" s="130"/>
      <c r="B38" s="133"/>
      <c r="C38" s="130"/>
      <c r="D38" s="132"/>
      <c r="E38" s="128"/>
      <c r="F38" s="128"/>
      <c r="G38" s="134">
        <f t="shared" si="3"/>
        <v>17851.589999999997</v>
      </c>
      <c r="H38" s="130"/>
      <c r="I38" s="127">
        <f>IF(Table45[[#This Row],[CODE]]=1, Table45[ [#This Row],[Account Deposit Amount] ]-Table45[ [#This Row],[Account Withdrawl Amount] ], )</f>
        <v>0</v>
      </c>
      <c r="J38" s="129">
        <f>IF(Table45[[#This Row],[CODE]]=2, Table45[ [#This Row],[Account Deposit Amount] ]-Table45[ [#This Row],[Account Withdrawl Amount] ], )</f>
        <v>0</v>
      </c>
      <c r="K38" s="129">
        <f>IF(Table45[[#This Row],[CODE]]=3, Table45[ [#This Row],[Account Deposit Amount] ]-Table45[ [#This Row],[Account Withdrawl Amount] ], )</f>
        <v>0</v>
      </c>
      <c r="L38" s="128">
        <f>IF(Table45[[#This Row],[CODE]]=4, Table45[ [#This Row],[Account Deposit Amount] ]-Table45[ [#This Row],[Account Withdrawl Amount] ], )</f>
        <v>0</v>
      </c>
      <c r="M38" s="128">
        <f>IF(Table45[[#This Row],[CODE]]=5, Table45[ [#This Row],[Account Deposit Amount] ]-Table45[ [#This Row],[Account Withdrawl Amount] ], )</f>
        <v>0</v>
      </c>
      <c r="N38" s="128">
        <f>IF(Table45[[#This Row],[CODE]]=6, Table45[ [#This Row],[Account Deposit Amount] ]-Table45[ [#This Row],[Account Withdrawl Amount] ], )</f>
        <v>0</v>
      </c>
      <c r="O38" s="128">
        <f>IF(Table45[[#This Row],[CODE]]=11, Table45[ [#This Row],[Account Deposit Amount] ]-Table45[ [#This Row],[Account Withdrawl Amount] ], )</f>
        <v>0</v>
      </c>
      <c r="P38" s="128">
        <f>IF(Table45[[#This Row],[CODE]]=12, Table45[ [#This Row],[Account Deposit Amount] ]-Table45[ [#This Row],[Account Withdrawl Amount] ], )</f>
        <v>0</v>
      </c>
      <c r="Q38" s="128">
        <f>IF(Table45[[#This Row],[CODE]]=13, Table45[ [#This Row],[Account Deposit Amount] ]-Table45[ [#This Row],[Account Withdrawl Amount] ], )</f>
        <v>0</v>
      </c>
      <c r="R38" s="128">
        <f>IF(Table45[[#This Row],[CODE]]=14, Table45[ [#This Row],[Account Deposit Amount] ]-Table45[ [#This Row],[Account Withdrawl Amount] ], )</f>
        <v>0</v>
      </c>
      <c r="S38" s="128">
        <f>IF(Table45[[#This Row],[CODE]]=15, Table45[ [#This Row],[Account Deposit Amount] ]-Table45[ [#This Row],[Account Withdrawl Amount] ], )</f>
        <v>0</v>
      </c>
      <c r="T38" s="128">
        <f>IF(Table45[[#This Row],[CODE]]=16, Table45[ [#This Row],[Account Deposit Amount] ]-Table45[ [#This Row],[Account Withdrawl Amount] ], )</f>
        <v>0</v>
      </c>
      <c r="U38" s="127">
        <f>IF(Table45[[#This Row],[CODE]]=17, Table45[ [#This Row],[Account Deposit Amount] ]-Table45[ [#This Row],[Account Withdrawl Amount] ], )</f>
        <v>0</v>
      </c>
    </row>
    <row r="39" spans="1:21" ht="16.2" thickBot="1">
      <c r="A39" s="130"/>
      <c r="B39" s="133"/>
      <c r="C39" s="130"/>
      <c r="D39" s="132"/>
      <c r="E39" s="128"/>
      <c r="F39" s="128"/>
      <c r="G39" s="134">
        <f t="shared" si="3"/>
        <v>17851.589999999997</v>
      </c>
      <c r="H39" s="130"/>
      <c r="I39" s="127">
        <f>IF(Table45[[#This Row],[CODE]]=1, Table45[ [#This Row],[Account Deposit Amount] ]-Table45[ [#This Row],[Account Withdrawl Amount] ], )</f>
        <v>0</v>
      </c>
      <c r="J39" s="129">
        <f>IF(Table45[[#This Row],[CODE]]=2, Table45[ [#This Row],[Account Deposit Amount] ]-Table45[ [#This Row],[Account Withdrawl Amount] ], )</f>
        <v>0</v>
      </c>
      <c r="K39" s="129">
        <f>IF(Table45[[#This Row],[CODE]]=3, Table45[ [#This Row],[Account Deposit Amount] ]-Table45[ [#This Row],[Account Withdrawl Amount] ], )</f>
        <v>0</v>
      </c>
      <c r="L39" s="128">
        <f>IF(Table45[[#This Row],[CODE]]=4, Table45[ [#This Row],[Account Deposit Amount] ]-Table45[ [#This Row],[Account Withdrawl Amount] ], )</f>
        <v>0</v>
      </c>
      <c r="M39" s="128">
        <f>IF(Table45[[#This Row],[CODE]]=5, Table45[ [#This Row],[Account Deposit Amount] ]-Table45[ [#This Row],[Account Withdrawl Amount] ], )</f>
        <v>0</v>
      </c>
      <c r="N39" s="128">
        <f>IF(Table45[[#This Row],[CODE]]=6, Table45[ [#This Row],[Account Deposit Amount] ]-Table45[ [#This Row],[Account Withdrawl Amount] ], )</f>
        <v>0</v>
      </c>
      <c r="O39" s="128">
        <f>IF(Table45[[#This Row],[CODE]]=11, Table45[ [#This Row],[Account Deposit Amount] ]-Table45[ [#This Row],[Account Withdrawl Amount] ], )</f>
        <v>0</v>
      </c>
      <c r="P39" s="128">
        <f>IF(Table45[[#This Row],[CODE]]=12, Table45[ [#This Row],[Account Deposit Amount] ]-Table45[ [#This Row],[Account Withdrawl Amount] ], )</f>
        <v>0</v>
      </c>
      <c r="Q39" s="128">
        <f>IF(Table45[[#This Row],[CODE]]=13, Table45[ [#This Row],[Account Deposit Amount] ]-Table45[ [#This Row],[Account Withdrawl Amount] ], )</f>
        <v>0</v>
      </c>
      <c r="R39" s="128">
        <f>IF(Table45[[#This Row],[CODE]]=14, Table45[ [#This Row],[Account Deposit Amount] ]-Table45[ [#This Row],[Account Withdrawl Amount] ], )</f>
        <v>0</v>
      </c>
      <c r="S39" s="128">
        <f>IF(Table45[[#This Row],[CODE]]=15, Table45[ [#This Row],[Account Deposit Amount] ]-Table45[ [#This Row],[Account Withdrawl Amount] ], )</f>
        <v>0</v>
      </c>
      <c r="T39" s="128">
        <f>IF(Table45[[#This Row],[CODE]]=16, Table45[ [#This Row],[Account Deposit Amount] ]-Table45[ [#This Row],[Account Withdrawl Amount] ], )</f>
        <v>0</v>
      </c>
      <c r="U39" s="127">
        <f>IF(Table45[[#This Row],[CODE]]=17, Table45[ [#This Row],[Account Deposit Amount] ]-Table45[ [#This Row],[Account Withdrawl Amount] ], )</f>
        <v>0</v>
      </c>
    </row>
    <row r="40" spans="1:21" ht="16.2" thickBot="1">
      <c r="A40" s="130"/>
      <c r="B40" s="133"/>
      <c r="C40" s="130"/>
      <c r="D40" s="132"/>
      <c r="E40" s="128"/>
      <c r="F40" s="128"/>
      <c r="G40" s="134">
        <f t="shared" si="3"/>
        <v>17851.589999999997</v>
      </c>
      <c r="H40" s="130"/>
      <c r="I40" s="127">
        <f>IF(Table45[[#This Row],[CODE]]=1, Table45[ [#This Row],[Account Deposit Amount] ]-Table45[ [#This Row],[Account Withdrawl Amount] ], )</f>
        <v>0</v>
      </c>
      <c r="J40" s="129">
        <f>IF(Table45[[#This Row],[CODE]]=2, Table45[ [#This Row],[Account Deposit Amount] ]-Table45[ [#This Row],[Account Withdrawl Amount] ], )</f>
        <v>0</v>
      </c>
      <c r="K40" s="129">
        <f>IF(Table45[[#This Row],[CODE]]=3, Table45[ [#This Row],[Account Deposit Amount] ]-Table45[ [#This Row],[Account Withdrawl Amount] ], )</f>
        <v>0</v>
      </c>
      <c r="L40" s="128">
        <f>IF(Table45[[#This Row],[CODE]]=4, Table45[ [#This Row],[Account Deposit Amount] ]-Table45[ [#This Row],[Account Withdrawl Amount] ], )</f>
        <v>0</v>
      </c>
      <c r="M40" s="128">
        <f>IF(Table45[[#This Row],[CODE]]=5, Table45[ [#This Row],[Account Deposit Amount] ]-Table45[ [#This Row],[Account Withdrawl Amount] ], )</f>
        <v>0</v>
      </c>
      <c r="N40" s="128">
        <f>IF(Table45[[#This Row],[CODE]]=6, Table45[ [#This Row],[Account Deposit Amount] ]-Table45[ [#This Row],[Account Withdrawl Amount] ], )</f>
        <v>0</v>
      </c>
      <c r="O40" s="128">
        <f>IF(Table45[[#This Row],[CODE]]=11, Table45[ [#This Row],[Account Deposit Amount] ]-Table45[ [#This Row],[Account Withdrawl Amount] ], )</f>
        <v>0</v>
      </c>
      <c r="P40" s="128">
        <f>IF(Table45[[#This Row],[CODE]]=12, Table45[ [#This Row],[Account Deposit Amount] ]-Table45[ [#This Row],[Account Withdrawl Amount] ], )</f>
        <v>0</v>
      </c>
      <c r="Q40" s="128">
        <f>IF(Table45[[#This Row],[CODE]]=13, Table45[ [#This Row],[Account Deposit Amount] ]-Table45[ [#This Row],[Account Withdrawl Amount] ], )</f>
        <v>0</v>
      </c>
      <c r="R40" s="128">
        <f>IF(Table45[[#This Row],[CODE]]=14, Table45[ [#This Row],[Account Deposit Amount] ]-Table45[ [#This Row],[Account Withdrawl Amount] ], )</f>
        <v>0</v>
      </c>
      <c r="S40" s="128">
        <f>IF(Table45[[#This Row],[CODE]]=15, Table45[ [#This Row],[Account Deposit Amount] ]-Table45[ [#This Row],[Account Withdrawl Amount] ], )</f>
        <v>0</v>
      </c>
      <c r="T40" s="128">
        <f>IF(Table45[[#This Row],[CODE]]=16, Table45[ [#This Row],[Account Deposit Amount] ]-Table45[ [#This Row],[Account Withdrawl Amount] ], )</f>
        <v>0</v>
      </c>
      <c r="U40" s="127">
        <f>IF(Table45[[#This Row],[CODE]]=17, Table45[ [#This Row],[Account Deposit Amount] ]-Table45[ [#This Row],[Account Withdrawl Amount] ], )</f>
        <v>0</v>
      </c>
    </row>
    <row r="41" spans="1:21" ht="16.2" thickBot="1">
      <c r="A41" s="130"/>
      <c r="B41" s="133"/>
      <c r="C41" s="130"/>
      <c r="D41" s="132"/>
      <c r="E41" s="128"/>
      <c r="F41" s="128"/>
      <c r="G41" s="134">
        <f t="shared" si="3"/>
        <v>17851.589999999997</v>
      </c>
      <c r="H41" s="130"/>
      <c r="I41" s="127">
        <f>IF(Table45[[#This Row],[CODE]]=1, Table45[ [#This Row],[Account Deposit Amount] ]-Table45[ [#This Row],[Account Withdrawl Amount] ], )</f>
        <v>0</v>
      </c>
      <c r="J41" s="129">
        <f>IF(Table45[[#This Row],[CODE]]=2, Table45[ [#This Row],[Account Deposit Amount] ]-Table45[ [#This Row],[Account Withdrawl Amount] ], )</f>
        <v>0</v>
      </c>
      <c r="K41" s="129">
        <f>IF(Table45[[#This Row],[CODE]]=3, Table45[ [#This Row],[Account Deposit Amount] ]-Table45[ [#This Row],[Account Withdrawl Amount] ], )</f>
        <v>0</v>
      </c>
      <c r="L41" s="128">
        <f>IF(Table45[[#This Row],[CODE]]=4, Table45[ [#This Row],[Account Deposit Amount] ]-Table45[ [#This Row],[Account Withdrawl Amount] ], )</f>
        <v>0</v>
      </c>
      <c r="M41" s="128">
        <f>IF(Table45[[#This Row],[CODE]]=5, Table45[ [#This Row],[Account Deposit Amount] ]-Table45[ [#This Row],[Account Withdrawl Amount] ], )</f>
        <v>0</v>
      </c>
      <c r="N41" s="128">
        <f>IF(Table45[[#This Row],[CODE]]=6, Table45[ [#This Row],[Account Deposit Amount] ]-Table45[ [#This Row],[Account Withdrawl Amount] ], )</f>
        <v>0</v>
      </c>
      <c r="O41" s="128">
        <f>IF(Table45[[#This Row],[CODE]]=11, Table45[ [#This Row],[Account Deposit Amount] ]-Table45[ [#This Row],[Account Withdrawl Amount] ], )</f>
        <v>0</v>
      </c>
      <c r="P41" s="128">
        <f>IF(Table45[[#This Row],[CODE]]=12, Table45[ [#This Row],[Account Deposit Amount] ]-Table45[ [#This Row],[Account Withdrawl Amount] ], )</f>
        <v>0</v>
      </c>
      <c r="Q41" s="128">
        <f>IF(Table45[[#This Row],[CODE]]=13, Table45[ [#This Row],[Account Deposit Amount] ]-Table45[ [#This Row],[Account Withdrawl Amount] ], )</f>
        <v>0</v>
      </c>
      <c r="R41" s="128">
        <f>IF(Table45[[#This Row],[CODE]]=14, Table45[ [#This Row],[Account Deposit Amount] ]-Table45[ [#This Row],[Account Withdrawl Amount] ], )</f>
        <v>0</v>
      </c>
      <c r="S41" s="128">
        <f>IF(Table45[[#This Row],[CODE]]=15, Table45[ [#This Row],[Account Deposit Amount] ]-Table45[ [#This Row],[Account Withdrawl Amount] ], )</f>
        <v>0</v>
      </c>
      <c r="T41" s="128">
        <f>IF(Table45[[#This Row],[CODE]]=16, Table45[ [#This Row],[Account Deposit Amount] ]-Table45[ [#This Row],[Account Withdrawl Amount] ], )</f>
        <v>0</v>
      </c>
      <c r="U41" s="127">
        <f>IF(Table45[[#This Row],[CODE]]=17, Table45[ [#This Row],[Account Deposit Amount] ]-Table45[ [#This Row],[Account Withdrawl Amount] ], )</f>
        <v>0</v>
      </c>
    </row>
    <row r="42" spans="1:21" ht="16.2" thickBot="1">
      <c r="A42" s="130"/>
      <c r="B42" s="133"/>
      <c r="C42" s="130"/>
      <c r="D42" s="132"/>
      <c r="E42" s="128"/>
      <c r="F42" s="128"/>
      <c r="G42" s="134">
        <f t="shared" si="3"/>
        <v>17851.589999999997</v>
      </c>
      <c r="H42" s="130"/>
      <c r="I42" s="127">
        <f>IF(Table45[[#This Row],[CODE]]=1, Table45[ [#This Row],[Account Deposit Amount] ]-Table45[ [#This Row],[Account Withdrawl Amount] ], )</f>
        <v>0</v>
      </c>
      <c r="J42" s="129">
        <f>IF(Table45[[#This Row],[CODE]]=2, Table45[ [#This Row],[Account Deposit Amount] ]-Table45[ [#This Row],[Account Withdrawl Amount] ], )</f>
        <v>0</v>
      </c>
      <c r="K42" s="129">
        <f>IF(Table45[[#This Row],[CODE]]=3, Table45[ [#This Row],[Account Deposit Amount] ]-Table45[ [#This Row],[Account Withdrawl Amount] ], )</f>
        <v>0</v>
      </c>
      <c r="L42" s="128">
        <f>IF(Table45[[#This Row],[CODE]]=4, Table45[ [#This Row],[Account Deposit Amount] ]-Table45[ [#This Row],[Account Withdrawl Amount] ], )</f>
        <v>0</v>
      </c>
      <c r="M42" s="128">
        <f>IF(Table45[[#This Row],[CODE]]=5, Table45[ [#This Row],[Account Deposit Amount] ]-Table45[ [#This Row],[Account Withdrawl Amount] ], )</f>
        <v>0</v>
      </c>
      <c r="N42" s="128">
        <f>IF(Table45[[#This Row],[CODE]]=6, Table45[ [#This Row],[Account Deposit Amount] ]-Table45[ [#This Row],[Account Withdrawl Amount] ], )</f>
        <v>0</v>
      </c>
      <c r="O42" s="128">
        <f>IF(Table45[[#This Row],[CODE]]=11, Table45[ [#This Row],[Account Deposit Amount] ]-Table45[ [#This Row],[Account Withdrawl Amount] ], )</f>
        <v>0</v>
      </c>
      <c r="P42" s="128">
        <f>IF(Table45[[#This Row],[CODE]]=12, Table45[ [#This Row],[Account Deposit Amount] ]-Table45[ [#This Row],[Account Withdrawl Amount] ], )</f>
        <v>0</v>
      </c>
      <c r="Q42" s="128">
        <f>IF(Table45[[#This Row],[CODE]]=13, Table45[ [#This Row],[Account Deposit Amount] ]-Table45[ [#This Row],[Account Withdrawl Amount] ], )</f>
        <v>0</v>
      </c>
      <c r="R42" s="128">
        <f>IF(Table45[[#This Row],[CODE]]=14, Table45[ [#This Row],[Account Deposit Amount] ]-Table45[ [#This Row],[Account Withdrawl Amount] ], )</f>
        <v>0</v>
      </c>
      <c r="S42" s="128">
        <f>IF(Table45[[#This Row],[CODE]]=15, Table45[ [#This Row],[Account Deposit Amount] ]-Table45[ [#This Row],[Account Withdrawl Amount] ], )</f>
        <v>0</v>
      </c>
      <c r="T42" s="128">
        <f>IF(Table45[[#This Row],[CODE]]=16, Table45[ [#This Row],[Account Deposit Amount] ]-Table45[ [#This Row],[Account Withdrawl Amount] ], )</f>
        <v>0</v>
      </c>
      <c r="U42" s="127">
        <f>IF(Table45[[#This Row],[CODE]]=17, Table45[ [#This Row],[Account Deposit Amount] ]-Table45[ [#This Row],[Account Withdrawl Amount] ], )</f>
        <v>0</v>
      </c>
    </row>
    <row r="43" spans="1:21" ht="16.2" thickBot="1">
      <c r="A43" s="130"/>
      <c r="B43" s="133"/>
      <c r="C43" s="130"/>
      <c r="D43" s="132"/>
      <c r="E43" s="128"/>
      <c r="F43" s="128"/>
      <c r="G43" s="134">
        <f t="shared" si="3"/>
        <v>17851.589999999997</v>
      </c>
      <c r="H43" s="130"/>
      <c r="I43" s="127">
        <f>IF(Table45[[#This Row],[CODE]]=1, Table45[ [#This Row],[Account Deposit Amount] ]-Table45[ [#This Row],[Account Withdrawl Amount] ], )</f>
        <v>0</v>
      </c>
      <c r="J43" s="129">
        <f>IF(Table45[[#This Row],[CODE]]=2, Table45[ [#This Row],[Account Deposit Amount] ]-Table45[ [#This Row],[Account Withdrawl Amount] ], )</f>
        <v>0</v>
      </c>
      <c r="K43" s="129">
        <f>IF(Table45[[#This Row],[CODE]]=3, Table45[ [#This Row],[Account Deposit Amount] ]-Table45[ [#This Row],[Account Withdrawl Amount] ], )</f>
        <v>0</v>
      </c>
      <c r="L43" s="128">
        <f>IF(Table45[[#This Row],[CODE]]=4, Table45[ [#This Row],[Account Deposit Amount] ]-Table45[ [#This Row],[Account Withdrawl Amount] ], )</f>
        <v>0</v>
      </c>
      <c r="M43" s="128">
        <f>IF(Table45[[#This Row],[CODE]]=5, Table45[ [#This Row],[Account Deposit Amount] ]-Table45[ [#This Row],[Account Withdrawl Amount] ], )</f>
        <v>0</v>
      </c>
      <c r="N43" s="128">
        <f>IF(Table45[[#This Row],[CODE]]=6, Table45[ [#This Row],[Account Deposit Amount] ]-Table45[ [#This Row],[Account Withdrawl Amount] ], )</f>
        <v>0</v>
      </c>
      <c r="O43" s="128">
        <f>IF(Table45[[#This Row],[CODE]]=11, Table45[ [#This Row],[Account Deposit Amount] ]-Table45[ [#This Row],[Account Withdrawl Amount] ], )</f>
        <v>0</v>
      </c>
      <c r="P43" s="128">
        <f>IF(Table45[[#This Row],[CODE]]=12, Table45[ [#This Row],[Account Deposit Amount] ]-Table45[ [#This Row],[Account Withdrawl Amount] ], )</f>
        <v>0</v>
      </c>
      <c r="Q43" s="128">
        <f>IF(Table45[[#This Row],[CODE]]=13, Table45[ [#This Row],[Account Deposit Amount] ]-Table45[ [#This Row],[Account Withdrawl Amount] ], )</f>
        <v>0</v>
      </c>
      <c r="R43" s="128">
        <f>IF(Table45[[#This Row],[CODE]]=14, Table45[ [#This Row],[Account Deposit Amount] ]-Table45[ [#This Row],[Account Withdrawl Amount] ], )</f>
        <v>0</v>
      </c>
      <c r="S43" s="128">
        <f>IF(Table45[[#This Row],[CODE]]=15, Table45[ [#This Row],[Account Deposit Amount] ]-Table45[ [#This Row],[Account Withdrawl Amount] ], )</f>
        <v>0</v>
      </c>
      <c r="T43" s="128">
        <f>IF(Table45[[#This Row],[CODE]]=16, Table45[ [#This Row],[Account Deposit Amount] ]-Table45[ [#This Row],[Account Withdrawl Amount] ], )</f>
        <v>0</v>
      </c>
      <c r="U43" s="127">
        <f>IF(Table45[[#This Row],[CODE]]=17, Table45[ [#This Row],[Account Deposit Amount] ]-Table45[ [#This Row],[Account Withdrawl Amount] ], )</f>
        <v>0</v>
      </c>
    </row>
    <row r="44" spans="1:21" ht="16.2" thickBot="1">
      <c r="A44" s="130"/>
      <c r="B44" s="133"/>
      <c r="C44" s="130"/>
      <c r="D44" s="132"/>
      <c r="E44" s="128"/>
      <c r="F44" s="128"/>
      <c r="G44" s="134">
        <f t="shared" si="3"/>
        <v>17851.589999999997</v>
      </c>
      <c r="H44" s="130"/>
      <c r="I44" s="127">
        <f>IF(Table45[[#This Row],[CODE]]=1, Table45[ [#This Row],[Account Deposit Amount] ]-Table45[ [#This Row],[Account Withdrawl Amount] ], )</f>
        <v>0</v>
      </c>
      <c r="J44" s="129">
        <f>IF(Table45[[#This Row],[CODE]]=2, Table45[ [#This Row],[Account Deposit Amount] ]-Table45[ [#This Row],[Account Withdrawl Amount] ], )</f>
        <v>0</v>
      </c>
      <c r="K44" s="129">
        <f>IF(Table45[[#This Row],[CODE]]=3, Table45[ [#This Row],[Account Deposit Amount] ]-Table45[ [#This Row],[Account Withdrawl Amount] ], )</f>
        <v>0</v>
      </c>
      <c r="L44" s="128">
        <f>IF(Table45[[#This Row],[CODE]]=4, Table45[ [#This Row],[Account Deposit Amount] ]-Table45[ [#This Row],[Account Withdrawl Amount] ], )</f>
        <v>0</v>
      </c>
      <c r="M44" s="128">
        <f>IF(Table45[[#This Row],[CODE]]=5, Table45[ [#This Row],[Account Deposit Amount] ]-Table45[ [#This Row],[Account Withdrawl Amount] ], )</f>
        <v>0</v>
      </c>
      <c r="N44" s="128">
        <f>IF(Table45[[#This Row],[CODE]]=6, Table45[ [#This Row],[Account Deposit Amount] ]-Table45[ [#This Row],[Account Withdrawl Amount] ], )</f>
        <v>0</v>
      </c>
      <c r="O44" s="128">
        <f>IF(Table45[[#This Row],[CODE]]=11, Table45[ [#This Row],[Account Deposit Amount] ]-Table45[ [#This Row],[Account Withdrawl Amount] ], )</f>
        <v>0</v>
      </c>
      <c r="P44" s="128">
        <f>IF(Table45[[#This Row],[CODE]]=12, Table45[ [#This Row],[Account Deposit Amount] ]-Table45[ [#This Row],[Account Withdrawl Amount] ], )</f>
        <v>0</v>
      </c>
      <c r="Q44" s="128">
        <f>IF(Table45[[#This Row],[CODE]]=13, Table45[ [#This Row],[Account Deposit Amount] ]-Table45[ [#This Row],[Account Withdrawl Amount] ], )</f>
        <v>0</v>
      </c>
      <c r="R44" s="128">
        <f>IF(Table45[[#This Row],[CODE]]=14, Table45[ [#This Row],[Account Deposit Amount] ]-Table45[ [#This Row],[Account Withdrawl Amount] ], )</f>
        <v>0</v>
      </c>
      <c r="S44" s="128">
        <f>IF(Table45[[#This Row],[CODE]]=15, Table45[ [#This Row],[Account Deposit Amount] ]-Table45[ [#This Row],[Account Withdrawl Amount] ], )</f>
        <v>0</v>
      </c>
      <c r="T44" s="128">
        <f>IF(Table45[[#This Row],[CODE]]=16, Table45[ [#This Row],[Account Deposit Amount] ]-Table45[ [#This Row],[Account Withdrawl Amount] ], )</f>
        <v>0</v>
      </c>
      <c r="U44" s="127">
        <f>IF(Table45[[#This Row],[CODE]]=17, Table45[ [#This Row],[Account Deposit Amount] ]-Table45[ [#This Row],[Account Withdrawl Amount] ], )</f>
        <v>0</v>
      </c>
    </row>
    <row r="45" spans="1:21" ht="16.2" thickBot="1">
      <c r="A45" s="130"/>
      <c r="B45" s="133"/>
      <c r="C45" s="130"/>
      <c r="D45" s="132"/>
      <c r="E45" s="128"/>
      <c r="F45" s="128"/>
      <c r="G45" s="134">
        <f t="shared" si="3"/>
        <v>17851.589999999997</v>
      </c>
      <c r="H45" s="130"/>
      <c r="I45" s="127">
        <f>IF(Table45[[#This Row],[CODE]]=1, Table45[ [#This Row],[Account Deposit Amount] ]-Table45[ [#This Row],[Account Withdrawl Amount] ], )</f>
        <v>0</v>
      </c>
      <c r="J45" s="129">
        <f>IF(Table45[[#This Row],[CODE]]=2, Table45[ [#This Row],[Account Deposit Amount] ]-Table45[ [#This Row],[Account Withdrawl Amount] ], )</f>
        <v>0</v>
      </c>
      <c r="K45" s="129">
        <f>IF(Table45[[#This Row],[CODE]]=3, Table45[ [#This Row],[Account Deposit Amount] ]-Table45[ [#This Row],[Account Withdrawl Amount] ], )</f>
        <v>0</v>
      </c>
      <c r="L45" s="128">
        <f>IF(Table45[[#This Row],[CODE]]=4, Table45[ [#This Row],[Account Deposit Amount] ]-Table45[ [#This Row],[Account Withdrawl Amount] ], )</f>
        <v>0</v>
      </c>
      <c r="M45" s="128">
        <f>IF(Table45[[#This Row],[CODE]]=5, Table45[ [#This Row],[Account Deposit Amount] ]-Table45[ [#This Row],[Account Withdrawl Amount] ], )</f>
        <v>0</v>
      </c>
      <c r="N45" s="128">
        <f>IF(Table45[[#This Row],[CODE]]=6, Table45[ [#This Row],[Account Deposit Amount] ]-Table45[ [#This Row],[Account Withdrawl Amount] ], )</f>
        <v>0</v>
      </c>
      <c r="O45" s="128">
        <f>IF(Table45[[#This Row],[CODE]]=11, Table45[ [#This Row],[Account Deposit Amount] ]-Table45[ [#This Row],[Account Withdrawl Amount] ], )</f>
        <v>0</v>
      </c>
      <c r="P45" s="128">
        <f>IF(Table45[[#This Row],[CODE]]=12, Table45[ [#This Row],[Account Deposit Amount] ]-Table45[ [#This Row],[Account Withdrawl Amount] ], )</f>
        <v>0</v>
      </c>
      <c r="Q45" s="128">
        <f>IF(Table45[[#This Row],[CODE]]=13, Table45[ [#This Row],[Account Deposit Amount] ]-Table45[ [#This Row],[Account Withdrawl Amount] ], )</f>
        <v>0</v>
      </c>
      <c r="R45" s="128">
        <f>IF(Table45[[#This Row],[CODE]]=14, Table45[ [#This Row],[Account Deposit Amount] ]-Table45[ [#This Row],[Account Withdrawl Amount] ], )</f>
        <v>0</v>
      </c>
      <c r="S45" s="128">
        <f>IF(Table45[[#This Row],[CODE]]=15, Table45[ [#This Row],[Account Deposit Amount] ]-Table45[ [#This Row],[Account Withdrawl Amount] ], )</f>
        <v>0</v>
      </c>
      <c r="T45" s="128">
        <f>IF(Table45[[#This Row],[CODE]]=16, Table45[ [#This Row],[Account Deposit Amount] ]-Table45[ [#This Row],[Account Withdrawl Amount] ], )</f>
        <v>0</v>
      </c>
      <c r="U45" s="127">
        <f>IF(Table45[[#This Row],[CODE]]=17, Table45[ [#This Row],[Account Deposit Amount] ]-Table45[ [#This Row],[Account Withdrawl Amount] ], )</f>
        <v>0</v>
      </c>
    </row>
    <row r="46" spans="1:21" ht="16.2" thickBot="1">
      <c r="A46" s="130"/>
      <c r="B46" s="133"/>
      <c r="C46" s="130"/>
      <c r="D46" s="132"/>
      <c r="E46" s="128"/>
      <c r="F46" s="128"/>
      <c r="G46" s="134">
        <f t="shared" si="3"/>
        <v>17851.589999999997</v>
      </c>
      <c r="H46" s="130"/>
      <c r="I46" s="127">
        <f>IF(Table45[[#This Row],[CODE]]=1, Table45[ [#This Row],[Account Deposit Amount] ]-Table45[ [#This Row],[Account Withdrawl Amount] ], )</f>
        <v>0</v>
      </c>
      <c r="J46" s="129">
        <f>IF(Table45[[#This Row],[CODE]]=2, Table45[ [#This Row],[Account Deposit Amount] ]-Table45[ [#This Row],[Account Withdrawl Amount] ], )</f>
        <v>0</v>
      </c>
      <c r="K46" s="129">
        <f>IF(Table45[[#This Row],[CODE]]=3, Table45[ [#This Row],[Account Deposit Amount] ]-Table45[ [#This Row],[Account Withdrawl Amount] ], )</f>
        <v>0</v>
      </c>
      <c r="L46" s="128">
        <f>IF(Table45[[#This Row],[CODE]]=4, Table45[ [#This Row],[Account Deposit Amount] ]-Table45[ [#This Row],[Account Withdrawl Amount] ], )</f>
        <v>0</v>
      </c>
      <c r="M46" s="128">
        <f>IF(Table45[[#This Row],[CODE]]=5, Table45[ [#This Row],[Account Deposit Amount] ]-Table45[ [#This Row],[Account Withdrawl Amount] ], )</f>
        <v>0</v>
      </c>
      <c r="N46" s="128">
        <f>IF(Table45[[#This Row],[CODE]]=6, Table45[ [#This Row],[Account Deposit Amount] ]-Table45[ [#This Row],[Account Withdrawl Amount] ], )</f>
        <v>0</v>
      </c>
      <c r="O46" s="128">
        <f>IF(Table45[[#This Row],[CODE]]=11, Table45[ [#This Row],[Account Deposit Amount] ]-Table45[ [#This Row],[Account Withdrawl Amount] ], )</f>
        <v>0</v>
      </c>
      <c r="P46" s="128">
        <f>IF(Table45[[#This Row],[CODE]]=12, Table45[ [#This Row],[Account Deposit Amount] ]-Table45[ [#This Row],[Account Withdrawl Amount] ], )</f>
        <v>0</v>
      </c>
      <c r="Q46" s="128">
        <f>IF(Table45[[#This Row],[CODE]]=13, Table45[ [#This Row],[Account Deposit Amount] ]-Table45[ [#This Row],[Account Withdrawl Amount] ], )</f>
        <v>0</v>
      </c>
      <c r="R46" s="128">
        <f>IF(Table45[[#This Row],[CODE]]=14, Table45[ [#This Row],[Account Deposit Amount] ]-Table45[ [#This Row],[Account Withdrawl Amount] ], )</f>
        <v>0</v>
      </c>
      <c r="S46" s="128">
        <f>IF(Table45[[#This Row],[CODE]]=15, Table45[ [#This Row],[Account Deposit Amount] ]-Table45[ [#This Row],[Account Withdrawl Amount] ], )</f>
        <v>0</v>
      </c>
      <c r="T46" s="128">
        <f>IF(Table45[[#This Row],[CODE]]=16, Table45[ [#This Row],[Account Deposit Amount] ]-Table45[ [#This Row],[Account Withdrawl Amount] ], )</f>
        <v>0</v>
      </c>
      <c r="U46" s="127">
        <f>IF(Table45[[#This Row],[CODE]]=17, Table45[ [#This Row],[Account Deposit Amount] ]-Table45[ [#This Row],[Account Withdrawl Amount] ], )</f>
        <v>0</v>
      </c>
    </row>
    <row r="47" spans="1:21" ht="16.2" thickBot="1">
      <c r="A47" s="130"/>
      <c r="B47" s="133"/>
      <c r="C47" s="130"/>
      <c r="D47" s="132"/>
      <c r="E47" s="128"/>
      <c r="F47" s="128"/>
      <c r="G47" s="134">
        <f t="shared" si="3"/>
        <v>17851.589999999997</v>
      </c>
      <c r="H47" s="130"/>
      <c r="I47" s="127">
        <f>IF(Table45[[#This Row],[CODE]]=1, Table45[ [#This Row],[Account Deposit Amount] ]-Table45[ [#This Row],[Account Withdrawl Amount] ], )</f>
        <v>0</v>
      </c>
      <c r="J47" s="129">
        <f>IF(Table45[[#This Row],[CODE]]=2, Table45[ [#This Row],[Account Deposit Amount] ]-Table45[ [#This Row],[Account Withdrawl Amount] ], )</f>
        <v>0</v>
      </c>
      <c r="K47" s="129">
        <f>IF(Table45[[#This Row],[CODE]]=3, Table45[ [#This Row],[Account Deposit Amount] ]-Table45[ [#This Row],[Account Withdrawl Amount] ], )</f>
        <v>0</v>
      </c>
      <c r="L47" s="128">
        <f>IF(Table45[[#This Row],[CODE]]=4, Table45[ [#This Row],[Account Deposit Amount] ]-Table45[ [#This Row],[Account Withdrawl Amount] ], )</f>
        <v>0</v>
      </c>
      <c r="M47" s="128">
        <f>IF(Table45[[#This Row],[CODE]]=5, Table45[ [#This Row],[Account Deposit Amount] ]-Table45[ [#This Row],[Account Withdrawl Amount] ], )</f>
        <v>0</v>
      </c>
      <c r="N47" s="128">
        <f>IF(Table45[[#This Row],[CODE]]=6, Table45[ [#This Row],[Account Deposit Amount] ]-Table45[ [#This Row],[Account Withdrawl Amount] ], )</f>
        <v>0</v>
      </c>
      <c r="O47" s="128">
        <f>IF(Table45[[#This Row],[CODE]]=11, Table45[ [#This Row],[Account Deposit Amount] ]-Table45[ [#This Row],[Account Withdrawl Amount] ], )</f>
        <v>0</v>
      </c>
      <c r="P47" s="128">
        <f>IF(Table45[[#This Row],[CODE]]=12, Table45[ [#This Row],[Account Deposit Amount] ]-Table45[ [#This Row],[Account Withdrawl Amount] ], )</f>
        <v>0</v>
      </c>
      <c r="Q47" s="128">
        <f>IF(Table45[[#This Row],[CODE]]=13, Table45[ [#This Row],[Account Deposit Amount] ]-Table45[ [#This Row],[Account Withdrawl Amount] ], )</f>
        <v>0</v>
      </c>
      <c r="R47" s="128">
        <f>IF(Table45[[#This Row],[CODE]]=14, Table45[ [#This Row],[Account Deposit Amount] ]-Table45[ [#This Row],[Account Withdrawl Amount] ], )</f>
        <v>0</v>
      </c>
      <c r="S47" s="128">
        <f>IF(Table45[[#This Row],[CODE]]=15, Table45[ [#This Row],[Account Deposit Amount] ]-Table45[ [#This Row],[Account Withdrawl Amount] ], )</f>
        <v>0</v>
      </c>
      <c r="T47" s="128">
        <f>IF(Table45[[#This Row],[CODE]]=16, Table45[ [#This Row],[Account Deposit Amount] ]-Table45[ [#This Row],[Account Withdrawl Amount] ], )</f>
        <v>0</v>
      </c>
      <c r="U47" s="127">
        <f>IF(Table45[[#This Row],[CODE]]=17, Table45[ [#This Row],[Account Deposit Amount] ]-Table45[ [#This Row],[Account Withdrawl Amount] ], )</f>
        <v>0</v>
      </c>
    </row>
    <row r="48" spans="1:21" ht="16.2" thickBot="1">
      <c r="A48" s="130"/>
      <c r="B48" s="133"/>
      <c r="C48" s="130"/>
      <c r="D48" s="132"/>
      <c r="E48" s="128"/>
      <c r="F48" s="128"/>
      <c r="G48" s="134">
        <f t="shared" si="3"/>
        <v>17851.589999999997</v>
      </c>
      <c r="H48" s="130"/>
      <c r="I48" s="127">
        <f>IF(Table45[[#This Row],[CODE]]=1, Table45[ [#This Row],[Account Deposit Amount] ]-Table45[ [#This Row],[Account Withdrawl Amount] ], )</f>
        <v>0</v>
      </c>
      <c r="J48" s="129">
        <f>IF(Table45[[#This Row],[CODE]]=2, Table45[ [#This Row],[Account Deposit Amount] ]-Table45[ [#This Row],[Account Withdrawl Amount] ], )</f>
        <v>0</v>
      </c>
      <c r="K48" s="129">
        <f>IF(Table45[[#This Row],[CODE]]=3, Table45[ [#This Row],[Account Deposit Amount] ]-Table45[ [#This Row],[Account Withdrawl Amount] ], )</f>
        <v>0</v>
      </c>
      <c r="L48" s="128">
        <f>IF(Table45[[#This Row],[CODE]]=4, Table45[ [#This Row],[Account Deposit Amount] ]-Table45[ [#This Row],[Account Withdrawl Amount] ], )</f>
        <v>0</v>
      </c>
      <c r="M48" s="128">
        <f>IF(Table45[[#This Row],[CODE]]=5, Table45[ [#This Row],[Account Deposit Amount] ]-Table45[ [#This Row],[Account Withdrawl Amount] ], )</f>
        <v>0</v>
      </c>
      <c r="N48" s="128">
        <f>IF(Table45[[#This Row],[CODE]]=6, Table45[ [#This Row],[Account Deposit Amount] ]-Table45[ [#This Row],[Account Withdrawl Amount] ], )</f>
        <v>0</v>
      </c>
      <c r="O48" s="128">
        <f>IF(Table45[[#This Row],[CODE]]=11, Table45[ [#This Row],[Account Deposit Amount] ]-Table45[ [#This Row],[Account Withdrawl Amount] ], )</f>
        <v>0</v>
      </c>
      <c r="P48" s="128">
        <f>IF(Table45[[#This Row],[CODE]]=12, Table45[ [#This Row],[Account Deposit Amount] ]-Table45[ [#This Row],[Account Withdrawl Amount] ], )</f>
        <v>0</v>
      </c>
      <c r="Q48" s="128">
        <f>IF(Table45[[#This Row],[CODE]]=13, Table45[ [#This Row],[Account Deposit Amount] ]-Table45[ [#This Row],[Account Withdrawl Amount] ], )</f>
        <v>0</v>
      </c>
      <c r="R48" s="128">
        <f>IF(Table45[[#This Row],[CODE]]=14, Table45[ [#This Row],[Account Deposit Amount] ]-Table45[ [#This Row],[Account Withdrawl Amount] ], )</f>
        <v>0</v>
      </c>
      <c r="S48" s="128">
        <f>IF(Table45[[#This Row],[CODE]]=15, Table45[ [#This Row],[Account Deposit Amount] ]-Table45[ [#This Row],[Account Withdrawl Amount] ], )</f>
        <v>0</v>
      </c>
      <c r="T48" s="128">
        <f>IF(Table45[[#This Row],[CODE]]=16, Table45[ [#This Row],[Account Deposit Amount] ]-Table45[ [#This Row],[Account Withdrawl Amount] ], )</f>
        <v>0</v>
      </c>
      <c r="U48" s="127">
        <f>IF(Table45[[#This Row],[CODE]]=17, Table45[ [#This Row],[Account Deposit Amount] ]-Table45[ [#This Row],[Account Withdrawl Amount] ], )</f>
        <v>0</v>
      </c>
    </row>
    <row r="49" spans="1:21" ht="16.2" thickBot="1">
      <c r="A49" s="130"/>
      <c r="B49" s="133"/>
      <c r="C49" s="130"/>
      <c r="D49" s="132"/>
      <c r="E49" s="128"/>
      <c r="F49" s="128"/>
      <c r="G49" s="134">
        <f t="shared" si="3"/>
        <v>17851.589999999997</v>
      </c>
      <c r="H49" s="130"/>
      <c r="I49" s="127">
        <f>IF(Table45[[#This Row],[CODE]]=1, Table45[ [#This Row],[Account Deposit Amount] ]-Table45[ [#This Row],[Account Withdrawl Amount] ], )</f>
        <v>0</v>
      </c>
      <c r="J49" s="129">
        <f>IF(Table45[[#This Row],[CODE]]=2, Table45[ [#This Row],[Account Deposit Amount] ]-Table45[ [#This Row],[Account Withdrawl Amount] ], )</f>
        <v>0</v>
      </c>
      <c r="K49" s="129">
        <f>IF(Table45[[#This Row],[CODE]]=3, Table45[ [#This Row],[Account Deposit Amount] ]-Table45[ [#This Row],[Account Withdrawl Amount] ], )</f>
        <v>0</v>
      </c>
      <c r="L49" s="128">
        <f>IF(Table45[[#This Row],[CODE]]=4, Table45[ [#This Row],[Account Deposit Amount] ]-Table45[ [#This Row],[Account Withdrawl Amount] ], )</f>
        <v>0</v>
      </c>
      <c r="M49" s="128">
        <f>IF(Table45[[#This Row],[CODE]]=5, Table45[ [#This Row],[Account Deposit Amount] ]-Table45[ [#This Row],[Account Withdrawl Amount] ], )</f>
        <v>0</v>
      </c>
      <c r="N49" s="128">
        <f>IF(Table45[[#This Row],[CODE]]=6, Table45[ [#This Row],[Account Deposit Amount] ]-Table45[ [#This Row],[Account Withdrawl Amount] ], )</f>
        <v>0</v>
      </c>
      <c r="O49" s="128">
        <f>IF(Table45[[#This Row],[CODE]]=11, Table45[ [#This Row],[Account Deposit Amount] ]-Table45[ [#This Row],[Account Withdrawl Amount] ], )</f>
        <v>0</v>
      </c>
      <c r="P49" s="128">
        <f>IF(Table45[[#This Row],[CODE]]=12, Table45[ [#This Row],[Account Deposit Amount] ]-Table45[ [#This Row],[Account Withdrawl Amount] ], )</f>
        <v>0</v>
      </c>
      <c r="Q49" s="128">
        <f>IF(Table45[[#This Row],[CODE]]=13, Table45[ [#This Row],[Account Deposit Amount] ]-Table45[ [#This Row],[Account Withdrawl Amount] ], )</f>
        <v>0</v>
      </c>
      <c r="R49" s="128">
        <f>IF(Table45[[#This Row],[CODE]]=14, Table45[ [#This Row],[Account Deposit Amount] ]-Table45[ [#This Row],[Account Withdrawl Amount] ], )</f>
        <v>0</v>
      </c>
      <c r="S49" s="128">
        <f>IF(Table45[[#This Row],[CODE]]=15, Table45[ [#This Row],[Account Deposit Amount] ]-Table45[ [#This Row],[Account Withdrawl Amount] ], )</f>
        <v>0</v>
      </c>
      <c r="T49" s="128">
        <f>IF(Table45[[#This Row],[CODE]]=16, Table45[ [#This Row],[Account Deposit Amount] ]-Table45[ [#This Row],[Account Withdrawl Amount] ], )</f>
        <v>0</v>
      </c>
      <c r="U49" s="127">
        <f>IF(Table45[[#This Row],[CODE]]=17, Table45[ [#This Row],[Account Deposit Amount] ]-Table45[ [#This Row],[Account Withdrawl Amount] ], )</f>
        <v>0</v>
      </c>
    </row>
    <row r="50" spans="1:21" ht="16.2" thickBot="1">
      <c r="A50" s="130"/>
      <c r="B50" s="133"/>
      <c r="C50" s="130"/>
      <c r="D50" s="132"/>
      <c r="E50" s="128"/>
      <c r="F50" s="128"/>
      <c r="G50" s="131">
        <f t="shared" si="3"/>
        <v>17851.589999999997</v>
      </c>
      <c r="H50" s="130"/>
      <c r="I50" s="127">
        <f>IF(Table45[[#This Row],[CODE]]=1, Table45[ [#This Row],[Account Deposit Amount] ]-Table45[ [#This Row],[Account Withdrawl Amount] ], )</f>
        <v>0</v>
      </c>
      <c r="J50" s="129">
        <f>IF(Table45[[#This Row],[CODE]]=2, Table45[ [#This Row],[Account Deposit Amount] ]-Table45[ [#This Row],[Account Withdrawl Amount] ], )</f>
        <v>0</v>
      </c>
      <c r="K50" s="129">
        <f>IF(Table45[[#This Row],[CODE]]=3, Table45[ [#This Row],[Account Deposit Amount] ]-Table45[ [#This Row],[Account Withdrawl Amount] ], )</f>
        <v>0</v>
      </c>
      <c r="L50" s="128">
        <f>IF(Table45[[#This Row],[CODE]]=4, Table45[ [#This Row],[Account Deposit Amount] ]-Table45[ [#This Row],[Account Withdrawl Amount] ], )</f>
        <v>0</v>
      </c>
      <c r="M50" s="128">
        <f>IF(Table45[[#This Row],[CODE]]=5, Table45[ [#This Row],[Account Deposit Amount] ]-Table45[ [#This Row],[Account Withdrawl Amount] ], )</f>
        <v>0</v>
      </c>
      <c r="N50" s="128">
        <f>IF(Table45[[#This Row],[CODE]]=6, Table45[ [#This Row],[Account Deposit Amount] ]-Table45[ [#This Row],[Account Withdrawl Amount] ], )</f>
        <v>0</v>
      </c>
      <c r="O50" s="128">
        <f>IF(Table45[[#This Row],[CODE]]=11, Table45[ [#This Row],[Account Deposit Amount] ]-Table45[ [#This Row],[Account Withdrawl Amount] ], )</f>
        <v>0</v>
      </c>
      <c r="P50" s="128">
        <f>IF(Table45[[#This Row],[CODE]]=12, Table45[ [#This Row],[Account Deposit Amount] ]-Table45[ [#This Row],[Account Withdrawl Amount] ], )</f>
        <v>0</v>
      </c>
      <c r="Q50" s="128">
        <f>IF(Table45[[#This Row],[CODE]]=13, Table45[ [#This Row],[Account Deposit Amount] ]-Table45[ [#This Row],[Account Withdrawl Amount] ], )</f>
        <v>0</v>
      </c>
      <c r="R50" s="128">
        <f>IF(Table45[[#This Row],[CODE]]=14, Table45[ [#This Row],[Account Deposit Amount] ]-Table45[ [#This Row],[Account Withdrawl Amount] ], )</f>
        <v>0</v>
      </c>
      <c r="S50" s="128">
        <f>IF(Table45[[#This Row],[CODE]]=15, Table45[ [#This Row],[Account Deposit Amount] ]-Table45[ [#This Row],[Account Withdrawl Amount] ], )</f>
        <v>0</v>
      </c>
      <c r="T50" s="128">
        <f>IF(Table45[[#This Row],[CODE]]=16, Table45[ [#This Row],[Account Deposit Amount] ]-Table45[ [#This Row],[Account Withdrawl Amount] ], )</f>
        <v>0</v>
      </c>
      <c r="U50" s="127">
        <f>IF(Table45[[#This Row],[CODE]]=17, Table45[ [#This Row],[Account Deposit Amount] ]-Table45[ [#This Row],[Account Withdrawl Amount] ], )</f>
        <v>0</v>
      </c>
    </row>
    <row r="51" spans="1:21" ht="16.2" thickBot="1">
      <c r="A51" s="130"/>
      <c r="B51" s="133"/>
      <c r="C51" s="130"/>
      <c r="D51" s="132"/>
      <c r="E51" s="128"/>
      <c r="F51" s="128"/>
      <c r="G51" s="131">
        <f t="shared" si="3"/>
        <v>17851.589999999997</v>
      </c>
      <c r="H51" s="130"/>
      <c r="I51" s="127">
        <f>IF(Table45[[#This Row],[CODE]]=1, Table45[ [#This Row],[Account Deposit Amount] ]-Table45[ [#This Row],[Account Withdrawl Amount] ], )</f>
        <v>0</v>
      </c>
      <c r="J51" s="129">
        <f>IF(Table45[[#This Row],[CODE]]=2, Table45[ [#This Row],[Account Deposit Amount] ]-Table45[ [#This Row],[Account Withdrawl Amount] ], )</f>
        <v>0</v>
      </c>
      <c r="K51" s="129">
        <f>IF(Table45[[#This Row],[CODE]]=3, Table45[ [#This Row],[Account Deposit Amount] ]-Table45[ [#This Row],[Account Withdrawl Amount] ], )</f>
        <v>0</v>
      </c>
      <c r="L51" s="128">
        <f>IF(Table45[[#This Row],[CODE]]=4, Table45[ [#This Row],[Account Deposit Amount] ]-Table45[ [#This Row],[Account Withdrawl Amount] ], )</f>
        <v>0</v>
      </c>
      <c r="M51" s="128">
        <f>IF(Table45[[#This Row],[CODE]]=5, Table45[ [#This Row],[Account Deposit Amount] ]-Table45[ [#This Row],[Account Withdrawl Amount] ], )</f>
        <v>0</v>
      </c>
      <c r="N51" s="128">
        <f>IF(Table45[[#This Row],[CODE]]=6, Table45[ [#This Row],[Account Deposit Amount] ]-Table45[ [#This Row],[Account Withdrawl Amount] ], )</f>
        <v>0</v>
      </c>
      <c r="O51" s="128">
        <f>IF(Table45[[#This Row],[CODE]]=11, Table45[ [#This Row],[Account Deposit Amount] ]-Table45[ [#This Row],[Account Withdrawl Amount] ], )</f>
        <v>0</v>
      </c>
      <c r="P51" s="128">
        <f>IF(Table45[[#This Row],[CODE]]=12, Table45[ [#This Row],[Account Deposit Amount] ]-Table45[ [#This Row],[Account Withdrawl Amount] ], )</f>
        <v>0</v>
      </c>
      <c r="Q51" s="128">
        <f>IF(Table45[[#This Row],[CODE]]=13, Table45[ [#This Row],[Account Deposit Amount] ]-Table45[ [#This Row],[Account Withdrawl Amount] ], )</f>
        <v>0</v>
      </c>
      <c r="R51" s="128">
        <f>IF(Table45[[#This Row],[CODE]]=14, Table45[ [#This Row],[Account Deposit Amount] ]-Table45[ [#This Row],[Account Withdrawl Amount] ], )</f>
        <v>0</v>
      </c>
      <c r="S51" s="128">
        <f>IF(Table45[[#This Row],[CODE]]=15, Table45[ [#This Row],[Account Deposit Amount] ]-Table45[ [#This Row],[Account Withdrawl Amount] ], )</f>
        <v>0</v>
      </c>
      <c r="T51" s="128">
        <f>IF(Table45[[#This Row],[CODE]]=16, Table45[ [#This Row],[Account Deposit Amount] ]-Table45[ [#This Row],[Account Withdrawl Amount] ], )</f>
        <v>0</v>
      </c>
      <c r="U51" s="127">
        <f>IF(Table45[[#This Row],[CODE]]=17, Table45[ [#This Row],[Account Deposit Amount] ]-Table45[ [#This Row],[Account Withdrawl Amount] ], )</f>
        <v>0</v>
      </c>
    </row>
    <row r="52" spans="1:21" ht="16.2" thickBot="1">
      <c r="A52" s="130"/>
      <c r="B52" s="133"/>
      <c r="C52" s="130"/>
      <c r="D52" s="132"/>
      <c r="E52" s="128"/>
      <c r="F52" s="128"/>
      <c r="G52" s="131">
        <f t="shared" si="3"/>
        <v>17851.589999999997</v>
      </c>
      <c r="H52" s="130"/>
      <c r="I52" s="127">
        <f>IF(Table45[[#This Row],[CODE]]=1, Table45[ [#This Row],[Account Deposit Amount] ]-Table45[ [#This Row],[Account Withdrawl Amount] ], )</f>
        <v>0</v>
      </c>
      <c r="J52" s="129">
        <f>IF(Table45[[#This Row],[CODE]]=2, Table45[ [#This Row],[Account Deposit Amount] ]-Table45[ [#This Row],[Account Withdrawl Amount] ], )</f>
        <v>0</v>
      </c>
      <c r="K52" s="129">
        <f>IF(Table45[[#This Row],[CODE]]=3, Table45[ [#This Row],[Account Deposit Amount] ]-Table45[ [#This Row],[Account Withdrawl Amount] ], )</f>
        <v>0</v>
      </c>
      <c r="L52" s="128">
        <f>IF(Table45[[#This Row],[CODE]]=4, Table45[ [#This Row],[Account Deposit Amount] ]-Table45[ [#This Row],[Account Withdrawl Amount] ], )</f>
        <v>0</v>
      </c>
      <c r="M52" s="128">
        <f>IF(Table45[[#This Row],[CODE]]=5, Table45[ [#This Row],[Account Deposit Amount] ]-Table45[ [#This Row],[Account Withdrawl Amount] ], )</f>
        <v>0</v>
      </c>
      <c r="N52" s="128">
        <f>IF(Table45[[#This Row],[CODE]]=6, Table45[ [#This Row],[Account Deposit Amount] ]-Table45[ [#This Row],[Account Withdrawl Amount] ], )</f>
        <v>0</v>
      </c>
      <c r="O52" s="128">
        <f>IF(Table45[[#This Row],[CODE]]=11, Table45[ [#This Row],[Account Deposit Amount] ]-Table45[ [#This Row],[Account Withdrawl Amount] ], )</f>
        <v>0</v>
      </c>
      <c r="P52" s="128">
        <f>IF(Table45[[#This Row],[CODE]]=12, Table45[ [#This Row],[Account Deposit Amount] ]-Table45[ [#This Row],[Account Withdrawl Amount] ], )</f>
        <v>0</v>
      </c>
      <c r="Q52" s="128">
        <f>IF(Table45[[#This Row],[CODE]]=13, Table45[ [#This Row],[Account Deposit Amount] ]-Table45[ [#This Row],[Account Withdrawl Amount] ], )</f>
        <v>0</v>
      </c>
      <c r="R52" s="128">
        <f>IF(Table45[[#This Row],[CODE]]=14, Table45[ [#This Row],[Account Deposit Amount] ]-Table45[ [#This Row],[Account Withdrawl Amount] ], )</f>
        <v>0</v>
      </c>
      <c r="S52" s="128">
        <f>IF(Table45[[#This Row],[CODE]]=15, Table45[ [#This Row],[Account Deposit Amount] ]-Table45[ [#This Row],[Account Withdrawl Amount] ], )</f>
        <v>0</v>
      </c>
      <c r="T52" s="128">
        <f>IF(Table45[[#This Row],[CODE]]=16, Table45[ [#This Row],[Account Deposit Amount] ]-Table45[ [#This Row],[Account Withdrawl Amount] ], )</f>
        <v>0</v>
      </c>
      <c r="U52" s="127">
        <f>IF(Table45[[#This Row],[CODE]]=17, Table45[ [#This Row],[Account Deposit Amount] ]-Table45[ [#This Row],[Account Withdrawl Amount] ], )</f>
        <v>0</v>
      </c>
    </row>
    <row r="53" spans="1:21" ht="16.2" thickBot="1">
      <c r="A53" s="130"/>
      <c r="B53" s="133"/>
      <c r="C53" s="130"/>
      <c r="D53" s="132"/>
      <c r="E53" s="128"/>
      <c r="F53" s="128"/>
      <c r="G53" s="131">
        <f t="shared" si="3"/>
        <v>17851.589999999997</v>
      </c>
      <c r="H53" s="130"/>
      <c r="I53" s="127">
        <f>IF(Table45[[#This Row],[CODE]]=1, Table45[ [#This Row],[Account Deposit Amount] ]-Table45[ [#This Row],[Account Withdrawl Amount] ], )</f>
        <v>0</v>
      </c>
      <c r="J53" s="129">
        <f>IF(Table45[[#This Row],[CODE]]=2, Table45[ [#This Row],[Account Deposit Amount] ]-Table45[ [#This Row],[Account Withdrawl Amount] ], )</f>
        <v>0</v>
      </c>
      <c r="K53" s="129">
        <f>IF(Table45[[#This Row],[CODE]]=3, Table45[ [#This Row],[Account Deposit Amount] ]-Table45[ [#This Row],[Account Withdrawl Amount] ], )</f>
        <v>0</v>
      </c>
      <c r="L53" s="128">
        <f>IF(Table45[[#This Row],[CODE]]=4, Table45[ [#This Row],[Account Deposit Amount] ]-Table45[ [#This Row],[Account Withdrawl Amount] ], )</f>
        <v>0</v>
      </c>
      <c r="M53" s="128">
        <f>IF(Table45[[#This Row],[CODE]]=5, Table45[ [#This Row],[Account Deposit Amount] ]-Table45[ [#This Row],[Account Withdrawl Amount] ], )</f>
        <v>0</v>
      </c>
      <c r="N53" s="128">
        <f>IF(Table45[[#This Row],[CODE]]=6, Table45[ [#This Row],[Account Deposit Amount] ]-Table45[ [#This Row],[Account Withdrawl Amount] ], )</f>
        <v>0</v>
      </c>
      <c r="O53" s="128">
        <f>IF(Table45[[#This Row],[CODE]]=11, Table45[ [#This Row],[Account Deposit Amount] ]-Table45[ [#This Row],[Account Withdrawl Amount] ], )</f>
        <v>0</v>
      </c>
      <c r="P53" s="128">
        <f>IF(Table45[[#This Row],[CODE]]=12, Table45[ [#This Row],[Account Deposit Amount] ]-Table45[ [#This Row],[Account Withdrawl Amount] ], )</f>
        <v>0</v>
      </c>
      <c r="Q53" s="128">
        <f>IF(Table45[[#This Row],[CODE]]=13, Table45[ [#This Row],[Account Deposit Amount] ]-Table45[ [#This Row],[Account Withdrawl Amount] ], )</f>
        <v>0</v>
      </c>
      <c r="R53" s="128">
        <f>IF(Table45[[#This Row],[CODE]]=14, Table45[ [#This Row],[Account Deposit Amount] ]-Table45[ [#This Row],[Account Withdrawl Amount] ], )</f>
        <v>0</v>
      </c>
      <c r="S53" s="128">
        <f>IF(Table45[[#This Row],[CODE]]=15, Table45[ [#This Row],[Account Deposit Amount] ]-Table45[ [#This Row],[Account Withdrawl Amount] ], )</f>
        <v>0</v>
      </c>
      <c r="T53" s="128">
        <f>IF(Table45[[#This Row],[CODE]]=16, Table45[ [#This Row],[Account Deposit Amount] ]-Table45[ [#This Row],[Account Withdrawl Amount] ], )</f>
        <v>0</v>
      </c>
      <c r="U53" s="127">
        <f>IF(Table45[[#This Row],[CODE]]=17, Table45[ [#This Row],[Account Deposit Amount] ]-Table45[ [#This Row],[Account Withdrawl Amount] ], )</f>
        <v>0</v>
      </c>
    </row>
    <row r="54" spans="1:21" ht="16.2" thickBot="1">
      <c r="A54" s="130"/>
      <c r="B54" s="133"/>
      <c r="C54" s="130"/>
      <c r="D54" s="132"/>
      <c r="E54" s="128"/>
      <c r="F54" s="128"/>
      <c r="G54" s="131">
        <f t="shared" si="3"/>
        <v>17851.589999999997</v>
      </c>
      <c r="H54" s="130"/>
      <c r="I54" s="127">
        <f>IF(Table45[[#This Row],[CODE]]=1, Table45[ [#This Row],[Account Deposit Amount] ]-Table45[ [#This Row],[Account Withdrawl Amount] ], )</f>
        <v>0</v>
      </c>
      <c r="J54" s="129">
        <f>IF(Table45[[#This Row],[CODE]]=2, Table45[ [#This Row],[Account Deposit Amount] ]-Table45[ [#This Row],[Account Withdrawl Amount] ], )</f>
        <v>0</v>
      </c>
      <c r="K54" s="129">
        <f>IF(Table45[[#This Row],[CODE]]=3, Table45[ [#This Row],[Account Deposit Amount] ]-Table45[ [#This Row],[Account Withdrawl Amount] ], )</f>
        <v>0</v>
      </c>
      <c r="L54" s="128">
        <f>IF(Table45[[#This Row],[CODE]]=4, Table45[ [#This Row],[Account Deposit Amount] ]-Table45[ [#This Row],[Account Withdrawl Amount] ], )</f>
        <v>0</v>
      </c>
      <c r="M54" s="128">
        <f>IF(Table45[[#This Row],[CODE]]=5, Table45[ [#This Row],[Account Deposit Amount] ]-Table45[ [#This Row],[Account Withdrawl Amount] ], )</f>
        <v>0</v>
      </c>
      <c r="N54" s="128">
        <f>IF(Table45[[#This Row],[CODE]]=6, Table45[ [#This Row],[Account Deposit Amount] ]-Table45[ [#This Row],[Account Withdrawl Amount] ], )</f>
        <v>0</v>
      </c>
      <c r="O54" s="128">
        <f>IF(Table45[[#This Row],[CODE]]=11, Table45[ [#This Row],[Account Deposit Amount] ]-Table45[ [#This Row],[Account Withdrawl Amount] ], )</f>
        <v>0</v>
      </c>
      <c r="P54" s="128">
        <f>IF(Table45[[#This Row],[CODE]]=12, Table45[ [#This Row],[Account Deposit Amount] ]-Table45[ [#This Row],[Account Withdrawl Amount] ], )</f>
        <v>0</v>
      </c>
      <c r="Q54" s="128">
        <f>IF(Table45[[#This Row],[CODE]]=13, Table45[ [#This Row],[Account Deposit Amount] ]-Table45[ [#This Row],[Account Withdrawl Amount] ], )</f>
        <v>0</v>
      </c>
      <c r="R54" s="128">
        <f>IF(Table45[[#This Row],[CODE]]=14, Table45[ [#This Row],[Account Deposit Amount] ]-Table45[ [#This Row],[Account Withdrawl Amount] ], )</f>
        <v>0</v>
      </c>
      <c r="S54" s="128">
        <f>IF(Table45[[#This Row],[CODE]]=15, Table45[ [#This Row],[Account Deposit Amount] ]-Table45[ [#This Row],[Account Withdrawl Amount] ], )</f>
        <v>0</v>
      </c>
      <c r="T54" s="128">
        <f>IF(Table45[[#This Row],[CODE]]=16, Table45[ [#This Row],[Account Deposit Amount] ]-Table45[ [#This Row],[Account Withdrawl Amount] ], )</f>
        <v>0</v>
      </c>
      <c r="U54" s="127">
        <f>IF(Table45[[#This Row],[CODE]]=17, Table45[ [#This Row],[Account Deposit Amount] ]-Table45[ [#This Row],[Account Withdrawl Amount] ], )</f>
        <v>0</v>
      </c>
    </row>
    <row r="55" spans="1:21" ht="16.2" thickBot="1">
      <c r="A55" s="130"/>
      <c r="B55" s="133"/>
      <c r="C55" s="130"/>
      <c r="D55" s="132"/>
      <c r="E55" s="128"/>
      <c r="F55" s="128"/>
      <c r="G55" s="131">
        <f t="shared" si="3"/>
        <v>17851.589999999997</v>
      </c>
      <c r="H55" s="130"/>
      <c r="I55" s="127">
        <f>IF(Table45[[#This Row],[CODE]]=1, Table45[ [#This Row],[Account Deposit Amount] ]-Table45[ [#This Row],[Account Withdrawl Amount] ], )</f>
        <v>0</v>
      </c>
      <c r="J55" s="129">
        <f>IF(Table45[[#This Row],[CODE]]=2, Table45[ [#This Row],[Account Deposit Amount] ]-Table45[ [#This Row],[Account Withdrawl Amount] ], )</f>
        <v>0</v>
      </c>
      <c r="K55" s="129">
        <f>IF(Table45[[#This Row],[CODE]]=3, Table45[ [#This Row],[Account Deposit Amount] ]-Table45[ [#This Row],[Account Withdrawl Amount] ], )</f>
        <v>0</v>
      </c>
      <c r="L55" s="128">
        <f>IF(Table45[[#This Row],[CODE]]=4, Table45[ [#This Row],[Account Deposit Amount] ]-Table45[ [#This Row],[Account Withdrawl Amount] ], )</f>
        <v>0</v>
      </c>
      <c r="M55" s="128">
        <f>IF(Table45[[#This Row],[CODE]]=5, Table45[ [#This Row],[Account Deposit Amount] ]-Table45[ [#This Row],[Account Withdrawl Amount] ], )</f>
        <v>0</v>
      </c>
      <c r="N55" s="128">
        <f>IF(Table45[[#This Row],[CODE]]=6, Table45[ [#This Row],[Account Deposit Amount] ]-Table45[ [#This Row],[Account Withdrawl Amount] ], )</f>
        <v>0</v>
      </c>
      <c r="O55" s="128">
        <f>IF(Table45[[#This Row],[CODE]]=11, Table45[ [#This Row],[Account Deposit Amount] ]-Table45[ [#This Row],[Account Withdrawl Amount] ], )</f>
        <v>0</v>
      </c>
      <c r="P55" s="128">
        <f>IF(Table45[[#This Row],[CODE]]=12, Table45[ [#This Row],[Account Deposit Amount] ]-Table45[ [#This Row],[Account Withdrawl Amount] ], )</f>
        <v>0</v>
      </c>
      <c r="Q55" s="128">
        <f>IF(Table45[[#This Row],[CODE]]=13, Table45[ [#This Row],[Account Deposit Amount] ]-Table45[ [#This Row],[Account Withdrawl Amount] ], )</f>
        <v>0</v>
      </c>
      <c r="R55" s="128">
        <f>IF(Table45[[#This Row],[CODE]]=14, Table45[ [#This Row],[Account Deposit Amount] ]-Table45[ [#This Row],[Account Withdrawl Amount] ], )</f>
        <v>0</v>
      </c>
      <c r="S55" s="128">
        <f>IF(Table45[[#This Row],[CODE]]=15, Table45[ [#This Row],[Account Deposit Amount] ]-Table45[ [#This Row],[Account Withdrawl Amount] ], )</f>
        <v>0</v>
      </c>
      <c r="T55" s="128">
        <f>IF(Table45[[#This Row],[CODE]]=16, Table45[ [#This Row],[Account Deposit Amount] ]-Table45[ [#This Row],[Account Withdrawl Amount] ], )</f>
        <v>0</v>
      </c>
      <c r="U55" s="127">
        <f>IF(Table45[[#This Row],[CODE]]=17, Table45[ [#This Row],[Account Deposit Amount] ]-Table45[ [#This Row],[Account Withdrawl Amount] ], )</f>
        <v>0</v>
      </c>
    </row>
    <row r="56" spans="1:21" ht="16.2" thickBot="1">
      <c r="A56" s="130"/>
      <c r="B56" s="133"/>
      <c r="C56" s="130"/>
      <c r="D56" s="132"/>
      <c r="E56" s="128"/>
      <c r="F56" s="128"/>
      <c r="G56" s="131">
        <f t="shared" si="3"/>
        <v>17851.589999999997</v>
      </c>
      <c r="H56" s="130"/>
      <c r="I56" s="127">
        <f>IF(Table45[[#This Row],[CODE]]=1, Table45[ [#This Row],[Account Deposit Amount] ]-Table45[ [#This Row],[Account Withdrawl Amount] ], )</f>
        <v>0</v>
      </c>
      <c r="J56" s="129">
        <f>IF(Table45[[#This Row],[CODE]]=2, Table45[ [#This Row],[Account Deposit Amount] ]-Table45[ [#This Row],[Account Withdrawl Amount] ], )</f>
        <v>0</v>
      </c>
      <c r="K56" s="129">
        <f>IF(Table45[[#This Row],[CODE]]=3, Table45[ [#This Row],[Account Deposit Amount] ]-Table45[ [#This Row],[Account Withdrawl Amount] ], )</f>
        <v>0</v>
      </c>
      <c r="L56" s="128">
        <f>IF(Table45[[#This Row],[CODE]]=4, Table45[ [#This Row],[Account Deposit Amount] ]-Table45[ [#This Row],[Account Withdrawl Amount] ], )</f>
        <v>0</v>
      </c>
      <c r="M56" s="128">
        <f>IF(Table45[[#This Row],[CODE]]=5, Table45[ [#This Row],[Account Deposit Amount] ]-Table45[ [#This Row],[Account Withdrawl Amount] ], )</f>
        <v>0</v>
      </c>
      <c r="N56" s="128">
        <f>IF(Table45[[#This Row],[CODE]]=6, Table45[ [#This Row],[Account Deposit Amount] ]-Table45[ [#This Row],[Account Withdrawl Amount] ], )</f>
        <v>0</v>
      </c>
      <c r="O56" s="128">
        <f>IF(Table45[[#This Row],[CODE]]=11, Table45[ [#This Row],[Account Deposit Amount] ]-Table45[ [#This Row],[Account Withdrawl Amount] ], )</f>
        <v>0</v>
      </c>
      <c r="P56" s="128">
        <f>IF(Table45[[#This Row],[CODE]]=12, Table45[ [#This Row],[Account Deposit Amount] ]-Table45[ [#This Row],[Account Withdrawl Amount] ], )</f>
        <v>0</v>
      </c>
      <c r="Q56" s="128">
        <f>IF(Table45[[#This Row],[CODE]]=13, Table45[ [#This Row],[Account Deposit Amount] ]-Table45[ [#This Row],[Account Withdrawl Amount] ], )</f>
        <v>0</v>
      </c>
      <c r="R56" s="128">
        <f>IF(Table45[[#This Row],[CODE]]=14, Table45[ [#This Row],[Account Deposit Amount] ]-Table45[ [#This Row],[Account Withdrawl Amount] ], )</f>
        <v>0</v>
      </c>
      <c r="S56" s="128">
        <f>IF(Table45[[#This Row],[CODE]]=15, Table45[ [#This Row],[Account Deposit Amount] ]-Table45[ [#This Row],[Account Withdrawl Amount] ], )</f>
        <v>0</v>
      </c>
      <c r="T56" s="128">
        <f>IF(Table45[[#This Row],[CODE]]=16, Table45[ [#This Row],[Account Deposit Amount] ]-Table45[ [#This Row],[Account Withdrawl Amount] ], )</f>
        <v>0</v>
      </c>
      <c r="U56" s="127">
        <f>IF(Table45[[#This Row],[CODE]]=17, Table45[ [#This Row],[Account Deposit Amount] ]-Table45[ [#This Row],[Account Withdrawl Amount] ], )</f>
        <v>0</v>
      </c>
    </row>
    <row r="57" spans="1:21" ht="16.2" thickBot="1">
      <c r="A57" s="130"/>
      <c r="B57" s="133"/>
      <c r="C57" s="130"/>
      <c r="D57" s="132"/>
      <c r="E57" s="128"/>
      <c r="F57" s="128"/>
      <c r="G57" s="131">
        <f t="shared" si="3"/>
        <v>17851.589999999997</v>
      </c>
      <c r="H57" s="130"/>
      <c r="I57" s="127">
        <f>IF(Table45[[#This Row],[CODE]]=1, Table45[ [#This Row],[Account Deposit Amount] ]-Table45[ [#This Row],[Account Withdrawl Amount] ], )</f>
        <v>0</v>
      </c>
      <c r="J57" s="129">
        <f>IF(Table45[[#This Row],[CODE]]=2, Table45[ [#This Row],[Account Deposit Amount] ]-Table45[ [#This Row],[Account Withdrawl Amount] ], )</f>
        <v>0</v>
      </c>
      <c r="K57" s="129">
        <f>IF(Table45[[#This Row],[CODE]]=3, Table45[ [#This Row],[Account Deposit Amount] ]-Table45[ [#This Row],[Account Withdrawl Amount] ], )</f>
        <v>0</v>
      </c>
      <c r="L57" s="128">
        <f>IF(Table45[[#This Row],[CODE]]=4, Table45[ [#This Row],[Account Deposit Amount] ]-Table45[ [#This Row],[Account Withdrawl Amount] ], )</f>
        <v>0</v>
      </c>
      <c r="M57" s="128">
        <f>IF(Table45[[#This Row],[CODE]]=5, Table45[ [#This Row],[Account Deposit Amount] ]-Table45[ [#This Row],[Account Withdrawl Amount] ], )</f>
        <v>0</v>
      </c>
      <c r="N57" s="128">
        <f>IF(Table45[[#This Row],[CODE]]=6, Table45[ [#This Row],[Account Deposit Amount] ]-Table45[ [#This Row],[Account Withdrawl Amount] ], )</f>
        <v>0</v>
      </c>
      <c r="O57" s="128">
        <f>IF(Table45[[#This Row],[CODE]]=11, Table45[ [#This Row],[Account Deposit Amount] ]-Table45[ [#This Row],[Account Withdrawl Amount] ], )</f>
        <v>0</v>
      </c>
      <c r="P57" s="128">
        <f>IF(Table45[[#This Row],[CODE]]=12, Table45[ [#This Row],[Account Deposit Amount] ]-Table45[ [#This Row],[Account Withdrawl Amount] ], )</f>
        <v>0</v>
      </c>
      <c r="Q57" s="128">
        <f>IF(Table45[[#This Row],[CODE]]=13, Table45[ [#This Row],[Account Deposit Amount] ]-Table45[ [#This Row],[Account Withdrawl Amount] ], )</f>
        <v>0</v>
      </c>
      <c r="R57" s="128">
        <f>IF(Table45[[#This Row],[CODE]]=14, Table45[ [#This Row],[Account Deposit Amount] ]-Table45[ [#This Row],[Account Withdrawl Amount] ], )</f>
        <v>0</v>
      </c>
      <c r="S57" s="128">
        <f>IF(Table45[[#This Row],[CODE]]=15, Table45[ [#This Row],[Account Deposit Amount] ]-Table45[ [#This Row],[Account Withdrawl Amount] ], )</f>
        <v>0</v>
      </c>
      <c r="T57" s="128">
        <f>IF(Table45[[#This Row],[CODE]]=16, Table45[ [#This Row],[Account Deposit Amount] ]-Table45[ [#This Row],[Account Withdrawl Amount] ], )</f>
        <v>0</v>
      </c>
      <c r="U57" s="127">
        <f>IF(Table45[[#This Row],[CODE]]=17, Table45[ [#This Row],[Account Deposit Amount] ]-Table45[ [#This Row],[Account Withdrawl Amount] ], )</f>
        <v>0</v>
      </c>
    </row>
    <row r="58" spans="1:21" ht="16.2" thickBot="1">
      <c r="A58" s="130"/>
      <c r="B58" s="133"/>
      <c r="C58" s="130"/>
      <c r="D58" s="132"/>
      <c r="E58" s="128"/>
      <c r="F58" s="128"/>
      <c r="G58" s="131">
        <f t="shared" si="3"/>
        <v>17851.589999999997</v>
      </c>
      <c r="H58" s="130"/>
      <c r="I58" s="127">
        <f>IF(Table45[[#This Row],[CODE]]=1, Table45[ [#This Row],[Account Deposit Amount] ]-Table45[ [#This Row],[Account Withdrawl Amount] ], )</f>
        <v>0</v>
      </c>
      <c r="J58" s="129">
        <f>IF(Table45[[#This Row],[CODE]]=2, Table45[ [#This Row],[Account Deposit Amount] ]-Table45[ [#This Row],[Account Withdrawl Amount] ], )</f>
        <v>0</v>
      </c>
      <c r="K58" s="129">
        <f>IF(Table45[[#This Row],[CODE]]=3, Table45[ [#This Row],[Account Deposit Amount] ]-Table45[ [#This Row],[Account Withdrawl Amount] ], )</f>
        <v>0</v>
      </c>
      <c r="L58" s="128">
        <f>IF(Table45[[#This Row],[CODE]]=4, Table45[ [#This Row],[Account Deposit Amount] ]-Table45[ [#This Row],[Account Withdrawl Amount] ], )</f>
        <v>0</v>
      </c>
      <c r="M58" s="128">
        <f>IF(Table45[[#This Row],[CODE]]=5, Table45[ [#This Row],[Account Deposit Amount] ]-Table45[ [#This Row],[Account Withdrawl Amount] ], )</f>
        <v>0</v>
      </c>
      <c r="N58" s="128">
        <f>IF(Table45[[#This Row],[CODE]]=6, Table45[ [#This Row],[Account Deposit Amount] ]-Table45[ [#This Row],[Account Withdrawl Amount] ], )</f>
        <v>0</v>
      </c>
      <c r="O58" s="128">
        <f>IF(Table45[[#This Row],[CODE]]=11, Table45[ [#This Row],[Account Deposit Amount] ]-Table45[ [#This Row],[Account Withdrawl Amount] ], )</f>
        <v>0</v>
      </c>
      <c r="P58" s="128">
        <f>IF(Table45[[#This Row],[CODE]]=12, Table45[ [#This Row],[Account Deposit Amount] ]-Table45[ [#This Row],[Account Withdrawl Amount] ], )</f>
        <v>0</v>
      </c>
      <c r="Q58" s="128">
        <f>IF(Table45[[#This Row],[CODE]]=13, Table45[ [#This Row],[Account Deposit Amount] ]-Table45[ [#This Row],[Account Withdrawl Amount] ], )</f>
        <v>0</v>
      </c>
      <c r="R58" s="128">
        <f>IF(Table45[[#This Row],[CODE]]=14, Table45[ [#This Row],[Account Deposit Amount] ]-Table45[ [#This Row],[Account Withdrawl Amount] ], )</f>
        <v>0</v>
      </c>
      <c r="S58" s="128">
        <f>IF(Table45[[#This Row],[CODE]]=15, Table45[ [#This Row],[Account Deposit Amount] ]-Table45[ [#This Row],[Account Withdrawl Amount] ], )</f>
        <v>0</v>
      </c>
      <c r="T58" s="128">
        <f>IF(Table45[[#This Row],[CODE]]=16, Table45[ [#This Row],[Account Deposit Amount] ]-Table45[ [#This Row],[Account Withdrawl Amount] ], )</f>
        <v>0</v>
      </c>
      <c r="U58" s="127">
        <f>IF(Table45[[#This Row],[CODE]]=17, Table45[ [#This Row],[Account Deposit Amount] ]-Table45[ [#This Row],[Account Withdrawl Amount] ], )</f>
        <v>0</v>
      </c>
    </row>
    <row r="59" spans="1:21" ht="16.2" thickBot="1">
      <c r="A59" s="130"/>
      <c r="B59" s="133"/>
      <c r="C59" s="130"/>
      <c r="D59" s="132"/>
      <c r="E59" s="128"/>
      <c r="F59" s="128"/>
      <c r="G59" s="131">
        <f t="shared" si="3"/>
        <v>17851.589999999997</v>
      </c>
      <c r="H59" s="130"/>
      <c r="I59" s="127">
        <f>IF(Table45[[#This Row],[CODE]]=1, Table45[ [#This Row],[Account Deposit Amount] ]-Table45[ [#This Row],[Account Withdrawl Amount] ], )</f>
        <v>0</v>
      </c>
      <c r="J59" s="129">
        <f>IF(Table45[[#This Row],[CODE]]=2, Table45[ [#This Row],[Account Deposit Amount] ]-Table45[ [#This Row],[Account Withdrawl Amount] ], )</f>
        <v>0</v>
      </c>
      <c r="K59" s="129">
        <f>IF(Table45[[#This Row],[CODE]]=3, Table45[ [#This Row],[Account Deposit Amount] ]-Table45[ [#This Row],[Account Withdrawl Amount] ], )</f>
        <v>0</v>
      </c>
      <c r="L59" s="128">
        <f>IF(Table45[[#This Row],[CODE]]=4, Table45[ [#This Row],[Account Deposit Amount] ]-Table45[ [#This Row],[Account Withdrawl Amount] ], )</f>
        <v>0</v>
      </c>
      <c r="M59" s="128">
        <f>IF(Table45[[#This Row],[CODE]]=5, Table45[ [#This Row],[Account Deposit Amount] ]-Table45[ [#This Row],[Account Withdrawl Amount] ], )</f>
        <v>0</v>
      </c>
      <c r="N59" s="128">
        <f>IF(Table45[[#This Row],[CODE]]=6, Table45[ [#This Row],[Account Deposit Amount] ]-Table45[ [#This Row],[Account Withdrawl Amount] ], )</f>
        <v>0</v>
      </c>
      <c r="O59" s="128">
        <f>IF(Table45[[#This Row],[CODE]]=11, Table45[ [#This Row],[Account Deposit Amount] ]-Table45[ [#This Row],[Account Withdrawl Amount] ], )</f>
        <v>0</v>
      </c>
      <c r="P59" s="128">
        <f>IF(Table45[[#This Row],[CODE]]=12, Table45[ [#This Row],[Account Deposit Amount] ]-Table45[ [#This Row],[Account Withdrawl Amount] ], )</f>
        <v>0</v>
      </c>
      <c r="Q59" s="128">
        <f>IF(Table45[[#This Row],[CODE]]=13, Table45[ [#This Row],[Account Deposit Amount] ]-Table45[ [#This Row],[Account Withdrawl Amount] ], )</f>
        <v>0</v>
      </c>
      <c r="R59" s="128">
        <f>IF(Table45[[#This Row],[CODE]]=14, Table45[ [#This Row],[Account Deposit Amount] ]-Table45[ [#This Row],[Account Withdrawl Amount] ], )</f>
        <v>0</v>
      </c>
      <c r="S59" s="128">
        <f>IF(Table45[[#This Row],[CODE]]=15, Table45[ [#This Row],[Account Deposit Amount] ]-Table45[ [#This Row],[Account Withdrawl Amount] ], )</f>
        <v>0</v>
      </c>
      <c r="T59" s="128">
        <f>IF(Table45[[#This Row],[CODE]]=16, Table45[ [#This Row],[Account Deposit Amount] ]-Table45[ [#This Row],[Account Withdrawl Amount] ], )</f>
        <v>0</v>
      </c>
      <c r="U59" s="127">
        <f>IF(Table45[[#This Row],[CODE]]=17, Table45[ [#This Row],[Account Deposit Amount] ]-Table45[ [#This Row],[Account Withdrawl Amount] ], )</f>
        <v>0</v>
      </c>
    </row>
    <row r="60" spans="1:21" ht="16.2" thickBot="1">
      <c r="A60" s="130"/>
      <c r="B60" s="133"/>
      <c r="C60" s="130"/>
      <c r="D60" s="132"/>
      <c r="E60" s="128"/>
      <c r="F60" s="128"/>
      <c r="G60" s="131">
        <f t="shared" si="3"/>
        <v>17851.589999999997</v>
      </c>
      <c r="H60" s="130"/>
      <c r="I60" s="127">
        <f>IF(Table45[[#This Row],[CODE]]=1, Table45[ [#This Row],[Account Deposit Amount] ]-Table45[ [#This Row],[Account Withdrawl Amount] ], )</f>
        <v>0</v>
      </c>
      <c r="J60" s="129">
        <f>IF(Table45[[#This Row],[CODE]]=2, Table45[ [#This Row],[Account Deposit Amount] ]-Table45[ [#This Row],[Account Withdrawl Amount] ], )</f>
        <v>0</v>
      </c>
      <c r="K60" s="129">
        <f>IF(Table45[[#This Row],[CODE]]=3, Table45[ [#This Row],[Account Deposit Amount] ]-Table45[ [#This Row],[Account Withdrawl Amount] ], )</f>
        <v>0</v>
      </c>
      <c r="L60" s="128">
        <f>IF(Table45[[#This Row],[CODE]]=4, Table45[ [#This Row],[Account Deposit Amount] ]-Table45[ [#This Row],[Account Withdrawl Amount] ], )</f>
        <v>0</v>
      </c>
      <c r="M60" s="128">
        <f>IF(Table45[[#This Row],[CODE]]=5, Table45[ [#This Row],[Account Deposit Amount] ]-Table45[ [#This Row],[Account Withdrawl Amount] ], )</f>
        <v>0</v>
      </c>
      <c r="N60" s="128">
        <f>IF(Table45[[#This Row],[CODE]]=6, Table45[ [#This Row],[Account Deposit Amount] ]-Table45[ [#This Row],[Account Withdrawl Amount] ], )</f>
        <v>0</v>
      </c>
      <c r="O60" s="128">
        <f>IF(Table45[[#This Row],[CODE]]=11, Table45[ [#This Row],[Account Deposit Amount] ]-Table45[ [#This Row],[Account Withdrawl Amount] ], )</f>
        <v>0</v>
      </c>
      <c r="P60" s="128">
        <f>IF(Table45[[#This Row],[CODE]]=12, Table45[ [#This Row],[Account Deposit Amount] ]-Table45[ [#This Row],[Account Withdrawl Amount] ], )</f>
        <v>0</v>
      </c>
      <c r="Q60" s="128">
        <f>IF(Table45[[#This Row],[CODE]]=13, Table45[ [#This Row],[Account Deposit Amount] ]-Table45[ [#This Row],[Account Withdrawl Amount] ], )</f>
        <v>0</v>
      </c>
      <c r="R60" s="128">
        <f>IF(Table45[[#This Row],[CODE]]=14, Table45[ [#This Row],[Account Deposit Amount] ]-Table45[ [#This Row],[Account Withdrawl Amount] ], )</f>
        <v>0</v>
      </c>
      <c r="S60" s="128">
        <f>IF(Table45[[#This Row],[CODE]]=15, Table45[ [#This Row],[Account Deposit Amount] ]-Table45[ [#This Row],[Account Withdrawl Amount] ], )</f>
        <v>0</v>
      </c>
      <c r="T60" s="128">
        <f>IF(Table45[[#This Row],[CODE]]=16, Table45[ [#This Row],[Account Deposit Amount] ]-Table45[ [#This Row],[Account Withdrawl Amount] ], )</f>
        <v>0</v>
      </c>
      <c r="U60" s="127">
        <f>IF(Table45[[#This Row],[CODE]]=17, Table45[ [#This Row],[Account Deposit Amount] ]-Table45[ [#This Row],[Account Withdrawl Amount] ], )</f>
        <v>0</v>
      </c>
    </row>
    <row r="61" spans="1:21" ht="16.2" thickBot="1">
      <c r="A61" s="130"/>
      <c r="B61" s="133"/>
      <c r="C61" s="130"/>
      <c r="D61" s="132"/>
      <c r="E61" s="128"/>
      <c r="F61" s="128"/>
      <c r="G61" s="131">
        <f t="shared" si="3"/>
        <v>17851.589999999997</v>
      </c>
      <c r="H61" s="130"/>
      <c r="I61" s="127">
        <f>IF(Table45[[#This Row],[CODE]]=1, Table45[ [#This Row],[Account Deposit Amount] ]-Table45[ [#This Row],[Account Withdrawl Amount] ], )</f>
        <v>0</v>
      </c>
      <c r="J61" s="129">
        <f>IF(Table45[[#This Row],[CODE]]=2, Table45[ [#This Row],[Account Deposit Amount] ]-Table45[ [#This Row],[Account Withdrawl Amount] ], )</f>
        <v>0</v>
      </c>
      <c r="K61" s="129">
        <f>IF(Table45[[#This Row],[CODE]]=3, Table45[ [#This Row],[Account Deposit Amount] ]-Table45[ [#This Row],[Account Withdrawl Amount] ], )</f>
        <v>0</v>
      </c>
      <c r="L61" s="128">
        <f>IF(Table45[[#This Row],[CODE]]=4, Table45[ [#This Row],[Account Deposit Amount] ]-Table45[ [#This Row],[Account Withdrawl Amount] ], )</f>
        <v>0</v>
      </c>
      <c r="M61" s="128">
        <f>IF(Table45[[#This Row],[CODE]]=5, Table45[ [#This Row],[Account Deposit Amount] ]-Table45[ [#This Row],[Account Withdrawl Amount] ], )</f>
        <v>0</v>
      </c>
      <c r="N61" s="128">
        <f>IF(Table45[[#This Row],[CODE]]=6, Table45[ [#This Row],[Account Deposit Amount] ]-Table45[ [#This Row],[Account Withdrawl Amount] ], )</f>
        <v>0</v>
      </c>
      <c r="O61" s="128">
        <f>IF(Table45[[#This Row],[CODE]]=11, Table45[ [#This Row],[Account Deposit Amount] ]-Table45[ [#This Row],[Account Withdrawl Amount] ], )</f>
        <v>0</v>
      </c>
      <c r="P61" s="128">
        <f>IF(Table45[[#This Row],[CODE]]=12, Table45[ [#This Row],[Account Deposit Amount] ]-Table45[ [#This Row],[Account Withdrawl Amount] ], )</f>
        <v>0</v>
      </c>
      <c r="Q61" s="128">
        <f>IF(Table45[[#This Row],[CODE]]=13, Table45[ [#This Row],[Account Deposit Amount] ]-Table45[ [#This Row],[Account Withdrawl Amount] ], )</f>
        <v>0</v>
      </c>
      <c r="R61" s="128">
        <f>IF(Table45[[#This Row],[CODE]]=14, Table45[ [#This Row],[Account Deposit Amount] ]-Table45[ [#This Row],[Account Withdrawl Amount] ], )</f>
        <v>0</v>
      </c>
      <c r="S61" s="128">
        <f>IF(Table45[[#This Row],[CODE]]=15, Table45[ [#This Row],[Account Deposit Amount] ]-Table45[ [#This Row],[Account Withdrawl Amount] ], )</f>
        <v>0</v>
      </c>
      <c r="T61" s="128">
        <f>IF(Table45[[#This Row],[CODE]]=16, Table45[ [#This Row],[Account Deposit Amount] ]-Table45[ [#This Row],[Account Withdrawl Amount] ], )</f>
        <v>0</v>
      </c>
      <c r="U61" s="127">
        <f>IF(Table45[[#This Row],[CODE]]=17, Table45[ [#This Row],[Account Deposit Amount] ]-Table45[ [#This Row],[Account Withdrawl Amount] ], )</f>
        <v>0</v>
      </c>
    </row>
    <row r="62" spans="1:21" ht="16.2" thickBot="1">
      <c r="A62" s="130"/>
      <c r="B62" s="133"/>
      <c r="C62" s="130"/>
      <c r="D62" s="132"/>
      <c r="E62" s="128"/>
      <c r="F62" s="128"/>
      <c r="G62" s="131">
        <f t="shared" si="3"/>
        <v>17851.589999999997</v>
      </c>
      <c r="H62" s="130"/>
      <c r="I62" s="127">
        <f>IF(Table45[[#This Row],[CODE]]=1, Table45[ [#This Row],[Account Deposit Amount] ]-Table45[ [#This Row],[Account Withdrawl Amount] ], )</f>
        <v>0</v>
      </c>
      <c r="J62" s="129">
        <f>IF(Table45[[#This Row],[CODE]]=2, Table45[ [#This Row],[Account Deposit Amount] ]-Table45[ [#This Row],[Account Withdrawl Amount] ], )</f>
        <v>0</v>
      </c>
      <c r="K62" s="129">
        <f>IF(Table45[[#This Row],[CODE]]=3, Table45[ [#This Row],[Account Deposit Amount] ]-Table45[ [#This Row],[Account Withdrawl Amount] ], )</f>
        <v>0</v>
      </c>
      <c r="L62" s="128">
        <f>IF(Table45[[#This Row],[CODE]]=4, Table45[ [#This Row],[Account Deposit Amount] ]-Table45[ [#This Row],[Account Withdrawl Amount] ], )</f>
        <v>0</v>
      </c>
      <c r="M62" s="128">
        <f>IF(Table45[[#This Row],[CODE]]=5, Table45[ [#This Row],[Account Deposit Amount] ]-Table45[ [#This Row],[Account Withdrawl Amount] ], )</f>
        <v>0</v>
      </c>
      <c r="N62" s="128">
        <f>IF(Table45[[#This Row],[CODE]]=6, Table45[ [#This Row],[Account Deposit Amount] ]-Table45[ [#This Row],[Account Withdrawl Amount] ], )</f>
        <v>0</v>
      </c>
      <c r="O62" s="128">
        <f>IF(Table45[[#This Row],[CODE]]=11, Table45[ [#This Row],[Account Deposit Amount] ]-Table45[ [#This Row],[Account Withdrawl Amount] ], )</f>
        <v>0</v>
      </c>
      <c r="P62" s="128">
        <f>IF(Table45[[#This Row],[CODE]]=12, Table45[ [#This Row],[Account Deposit Amount] ]-Table45[ [#This Row],[Account Withdrawl Amount] ], )</f>
        <v>0</v>
      </c>
      <c r="Q62" s="128">
        <f>IF(Table45[[#This Row],[CODE]]=13, Table45[ [#This Row],[Account Deposit Amount] ]-Table45[ [#This Row],[Account Withdrawl Amount] ], )</f>
        <v>0</v>
      </c>
      <c r="R62" s="128">
        <f>IF(Table45[[#This Row],[CODE]]=14, Table45[ [#This Row],[Account Deposit Amount] ]-Table45[ [#This Row],[Account Withdrawl Amount] ], )</f>
        <v>0</v>
      </c>
      <c r="S62" s="128">
        <f>IF(Table45[[#This Row],[CODE]]=15, Table45[ [#This Row],[Account Deposit Amount] ]-Table45[ [#This Row],[Account Withdrawl Amount] ], )</f>
        <v>0</v>
      </c>
      <c r="T62" s="128">
        <f>IF(Table45[[#This Row],[CODE]]=16, Table45[ [#This Row],[Account Deposit Amount] ]-Table45[ [#This Row],[Account Withdrawl Amount] ], )</f>
        <v>0</v>
      </c>
      <c r="U62" s="127">
        <f>IF(Table45[[#This Row],[CODE]]=17, Table45[ [#This Row],[Account Deposit Amount] ]-Table45[ [#This Row],[Account Withdrawl Amount] ], )</f>
        <v>0</v>
      </c>
    </row>
    <row r="63" spans="1:21" ht="16.2" thickBot="1">
      <c r="A63" s="130"/>
      <c r="B63" s="133"/>
      <c r="C63" s="130"/>
      <c r="D63" s="132"/>
      <c r="E63" s="128"/>
      <c r="F63" s="128"/>
      <c r="G63" s="131">
        <f t="shared" si="3"/>
        <v>17851.589999999997</v>
      </c>
      <c r="H63" s="130"/>
      <c r="I63" s="127">
        <f>IF(Table45[[#This Row],[CODE]]=1, Table45[ [#This Row],[Account Deposit Amount] ]-Table45[ [#This Row],[Account Withdrawl Amount] ], )</f>
        <v>0</v>
      </c>
      <c r="J63" s="129">
        <f>IF(Table45[[#This Row],[CODE]]=2, Table45[ [#This Row],[Account Deposit Amount] ]-Table45[ [#This Row],[Account Withdrawl Amount] ], )</f>
        <v>0</v>
      </c>
      <c r="K63" s="129">
        <f>IF(Table45[[#This Row],[CODE]]=3, Table45[ [#This Row],[Account Deposit Amount] ]-Table45[ [#This Row],[Account Withdrawl Amount] ], )</f>
        <v>0</v>
      </c>
      <c r="L63" s="128">
        <f>IF(Table45[[#This Row],[CODE]]=4, Table45[ [#This Row],[Account Deposit Amount] ]-Table45[ [#This Row],[Account Withdrawl Amount] ], )</f>
        <v>0</v>
      </c>
      <c r="M63" s="128">
        <f>IF(Table45[[#This Row],[CODE]]=5, Table45[ [#This Row],[Account Deposit Amount] ]-Table45[ [#This Row],[Account Withdrawl Amount] ], )</f>
        <v>0</v>
      </c>
      <c r="N63" s="128">
        <f>IF(Table45[[#This Row],[CODE]]=6, Table45[ [#This Row],[Account Deposit Amount] ]-Table45[ [#This Row],[Account Withdrawl Amount] ], )</f>
        <v>0</v>
      </c>
      <c r="O63" s="128">
        <f>IF(Table45[[#This Row],[CODE]]=11, Table45[ [#This Row],[Account Deposit Amount] ]-Table45[ [#This Row],[Account Withdrawl Amount] ], )</f>
        <v>0</v>
      </c>
      <c r="P63" s="128">
        <f>IF(Table45[[#This Row],[CODE]]=12, Table45[ [#This Row],[Account Deposit Amount] ]-Table45[ [#This Row],[Account Withdrawl Amount] ], )</f>
        <v>0</v>
      </c>
      <c r="Q63" s="128">
        <f>IF(Table45[[#This Row],[CODE]]=13, Table45[ [#This Row],[Account Deposit Amount] ]-Table45[ [#This Row],[Account Withdrawl Amount] ], )</f>
        <v>0</v>
      </c>
      <c r="R63" s="128">
        <f>IF(Table45[[#This Row],[CODE]]=14, Table45[ [#This Row],[Account Deposit Amount] ]-Table45[ [#This Row],[Account Withdrawl Amount] ], )</f>
        <v>0</v>
      </c>
      <c r="S63" s="128">
        <f>IF(Table45[[#This Row],[CODE]]=15, Table45[ [#This Row],[Account Deposit Amount] ]-Table45[ [#This Row],[Account Withdrawl Amount] ], )</f>
        <v>0</v>
      </c>
      <c r="T63" s="128">
        <f>IF(Table45[[#This Row],[CODE]]=16, Table45[ [#This Row],[Account Deposit Amount] ]-Table45[ [#This Row],[Account Withdrawl Amount] ], )</f>
        <v>0</v>
      </c>
      <c r="U63" s="127">
        <f>IF(Table45[[#This Row],[CODE]]=17, Table45[ [#This Row],[Account Deposit Amount] ]-Table45[ [#This Row],[Account Withdrawl Amount] ], )</f>
        <v>0</v>
      </c>
    </row>
    <row r="64" spans="1:21" ht="16.2" thickBot="1">
      <c r="A64" s="130"/>
      <c r="B64" s="133"/>
      <c r="C64" s="130"/>
      <c r="D64" s="132"/>
      <c r="E64" s="128"/>
      <c r="F64" s="128"/>
      <c r="G64" s="131">
        <f t="shared" si="3"/>
        <v>17851.589999999997</v>
      </c>
      <c r="H64" s="130"/>
      <c r="I64" s="127">
        <f>IF(Table45[[#This Row],[CODE]]=1, Table45[ [#This Row],[Account Deposit Amount] ]-Table45[ [#This Row],[Account Withdrawl Amount] ], )</f>
        <v>0</v>
      </c>
      <c r="J64" s="129">
        <f>IF(Table45[[#This Row],[CODE]]=2, Table45[ [#This Row],[Account Deposit Amount] ]-Table45[ [#This Row],[Account Withdrawl Amount] ], )</f>
        <v>0</v>
      </c>
      <c r="K64" s="129">
        <f>IF(Table45[[#This Row],[CODE]]=3, Table45[ [#This Row],[Account Deposit Amount] ]-Table45[ [#This Row],[Account Withdrawl Amount] ], )</f>
        <v>0</v>
      </c>
      <c r="L64" s="128">
        <f>IF(Table45[[#This Row],[CODE]]=4, Table45[ [#This Row],[Account Deposit Amount] ]-Table45[ [#This Row],[Account Withdrawl Amount] ], )</f>
        <v>0</v>
      </c>
      <c r="M64" s="128">
        <f>IF(Table45[[#This Row],[CODE]]=5, Table45[ [#This Row],[Account Deposit Amount] ]-Table45[ [#This Row],[Account Withdrawl Amount] ], )</f>
        <v>0</v>
      </c>
      <c r="N64" s="128">
        <f>IF(Table45[[#This Row],[CODE]]=6, Table45[ [#This Row],[Account Deposit Amount] ]-Table45[ [#This Row],[Account Withdrawl Amount] ], )</f>
        <v>0</v>
      </c>
      <c r="O64" s="128">
        <f>IF(Table45[[#This Row],[CODE]]=11, Table45[ [#This Row],[Account Deposit Amount] ]-Table45[ [#This Row],[Account Withdrawl Amount] ], )</f>
        <v>0</v>
      </c>
      <c r="P64" s="128">
        <f>IF(Table45[[#This Row],[CODE]]=12, Table45[ [#This Row],[Account Deposit Amount] ]-Table45[ [#This Row],[Account Withdrawl Amount] ], )</f>
        <v>0</v>
      </c>
      <c r="Q64" s="128">
        <f>IF(Table45[[#This Row],[CODE]]=13, Table45[ [#This Row],[Account Deposit Amount] ]-Table45[ [#This Row],[Account Withdrawl Amount] ], )</f>
        <v>0</v>
      </c>
      <c r="R64" s="128">
        <f>IF(Table45[[#This Row],[CODE]]=14, Table45[ [#This Row],[Account Deposit Amount] ]-Table45[ [#This Row],[Account Withdrawl Amount] ], )</f>
        <v>0</v>
      </c>
      <c r="S64" s="128">
        <f>IF(Table45[[#This Row],[CODE]]=15, Table45[ [#This Row],[Account Deposit Amount] ]-Table45[ [#This Row],[Account Withdrawl Amount] ], )</f>
        <v>0</v>
      </c>
      <c r="T64" s="128">
        <f>IF(Table45[[#This Row],[CODE]]=16, Table45[ [#This Row],[Account Deposit Amount] ]-Table45[ [#This Row],[Account Withdrawl Amount] ], )</f>
        <v>0</v>
      </c>
      <c r="U64" s="127">
        <f>IF(Table45[[#This Row],[CODE]]=17, Table45[ [#This Row],[Account Deposit Amount] ]-Table45[ [#This Row],[Account Withdrawl Amount] ], )</f>
        <v>0</v>
      </c>
    </row>
    <row r="65" spans="1:21" ht="16.2" thickBot="1">
      <c r="A65" s="130"/>
      <c r="B65" s="133"/>
      <c r="C65" s="130"/>
      <c r="D65" s="132"/>
      <c r="E65" s="128"/>
      <c r="F65" s="128"/>
      <c r="G65" s="131">
        <f t="shared" si="3"/>
        <v>17851.589999999997</v>
      </c>
      <c r="H65" s="130"/>
      <c r="I65" s="127">
        <f>IF(Table45[[#This Row],[CODE]]=1, Table45[ [#This Row],[Account Deposit Amount] ]-Table45[ [#This Row],[Account Withdrawl Amount] ], )</f>
        <v>0</v>
      </c>
      <c r="J65" s="129">
        <f>IF(Table45[[#This Row],[CODE]]=2, Table45[ [#This Row],[Account Deposit Amount] ]-Table45[ [#This Row],[Account Withdrawl Amount] ], )</f>
        <v>0</v>
      </c>
      <c r="K65" s="129">
        <f>IF(Table45[[#This Row],[CODE]]=3, Table45[ [#This Row],[Account Deposit Amount] ]-Table45[ [#This Row],[Account Withdrawl Amount] ], )</f>
        <v>0</v>
      </c>
      <c r="L65" s="128">
        <f>IF(Table45[[#This Row],[CODE]]=4, Table45[ [#This Row],[Account Deposit Amount] ]-Table45[ [#This Row],[Account Withdrawl Amount] ], )</f>
        <v>0</v>
      </c>
      <c r="M65" s="128">
        <f>IF(Table45[[#This Row],[CODE]]=5, Table45[ [#This Row],[Account Deposit Amount] ]-Table45[ [#This Row],[Account Withdrawl Amount] ], )</f>
        <v>0</v>
      </c>
      <c r="N65" s="128">
        <f>IF(Table45[[#This Row],[CODE]]=6, Table45[ [#This Row],[Account Deposit Amount] ]-Table45[ [#This Row],[Account Withdrawl Amount] ], )</f>
        <v>0</v>
      </c>
      <c r="O65" s="128">
        <f>IF(Table45[[#This Row],[CODE]]=11, Table45[ [#This Row],[Account Deposit Amount] ]-Table45[ [#This Row],[Account Withdrawl Amount] ], )</f>
        <v>0</v>
      </c>
      <c r="P65" s="128">
        <f>IF(Table45[[#This Row],[CODE]]=12, Table45[ [#This Row],[Account Deposit Amount] ]-Table45[ [#This Row],[Account Withdrawl Amount] ], )</f>
        <v>0</v>
      </c>
      <c r="Q65" s="128">
        <f>IF(Table45[[#This Row],[CODE]]=13, Table45[ [#This Row],[Account Deposit Amount] ]-Table45[ [#This Row],[Account Withdrawl Amount] ], )</f>
        <v>0</v>
      </c>
      <c r="R65" s="128">
        <f>IF(Table45[[#This Row],[CODE]]=14, Table45[ [#This Row],[Account Deposit Amount] ]-Table45[ [#This Row],[Account Withdrawl Amount] ], )</f>
        <v>0</v>
      </c>
      <c r="S65" s="128">
        <f>IF(Table45[[#This Row],[CODE]]=15, Table45[ [#This Row],[Account Deposit Amount] ]-Table45[ [#This Row],[Account Withdrawl Amount] ], )</f>
        <v>0</v>
      </c>
      <c r="T65" s="128">
        <f>IF(Table45[[#This Row],[CODE]]=16, Table45[ [#This Row],[Account Deposit Amount] ]-Table45[ [#This Row],[Account Withdrawl Amount] ], )</f>
        <v>0</v>
      </c>
      <c r="U65" s="127">
        <f>IF(Table45[[#This Row],[CODE]]=17, Table45[ [#This Row],[Account Deposit Amount] ]-Table45[ [#This Row],[Account Withdrawl Amount] ], )</f>
        <v>0</v>
      </c>
    </row>
    <row r="66" spans="1:21" ht="16.2" thickBot="1">
      <c r="A66" s="130"/>
      <c r="B66" s="133"/>
      <c r="C66" s="130"/>
      <c r="D66" s="132"/>
      <c r="E66" s="128"/>
      <c r="F66" s="128"/>
      <c r="G66" s="131">
        <f t="shared" si="3"/>
        <v>17851.589999999997</v>
      </c>
      <c r="H66" s="130"/>
      <c r="I66" s="127">
        <f>IF(Table45[[#This Row],[CODE]]=1, Table45[ [#This Row],[Account Deposit Amount] ]-Table45[ [#This Row],[Account Withdrawl Amount] ], )</f>
        <v>0</v>
      </c>
      <c r="J66" s="129">
        <f>IF(Table45[[#This Row],[CODE]]=2, Table45[ [#This Row],[Account Deposit Amount] ]-Table45[ [#This Row],[Account Withdrawl Amount] ], )</f>
        <v>0</v>
      </c>
      <c r="K66" s="129">
        <f>IF(Table45[[#This Row],[CODE]]=3, Table45[ [#This Row],[Account Deposit Amount] ]-Table45[ [#This Row],[Account Withdrawl Amount] ], )</f>
        <v>0</v>
      </c>
      <c r="L66" s="128">
        <f>IF(Table45[[#This Row],[CODE]]=4, Table45[ [#This Row],[Account Deposit Amount] ]-Table45[ [#This Row],[Account Withdrawl Amount] ], )</f>
        <v>0</v>
      </c>
      <c r="M66" s="128">
        <f>IF(Table45[[#This Row],[CODE]]=5, Table45[ [#This Row],[Account Deposit Amount] ]-Table45[ [#This Row],[Account Withdrawl Amount] ], )</f>
        <v>0</v>
      </c>
      <c r="N66" s="128">
        <f>IF(Table45[[#This Row],[CODE]]=6, Table45[ [#This Row],[Account Deposit Amount] ]-Table45[ [#This Row],[Account Withdrawl Amount] ], )</f>
        <v>0</v>
      </c>
      <c r="O66" s="128">
        <f>IF(Table45[[#This Row],[CODE]]=11, Table45[ [#This Row],[Account Deposit Amount] ]-Table45[ [#This Row],[Account Withdrawl Amount] ], )</f>
        <v>0</v>
      </c>
      <c r="P66" s="128">
        <f>IF(Table45[[#This Row],[CODE]]=12, Table45[ [#This Row],[Account Deposit Amount] ]-Table45[ [#This Row],[Account Withdrawl Amount] ], )</f>
        <v>0</v>
      </c>
      <c r="Q66" s="128">
        <f>IF(Table45[[#This Row],[CODE]]=13, Table45[ [#This Row],[Account Deposit Amount] ]-Table45[ [#This Row],[Account Withdrawl Amount] ], )</f>
        <v>0</v>
      </c>
      <c r="R66" s="128">
        <f>IF(Table45[[#This Row],[CODE]]=14, Table45[ [#This Row],[Account Deposit Amount] ]-Table45[ [#This Row],[Account Withdrawl Amount] ], )</f>
        <v>0</v>
      </c>
      <c r="S66" s="128">
        <f>IF(Table45[[#This Row],[CODE]]=15, Table45[ [#This Row],[Account Deposit Amount] ]-Table45[ [#This Row],[Account Withdrawl Amount] ], )</f>
        <v>0</v>
      </c>
      <c r="T66" s="128">
        <f>IF(Table45[[#This Row],[CODE]]=16, Table45[ [#This Row],[Account Deposit Amount] ]-Table45[ [#This Row],[Account Withdrawl Amount] ], )</f>
        <v>0</v>
      </c>
      <c r="U66" s="127">
        <f>IF(Table45[[#This Row],[CODE]]=17, Table45[ [#This Row],[Account Deposit Amount] ]-Table45[ [#This Row],[Account Withdrawl Amount] ], )</f>
        <v>0</v>
      </c>
    </row>
    <row r="67" spans="1:21" ht="16.2" thickBot="1">
      <c r="A67" s="130"/>
      <c r="B67" s="133"/>
      <c r="C67" s="130"/>
      <c r="D67" s="132"/>
      <c r="E67" s="128"/>
      <c r="F67" s="128"/>
      <c r="G67" s="131">
        <f t="shared" si="3"/>
        <v>17851.589999999997</v>
      </c>
      <c r="H67" s="130"/>
      <c r="I67" s="127">
        <f>IF(Table45[[#This Row],[CODE]]=1, Table45[ [#This Row],[Account Deposit Amount] ]-Table45[ [#This Row],[Account Withdrawl Amount] ], )</f>
        <v>0</v>
      </c>
      <c r="J67" s="129">
        <f>IF(Table45[[#This Row],[CODE]]=2, Table45[ [#This Row],[Account Deposit Amount] ]-Table45[ [#This Row],[Account Withdrawl Amount] ], )</f>
        <v>0</v>
      </c>
      <c r="K67" s="129">
        <f>IF(Table45[[#This Row],[CODE]]=3, Table45[ [#This Row],[Account Deposit Amount] ]-Table45[ [#This Row],[Account Withdrawl Amount] ], )</f>
        <v>0</v>
      </c>
      <c r="L67" s="128">
        <f>IF(Table45[[#This Row],[CODE]]=4, Table45[ [#This Row],[Account Deposit Amount] ]-Table45[ [#This Row],[Account Withdrawl Amount] ], )</f>
        <v>0</v>
      </c>
      <c r="M67" s="128">
        <f>IF(Table45[[#This Row],[CODE]]=5, Table45[ [#This Row],[Account Deposit Amount] ]-Table45[ [#This Row],[Account Withdrawl Amount] ], )</f>
        <v>0</v>
      </c>
      <c r="N67" s="128">
        <f>IF(Table45[[#This Row],[CODE]]=6, Table45[ [#This Row],[Account Deposit Amount] ]-Table45[ [#This Row],[Account Withdrawl Amount] ], )</f>
        <v>0</v>
      </c>
      <c r="O67" s="128">
        <f>IF(Table45[[#This Row],[CODE]]=11, Table45[ [#This Row],[Account Deposit Amount] ]-Table45[ [#This Row],[Account Withdrawl Amount] ], )</f>
        <v>0</v>
      </c>
      <c r="P67" s="128">
        <f>IF(Table45[[#This Row],[CODE]]=12, Table45[ [#This Row],[Account Deposit Amount] ]-Table45[ [#This Row],[Account Withdrawl Amount] ], )</f>
        <v>0</v>
      </c>
      <c r="Q67" s="128">
        <f>IF(Table45[[#This Row],[CODE]]=13, Table45[ [#This Row],[Account Deposit Amount] ]-Table45[ [#This Row],[Account Withdrawl Amount] ], )</f>
        <v>0</v>
      </c>
      <c r="R67" s="128">
        <f>IF(Table45[[#This Row],[CODE]]=14, Table45[ [#This Row],[Account Deposit Amount] ]-Table45[ [#This Row],[Account Withdrawl Amount] ], )</f>
        <v>0</v>
      </c>
      <c r="S67" s="128">
        <f>IF(Table45[[#This Row],[CODE]]=15, Table45[ [#This Row],[Account Deposit Amount] ]-Table45[ [#This Row],[Account Withdrawl Amount] ], )</f>
        <v>0</v>
      </c>
      <c r="T67" s="128">
        <f>IF(Table45[[#This Row],[CODE]]=16, Table45[ [#This Row],[Account Deposit Amount] ]-Table45[ [#This Row],[Account Withdrawl Amount] ], )</f>
        <v>0</v>
      </c>
      <c r="U67" s="127">
        <f>IF(Table45[[#This Row],[CODE]]=17, Table45[ [#This Row],[Account Deposit Amount] ]-Table45[ [#This Row],[Account Withdrawl Amount] ], )</f>
        <v>0</v>
      </c>
    </row>
    <row r="68" spans="1:21" ht="16.2" thickBot="1">
      <c r="A68" s="130"/>
      <c r="B68" s="133"/>
      <c r="C68" s="130"/>
      <c r="D68" s="132"/>
      <c r="E68" s="128"/>
      <c r="F68" s="128"/>
      <c r="G68" s="131">
        <f t="shared" si="3"/>
        <v>17851.589999999997</v>
      </c>
      <c r="H68" s="130"/>
      <c r="I68" s="127">
        <f>IF(Table45[[#This Row],[CODE]]=1, Table45[ [#This Row],[Account Deposit Amount] ]-Table45[ [#This Row],[Account Withdrawl Amount] ], )</f>
        <v>0</v>
      </c>
      <c r="J68" s="129">
        <f>IF(Table45[[#This Row],[CODE]]=2, Table45[ [#This Row],[Account Deposit Amount] ]-Table45[ [#This Row],[Account Withdrawl Amount] ], )</f>
        <v>0</v>
      </c>
      <c r="K68" s="129">
        <f>IF(Table45[[#This Row],[CODE]]=3, Table45[ [#This Row],[Account Deposit Amount] ]-Table45[ [#This Row],[Account Withdrawl Amount] ], )</f>
        <v>0</v>
      </c>
      <c r="L68" s="128">
        <f>IF(Table45[[#This Row],[CODE]]=4, Table45[ [#This Row],[Account Deposit Amount] ]-Table45[ [#This Row],[Account Withdrawl Amount] ], )</f>
        <v>0</v>
      </c>
      <c r="M68" s="128">
        <f>IF(Table45[[#This Row],[CODE]]=5, Table45[ [#This Row],[Account Deposit Amount] ]-Table45[ [#This Row],[Account Withdrawl Amount] ], )</f>
        <v>0</v>
      </c>
      <c r="N68" s="128">
        <f>IF(Table45[[#This Row],[CODE]]=6, Table45[ [#This Row],[Account Deposit Amount] ]-Table45[ [#This Row],[Account Withdrawl Amount] ], )</f>
        <v>0</v>
      </c>
      <c r="O68" s="128">
        <f>IF(Table45[[#This Row],[CODE]]=11, Table45[ [#This Row],[Account Deposit Amount] ]-Table45[ [#This Row],[Account Withdrawl Amount] ], )</f>
        <v>0</v>
      </c>
      <c r="P68" s="128">
        <f>IF(Table45[[#This Row],[CODE]]=12, Table45[ [#This Row],[Account Deposit Amount] ]-Table45[ [#This Row],[Account Withdrawl Amount] ], )</f>
        <v>0</v>
      </c>
      <c r="Q68" s="128">
        <f>IF(Table45[[#This Row],[CODE]]=13, Table45[ [#This Row],[Account Deposit Amount] ]-Table45[ [#This Row],[Account Withdrawl Amount] ], )</f>
        <v>0</v>
      </c>
      <c r="R68" s="128">
        <f>IF(Table45[[#This Row],[CODE]]=14, Table45[ [#This Row],[Account Deposit Amount] ]-Table45[ [#This Row],[Account Withdrawl Amount] ], )</f>
        <v>0</v>
      </c>
      <c r="S68" s="128">
        <f>IF(Table45[[#This Row],[CODE]]=15, Table45[ [#This Row],[Account Deposit Amount] ]-Table45[ [#This Row],[Account Withdrawl Amount] ], )</f>
        <v>0</v>
      </c>
      <c r="T68" s="128">
        <f>IF(Table45[[#This Row],[CODE]]=16, Table45[ [#This Row],[Account Deposit Amount] ]-Table45[ [#This Row],[Account Withdrawl Amount] ], )</f>
        <v>0</v>
      </c>
      <c r="U68" s="127">
        <f>IF(Table45[[#This Row],[CODE]]=17, Table45[ [#This Row],[Account Deposit Amount] ]-Table45[ [#This Row],[Account Withdrawl Amount] ], )</f>
        <v>0</v>
      </c>
    </row>
    <row r="69" spans="1:21" ht="16.2" thickBot="1">
      <c r="A69" s="130"/>
      <c r="B69" s="133"/>
      <c r="C69" s="130"/>
      <c r="D69" s="132"/>
      <c r="E69" s="128"/>
      <c r="F69" s="128"/>
      <c r="G69" s="131">
        <f t="shared" ref="G69:G100" si="4">G68+E69-F69</f>
        <v>17851.589999999997</v>
      </c>
      <c r="H69" s="130"/>
      <c r="I69" s="127">
        <f>IF(Table45[[#This Row],[CODE]]=1, Table45[ [#This Row],[Account Deposit Amount] ]-Table45[ [#This Row],[Account Withdrawl Amount] ], )</f>
        <v>0</v>
      </c>
      <c r="J69" s="129">
        <f>IF(Table45[[#This Row],[CODE]]=2, Table45[ [#This Row],[Account Deposit Amount] ]-Table45[ [#This Row],[Account Withdrawl Amount] ], )</f>
        <v>0</v>
      </c>
      <c r="K69" s="129">
        <f>IF(Table45[[#This Row],[CODE]]=3, Table45[ [#This Row],[Account Deposit Amount] ]-Table45[ [#This Row],[Account Withdrawl Amount] ], )</f>
        <v>0</v>
      </c>
      <c r="L69" s="128">
        <f>IF(Table45[[#This Row],[CODE]]=4, Table45[ [#This Row],[Account Deposit Amount] ]-Table45[ [#This Row],[Account Withdrawl Amount] ], )</f>
        <v>0</v>
      </c>
      <c r="M69" s="128">
        <f>IF(Table45[[#This Row],[CODE]]=5, Table45[ [#This Row],[Account Deposit Amount] ]-Table45[ [#This Row],[Account Withdrawl Amount] ], )</f>
        <v>0</v>
      </c>
      <c r="N69" s="128">
        <f>IF(Table45[[#This Row],[CODE]]=6, Table45[ [#This Row],[Account Deposit Amount] ]-Table45[ [#This Row],[Account Withdrawl Amount] ], )</f>
        <v>0</v>
      </c>
      <c r="O69" s="128">
        <f>IF(Table45[[#This Row],[CODE]]=11, Table45[ [#This Row],[Account Deposit Amount] ]-Table45[ [#This Row],[Account Withdrawl Amount] ], )</f>
        <v>0</v>
      </c>
      <c r="P69" s="128">
        <f>IF(Table45[[#This Row],[CODE]]=12, Table45[ [#This Row],[Account Deposit Amount] ]-Table45[ [#This Row],[Account Withdrawl Amount] ], )</f>
        <v>0</v>
      </c>
      <c r="Q69" s="128">
        <f>IF(Table45[[#This Row],[CODE]]=13, Table45[ [#This Row],[Account Deposit Amount] ]-Table45[ [#This Row],[Account Withdrawl Amount] ], )</f>
        <v>0</v>
      </c>
      <c r="R69" s="128">
        <f>IF(Table45[[#This Row],[CODE]]=14, Table45[ [#This Row],[Account Deposit Amount] ]-Table45[ [#This Row],[Account Withdrawl Amount] ], )</f>
        <v>0</v>
      </c>
      <c r="S69" s="128">
        <f>IF(Table45[[#This Row],[CODE]]=15, Table45[ [#This Row],[Account Deposit Amount] ]-Table45[ [#This Row],[Account Withdrawl Amount] ], )</f>
        <v>0</v>
      </c>
      <c r="T69" s="128">
        <f>IF(Table45[[#This Row],[CODE]]=16, Table45[ [#This Row],[Account Deposit Amount] ]-Table45[ [#This Row],[Account Withdrawl Amount] ], )</f>
        <v>0</v>
      </c>
      <c r="U69" s="127">
        <f>IF(Table45[[#This Row],[CODE]]=17, Table45[ [#This Row],[Account Deposit Amount] ]-Table45[ [#This Row],[Account Withdrawl Amount] ], )</f>
        <v>0</v>
      </c>
    </row>
    <row r="70" spans="1:21" ht="16.2" thickBot="1">
      <c r="A70" s="130"/>
      <c r="B70" s="133"/>
      <c r="C70" s="130"/>
      <c r="D70" s="132"/>
      <c r="E70" s="128"/>
      <c r="F70" s="128"/>
      <c r="G70" s="131">
        <f t="shared" si="4"/>
        <v>17851.589999999997</v>
      </c>
      <c r="H70" s="130"/>
      <c r="I70" s="127">
        <f>IF(Table45[[#This Row],[CODE]]=1, Table45[ [#This Row],[Account Deposit Amount] ]-Table45[ [#This Row],[Account Withdrawl Amount] ], )</f>
        <v>0</v>
      </c>
      <c r="J70" s="129">
        <f>IF(Table45[[#This Row],[CODE]]=2, Table45[ [#This Row],[Account Deposit Amount] ]-Table45[ [#This Row],[Account Withdrawl Amount] ], )</f>
        <v>0</v>
      </c>
      <c r="K70" s="129">
        <f>IF(Table45[[#This Row],[CODE]]=3, Table45[ [#This Row],[Account Deposit Amount] ]-Table45[ [#This Row],[Account Withdrawl Amount] ], )</f>
        <v>0</v>
      </c>
      <c r="L70" s="128">
        <f>IF(Table45[[#This Row],[CODE]]=4, Table45[ [#This Row],[Account Deposit Amount] ]-Table45[ [#This Row],[Account Withdrawl Amount] ], )</f>
        <v>0</v>
      </c>
      <c r="M70" s="128">
        <f>IF(Table45[[#This Row],[CODE]]=5, Table45[ [#This Row],[Account Deposit Amount] ]-Table45[ [#This Row],[Account Withdrawl Amount] ], )</f>
        <v>0</v>
      </c>
      <c r="N70" s="128">
        <f>IF(Table45[[#This Row],[CODE]]=6, Table45[ [#This Row],[Account Deposit Amount] ]-Table45[ [#This Row],[Account Withdrawl Amount] ], )</f>
        <v>0</v>
      </c>
      <c r="O70" s="128">
        <f>IF(Table45[[#This Row],[CODE]]=11, Table45[ [#This Row],[Account Deposit Amount] ]-Table45[ [#This Row],[Account Withdrawl Amount] ], )</f>
        <v>0</v>
      </c>
      <c r="P70" s="128">
        <f>IF(Table45[[#This Row],[CODE]]=12, Table45[ [#This Row],[Account Deposit Amount] ]-Table45[ [#This Row],[Account Withdrawl Amount] ], )</f>
        <v>0</v>
      </c>
      <c r="Q70" s="128">
        <f>IF(Table45[[#This Row],[CODE]]=13, Table45[ [#This Row],[Account Deposit Amount] ]-Table45[ [#This Row],[Account Withdrawl Amount] ], )</f>
        <v>0</v>
      </c>
      <c r="R70" s="128">
        <f>IF(Table45[[#This Row],[CODE]]=14, Table45[ [#This Row],[Account Deposit Amount] ]-Table45[ [#This Row],[Account Withdrawl Amount] ], )</f>
        <v>0</v>
      </c>
      <c r="S70" s="128">
        <f>IF(Table45[[#This Row],[CODE]]=15, Table45[ [#This Row],[Account Deposit Amount] ]-Table45[ [#This Row],[Account Withdrawl Amount] ], )</f>
        <v>0</v>
      </c>
      <c r="T70" s="128">
        <f>IF(Table45[[#This Row],[CODE]]=16, Table45[ [#This Row],[Account Deposit Amount] ]-Table45[ [#This Row],[Account Withdrawl Amount] ], )</f>
        <v>0</v>
      </c>
      <c r="U70" s="127">
        <f>IF(Table45[[#This Row],[CODE]]=17, Table45[ [#This Row],[Account Deposit Amount] ]-Table45[ [#This Row],[Account Withdrawl Amount] ], )</f>
        <v>0</v>
      </c>
    </row>
    <row r="71" spans="1:21" ht="16.2" thickBot="1">
      <c r="A71" s="130"/>
      <c r="B71" s="133"/>
      <c r="C71" s="130"/>
      <c r="D71" s="132"/>
      <c r="E71" s="128"/>
      <c r="F71" s="128"/>
      <c r="G71" s="131">
        <f t="shared" si="4"/>
        <v>17851.589999999997</v>
      </c>
      <c r="H71" s="130"/>
      <c r="I71" s="127">
        <f>IF(Table45[[#This Row],[CODE]]=1, Table45[ [#This Row],[Account Deposit Amount] ]-Table45[ [#This Row],[Account Withdrawl Amount] ], )</f>
        <v>0</v>
      </c>
      <c r="J71" s="129">
        <f>IF(Table45[[#This Row],[CODE]]=2, Table45[ [#This Row],[Account Deposit Amount] ]-Table45[ [#This Row],[Account Withdrawl Amount] ], )</f>
        <v>0</v>
      </c>
      <c r="K71" s="129">
        <f>IF(Table45[[#This Row],[CODE]]=3, Table45[ [#This Row],[Account Deposit Amount] ]-Table45[ [#This Row],[Account Withdrawl Amount] ], )</f>
        <v>0</v>
      </c>
      <c r="L71" s="128">
        <f>IF(Table45[[#This Row],[CODE]]=4, Table45[ [#This Row],[Account Deposit Amount] ]-Table45[ [#This Row],[Account Withdrawl Amount] ], )</f>
        <v>0</v>
      </c>
      <c r="M71" s="128">
        <f>IF(Table45[[#This Row],[CODE]]=5, Table45[ [#This Row],[Account Deposit Amount] ]-Table45[ [#This Row],[Account Withdrawl Amount] ], )</f>
        <v>0</v>
      </c>
      <c r="N71" s="128">
        <f>IF(Table45[[#This Row],[CODE]]=6, Table45[ [#This Row],[Account Deposit Amount] ]-Table45[ [#This Row],[Account Withdrawl Amount] ], )</f>
        <v>0</v>
      </c>
      <c r="O71" s="128">
        <f>IF(Table45[[#This Row],[CODE]]=11, Table45[ [#This Row],[Account Deposit Amount] ]-Table45[ [#This Row],[Account Withdrawl Amount] ], )</f>
        <v>0</v>
      </c>
      <c r="P71" s="128">
        <f>IF(Table45[[#This Row],[CODE]]=12, Table45[ [#This Row],[Account Deposit Amount] ]-Table45[ [#This Row],[Account Withdrawl Amount] ], )</f>
        <v>0</v>
      </c>
      <c r="Q71" s="128">
        <f>IF(Table45[[#This Row],[CODE]]=13, Table45[ [#This Row],[Account Deposit Amount] ]-Table45[ [#This Row],[Account Withdrawl Amount] ], )</f>
        <v>0</v>
      </c>
      <c r="R71" s="128">
        <f>IF(Table45[[#This Row],[CODE]]=14, Table45[ [#This Row],[Account Deposit Amount] ]-Table45[ [#This Row],[Account Withdrawl Amount] ], )</f>
        <v>0</v>
      </c>
      <c r="S71" s="128">
        <f>IF(Table45[[#This Row],[CODE]]=15, Table45[ [#This Row],[Account Deposit Amount] ]-Table45[ [#This Row],[Account Withdrawl Amount] ], )</f>
        <v>0</v>
      </c>
      <c r="T71" s="128">
        <f>IF(Table45[[#This Row],[CODE]]=16, Table45[ [#This Row],[Account Deposit Amount] ]-Table45[ [#This Row],[Account Withdrawl Amount] ], )</f>
        <v>0</v>
      </c>
      <c r="U71" s="127">
        <f>IF(Table45[[#This Row],[CODE]]=17, Table45[ [#This Row],[Account Deposit Amount] ]-Table45[ [#This Row],[Account Withdrawl Amount] ], )</f>
        <v>0</v>
      </c>
    </row>
    <row r="72" spans="1:21" ht="16.2" thickBot="1">
      <c r="A72" s="130"/>
      <c r="B72" s="133"/>
      <c r="C72" s="130"/>
      <c r="D72" s="132"/>
      <c r="E72" s="128"/>
      <c r="F72" s="128"/>
      <c r="G72" s="131">
        <f t="shared" si="4"/>
        <v>17851.589999999997</v>
      </c>
      <c r="H72" s="130"/>
      <c r="I72" s="127">
        <f>IF(Table45[[#This Row],[CODE]]=1, Table45[ [#This Row],[Account Deposit Amount] ]-Table45[ [#This Row],[Account Withdrawl Amount] ], )</f>
        <v>0</v>
      </c>
      <c r="J72" s="129">
        <f>IF(Table45[[#This Row],[CODE]]=2, Table45[ [#This Row],[Account Deposit Amount] ]-Table45[ [#This Row],[Account Withdrawl Amount] ], )</f>
        <v>0</v>
      </c>
      <c r="K72" s="129">
        <f>IF(Table45[[#This Row],[CODE]]=3, Table45[ [#This Row],[Account Deposit Amount] ]-Table45[ [#This Row],[Account Withdrawl Amount] ], )</f>
        <v>0</v>
      </c>
      <c r="L72" s="128">
        <f>IF(Table45[[#This Row],[CODE]]=4, Table45[ [#This Row],[Account Deposit Amount] ]-Table45[ [#This Row],[Account Withdrawl Amount] ], )</f>
        <v>0</v>
      </c>
      <c r="M72" s="128">
        <f>IF(Table45[[#This Row],[CODE]]=5, Table45[ [#This Row],[Account Deposit Amount] ]-Table45[ [#This Row],[Account Withdrawl Amount] ], )</f>
        <v>0</v>
      </c>
      <c r="N72" s="128">
        <f>IF(Table45[[#This Row],[CODE]]=6, Table45[ [#This Row],[Account Deposit Amount] ]-Table45[ [#This Row],[Account Withdrawl Amount] ], )</f>
        <v>0</v>
      </c>
      <c r="O72" s="128">
        <f>IF(Table45[[#This Row],[CODE]]=11, Table45[ [#This Row],[Account Deposit Amount] ]-Table45[ [#This Row],[Account Withdrawl Amount] ], )</f>
        <v>0</v>
      </c>
      <c r="P72" s="128">
        <f>IF(Table45[[#This Row],[CODE]]=12, Table45[ [#This Row],[Account Deposit Amount] ]-Table45[ [#This Row],[Account Withdrawl Amount] ], )</f>
        <v>0</v>
      </c>
      <c r="Q72" s="128">
        <f>IF(Table45[[#This Row],[CODE]]=13, Table45[ [#This Row],[Account Deposit Amount] ]-Table45[ [#This Row],[Account Withdrawl Amount] ], )</f>
        <v>0</v>
      </c>
      <c r="R72" s="128">
        <f>IF(Table45[[#This Row],[CODE]]=14, Table45[ [#This Row],[Account Deposit Amount] ]-Table45[ [#This Row],[Account Withdrawl Amount] ], )</f>
        <v>0</v>
      </c>
      <c r="S72" s="128">
        <f>IF(Table45[[#This Row],[CODE]]=15, Table45[ [#This Row],[Account Deposit Amount] ]-Table45[ [#This Row],[Account Withdrawl Amount] ], )</f>
        <v>0</v>
      </c>
      <c r="T72" s="128">
        <f>IF(Table45[[#This Row],[CODE]]=16, Table45[ [#This Row],[Account Deposit Amount] ]-Table45[ [#This Row],[Account Withdrawl Amount] ], )</f>
        <v>0</v>
      </c>
      <c r="U72" s="127">
        <f>IF(Table45[[#This Row],[CODE]]=17, Table45[ [#This Row],[Account Deposit Amount] ]-Table45[ [#This Row],[Account Withdrawl Amount] ], )</f>
        <v>0</v>
      </c>
    </row>
    <row r="73" spans="1:21" ht="16.2" thickBot="1">
      <c r="A73" s="130"/>
      <c r="B73" s="133"/>
      <c r="C73" s="130"/>
      <c r="D73" s="132"/>
      <c r="E73" s="128"/>
      <c r="F73" s="128"/>
      <c r="G73" s="131">
        <f t="shared" si="4"/>
        <v>17851.589999999997</v>
      </c>
      <c r="H73" s="130"/>
      <c r="I73" s="127">
        <f>IF(Table45[[#This Row],[CODE]]=1, Table45[ [#This Row],[Account Deposit Amount] ]-Table45[ [#This Row],[Account Withdrawl Amount] ], )</f>
        <v>0</v>
      </c>
      <c r="J73" s="129">
        <f>IF(Table45[[#This Row],[CODE]]=2, Table45[ [#This Row],[Account Deposit Amount] ]-Table45[ [#This Row],[Account Withdrawl Amount] ], )</f>
        <v>0</v>
      </c>
      <c r="K73" s="129">
        <f>IF(Table45[[#This Row],[CODE]]=3, Table45[ [#This Row],[Account Deposit Amount] ]-Table45[ [#This Row],[Account Withdrawl Amount] ], )</f>
        <v>0</v>
      </c>
      <c r="L73" s="128">
        <f>IF(Table45[[#This Row],[CODE]]=4, Table45[ [#This Row],[Account Deposit Amount] ]-Table45[ [#This Row],[Account Withdrawl Amount] ], )</f>
        <v>0</v>
      </c>
      <c r="M73" s="128">
        <f>IF(Table45[[#This Row],[CODE]]=5, Table45[ [#This Row],[Account Deposit Amount] ]-Table45[ [#This Row],[Account Withdrawl Amount] ], )</f>
        <v>0</v>
      </c>
      <c r="N73" s="128">
        <f>IF(Table45[[#This Row],[CODE]]=6, Table45[ [#This Row],[Account Deposit Amount] ]-Table45[ [#This Row],[Account Withdrawl Amount] ], )</f>
        <v>0</v>
      </c>
      <c r="O73" s="128">
        <f>IF(Table45[[#This Row],[CODE]]=11, Table45[ [#This Row],[Account Deposit Amount] ]-Table45[ [#This Row],[Account Withdrawl Amount] ], )</f>
        <v>0</v>
      </c>
      <c r="P73" s="128">
        <f>IF(Table45[[#This Row],[CODE]]=12, Table45[ [#This Row],[Account Deposit Amount] ]-Table45[ [#This Row],[Account Withdrawl Amount] ], )</f>
        <v>0</v>
      </c>
      <c r="Q73" s="128">
        <f>IF(Table45[[#This Row],[CODE]]=13, Table45[ [#This Row],[Account Deposit Amount] ]-Table45[ [#This Row],[Account Withdrawl Amount] ], )</f>
        <v>0</v>
      </c>
      <c r="R73" s="128">
        <f>IF(Table45[[#This Row],[CODE]]=14, Table45[ [#This Row],[Account Deposit Amount] ]-Table45[ [#This Row],[Account Withdrawl Amount] ], )</f>
        <v>0</v>
      </c>
      <c r="S73" s="128">
        <f>IF(Table45[[#This Row],[CODE]]=15, Table45[ [#This Row],[Account Deposit Amount] ]-Table45[ [#This Row],[Account Withdrawl Amount] ], )</f>
        <v>0</v>
      </c>
      <c r="T73" s="128">
        <f>IF(Table45[[#This Row],[CODE]]=16, Table45[ [#This Row],[Account Deposit Amount] ]-Table45[ [#This Row],[Account Withdrawl Amount] ], )</f>
        <v>0</v>
      </c>
      <c r="U73" s="127">
        <f>IF(Table45[[#This Row],[CODE]]=17, Table45[ [#This Row],[Account Deposit Amount] ]-Table45[ [#This Row],[Account Withdrawl Amount] ], )</f>
        <v>0</v>
      </c>
    </row>
    <row r="74" spans="1:21" ht="16.2" thickBot="1">
      <c r="A74" s="130"/>
      <c r="B74" s="133"/>
      <c r="C74" s="130"/>
      <c r="D74" s="132"/>
      <c r="E74" s="128"/>
      <c r="F74" s="128"/>
      <c r="G74" s="131">
        <f t="shared" si="4"/>
        <v>17851.589999999997</v>
      </c>
      <c r="H74" s="130"/>
      <c r="I74" s="127">
        <f>IF(Table45[[#This Row],[CODE]]=1, Table45[ [#This Row],[Account Deposit Amount] ]-Table45[ [#This Row],[Account Withdrawl Amount] ], )</f>
        <v>0</v>
      </c>
      <c r="J74" s="129">
        <f>IF(Table45[[#This Row],[CODE]]=2, Table45[ [#This Row],[Account Deposit Amount] ]-Table45[ [#This Row],[Account Withdrawl Amount] ], )</f>
        <v>0</v>
      </c>
      <c r="K74" s="129">
        <f>IF(Table45[[#This Row],[CODE]]=3, Table45[ [#This Row],[Account Deposit Amount] ]-Table45[ [#This Row],[Account Withdrawl Amount] ], )</f>
        <v>0</v>
      </c>
      <c r="L74" s="128">
        <f>IF(Table45[[#This Row],[CODE]]=4, Table45[ [#This Row],[Account Deposit Amount] ]-Table45[ [#This Row],[Account Withdrawl Amount] ], )</f>
        <v>0</v>
      </c>
      <c r="M74" s="128">
        <f>IF(Table45[[#This Row],[CODE]]=5, Table45[ [#This Row],[Account Deposit Amount] ]-Table45[ [#This Row],[Account Withdrawl Amount] ], )</f>
        <v>0</v>
      </c>
      <c r="N74" s="128">
        <f>IF(Table45[[#This Row],[CODE]]=6, Table45[ [#This Row],[Account Deposit Amount] ]-Table45[ [#This Row],[Account Withdrawl Amount] ], )</f>
        <v>0</v>
      </c>
      <c r="O74" s="128">
        <f>IF(Table45[[#This Row],[CODE]]=11, Table45[ [#This Row],[Account Deposit Amount] ]-Table45[ [#This Row],[Account Withdrawl Amount] ], )</f>
        <v>0</v>
      </c>
      <c r="P74" s="128">
        <f>IF(Table45[[#This Row],[CODE]]=12, Table45[ [#This Row],[Account Deposit Amount] ]-Table45[ [#This Row],[Account Withdrawl Amount] ], )</f>
        <v>0</v>
      </c>
      <c r="Q74" s="128">
        <f>IF(Table45[[#This Row],[CODE]]=13, Table45[ [#This Row],[Account Deposit Amount] ]-Table45[ [#This Row],[Account Withdrawl Amount] ], )</f>
        <v>0</v>
      </c>
      <c r="R74" s="128">
        <f>IF(Table45[[#This Row],[CODE]]=14, Table45[ [#This Row],[Account Deposit Amount] ]-Table45[ [#This Row],[Account Withdrawl Amount] ], )</f>
        <v>0</v>
      </c>
      <c r="S74" s="128">
        <f>IF(Table45[[#This Row],[CODE]]=15, Table45[ [#This Row],[Account Deposit Amount] ]-Table45[ [#This Row],[Account Withdrawl Amount] ], )</f>
        <v>0</v>
      </c>
      <c r="T74" s="128">
        <f>IF(Table45[[#This Row],[CODE]]=16, Table45[ [#This Row],[Account Deposit Amount] ]-Table45[ [#This Row],[Account Withdrawl Amount] ], )</f>
        <v>0</v>
      </c>
      <c r="U74" s="127">
        <f>IF(Table45[[#This Row],[CODE]]=17, Table45[ [#This Row],[Account Deposit Amount] ]-Table45[ [#This Row],[Account Withdrawl Amount] ], )</f>
        <v>0</v>
      </c>
    </row>
    <row r="75" spans="1:21" ht="16.2" thickBot="1">
      <c r="A75" s="130"/>
      <c r="B75" s="133"/>
      <c r="C75" s="130"/>
      <c r="D75" s="132"/>
      <c r="E75" s="128"/>
      <c r="F75" s="128"/>
      <c r="G75" s="131">
        <f t="shared" si="4"/>
        <v>17851.589999999997</v>
      </c>
      <c r="H75" s="130"/>
      <c r="I75" s="127">
        <f>IF(Table45[[#This Row],[CODE]]=1, Table45[ [#This Row],[Account Deposit Amount] ]-Table45[ [#This Row],[Account Withdrawl Amount] ], )</f>
        <v>0</v>
      </c>
      <c r="J75" s="129">
        <f>IF(Table45[[#This Row],[CODE]]=2, Table45[ [#This Row],[Account Deposit Amount] ]-Table45[ [#This Row],[Account Withdrawl Amount] ], )</f>
        <v>0</v>
      </c>
      <c r="K75" s="129">
        <f>IF(Table45[[#This Row],[CODE]]=3, Table45[ [#This Row],[Account Deposit Amount] ]-Table45[ [#This Row],[Account Withdrawl Amount] ], )</f>
        <v>0</v>
      </c>
      <c r="L75" s="128">
        <f>IF(Table45[[#This Row],[CODE]]=4, Table45[ [#This Row],[Account Deposit Amount] ]-Table45[ [#This Row],[Account Withdrawl Amount] ], )</f>
        <v>0</v>
      </c>
      <c r="M75" s="128">
        <f>IF(Table45[[#This Row],[CODE]]=5, Table45[ [#This Row],[Account Deposit Amount] ]-Table45[ [#This Row],[Account Withdrawl Amount] ], )</f>
        <v>0</v>
      </c>
      <c r="N75" s="128">
        <f>IF(Table45[[#This Row],[CODE]]=6, Table45[ [#This Row],[Account Deposit Amount] ]-Table45[ [#This Row],[Account Withdrawl Amount] ], )</f>
        <v>0</v>
      </c>
      <c r="O75" s="128">
        <f>IF(Table45[[#This Row],[CODE]]=11, Table45[ [#This Row],[Account Deposit Amount] ]-Table45[ [#This Row],[Account Withdrawl Amount] ], )</f>
        <v>0</v>
      </c>
      <c r="P75" s="128">
        <f>IF(Table45[[#This Row],[CODE]]=12, Table45[ [#This Row],[Account Deposit Amount] ]-Table45[ [#This Row],[Account Withdrawl Amount] ], )</f>
        <v>0</v>
      </c>
      <c r="Q75" s="128">
        <f>IF(Table45[[#This Row],[CODE]]=13, Table45[ [#This Row],[Account Deposit Amount] ]-Table45[ [#This Row],[Account Withdrawl Amount] ], )</f>
        <v>0</v>
      </c>
      <c r="R75" s="128">
        <f>IF(Table45[[#This Row],[CODE]]=14, Table45[ [#This Row],[Account Deposit Amount] ]-Table45[ [#This Row],[Account Withdrawl Amount] ], )</f>
        <v>0</v>
      </c>
      <c r="S75" s="128">
        <f>IF(Table45[[#This Row],[CODE]]=15, Table45[ [#This Row],[Account Deposit Amount] ]-Table45[ [#This Row],[Account Withdrawl Amount] ], )</f>
        <v>0</v>
      </c>
      <c r="T75" s="128">
        <f>IF(Table45[[#This Row],[CODE]]=16, Table45[ [#This Row],[Account Deposit Amount] ]-Table45[ [#This Row],[Account Withdrawl Amount] ], )</f>
        <v>0</v>
      </c>
      <c r="U75" s="127">
        <f>IF(Table45[[#This Row],[CODE]]=17, Table45[ [#This Row],[Account Deposit Amount] ]-Table45[ [#This Row],[Account Withdrawl Amount] ], )</f>
        <v>0</v>
      </c>
    </row>
    <row r="76" spans="1:21" ht="16.2" thickBot="1">
      <c r="A76" s="130"/>
      <c r="B76" s="133"/>
      <c r="C76" s="130"/>
      <c r="D76" s="132"/>
      <c r="E76" s="128"/>
      <c r="F76" s="128"/>
      <c r="G76" s="131">
        <f t="shared" si="4"/>
        <v>17851.589999999997</v>
      </c>
      <c r="H76" s="130"/>
      <c r="I76" s="127">
        <f>IF(Table45[[#This Row],[CODE]]=1, Table45[ [#This Row],[Account Deposit Amount] ]-Table45[ [#This Row],[Account Withdrawl Amount] ], )</f>
        <v>0</v>
      </c>
      <c r="J76" s="129">
        <f>IF(Table45[[#This Row],[CODE]]=2, Table45[ [#This Row],[Account Deposit Amount] ]-Table45[ [#This Row],[Account Withdrawl Amount] ], )</f>
        <v>0</v>
      </c>
      <c r="K76" s="129">
        <f>IF(Table45[[#This Row],[CODE]]=3, Table45[ [#This Row],[Account Deposit Amount] ]-Table45[ [#This Row],[Account Withdrawl Amount] ], )</f>
        <v>0</v>
      </c>
      <c r="L76" s="128">
        <f>IF(Table45[[#This Row],[CODE]]=4, Table45[ [#This Row],[Account Deposit Amount] ]-Table45[ [#This Row],[Account Withdrawl Amount] ], )</f>
        <v>0</v>
      </c>
      <c r="M76" s="128">
        <f>IF(Table45[[#This Row],[CODE]]=5, Table45[ [#This Row],[Account Deposit Amount] ]-Table45[ [#This Row],[Account Withdrawl Amount] ], )</f>
        <v>0</v>
      </c>
      <c r="N76" s="128">
        <f>IF(Table45[[#This Row],[CODE]]=6, Table45[ [#This Row],[Account Deposit Amount] ]-Table45[ [#This Row],[Account Withdrawl Amount] ], )</f>
        <v>0</v>
      </c>
      <c r="O76" s="128">
        <f>IF(Table45[[#This Row],[CODE]]=11, Table45[ [#This Row],[Account Deposit Amount] ]-Table45[ [#This Row],[Account Withdrawl Amount] ], )</f>
        <v>0</v>
      </c>
      <c r="P76" s="128">
        <f>IF(Table45[[#This Row],[CODE]]=12, Table45[ [#This Row],[Account Deposit Amount] ]-Table45[ [#This Row],[Account Withdrawl Amount] ], )</f>
        <v>0</v>
      </c>
      <c r="Q76" s="128">
        <f>IF(Table45[[#This Row],[CODE]]=13, Table45[ [#This Row],[Account Deposit Amount] ]-Table45[ [#This Row],[Account Withdrawl Amount] ], )</f>
        <v>0</v>
      </c>
      <c r="R76" s="128">
        <f>IF(Table45[[#This Row],[CODE]]=14, Table45[ [#This Row],[Account Deposit Amount] ]-Table45[ [#This Row],[Account Withdrawl Amount] ], )</f>
        <v>0</v>
      </c>
      <c r="S76" s="128">
        <f>IF(Table45[[#This Row],[CODE]]=15, Table45[ [#This Row],[Account Deposit Amount] ]-Table45[ [#This Row],[Account Withdrawl Amount] ], )</f>
        <v>0</v>
      </c>
      <c r="T76" s="128">
        <f>IF(Table45[[#This Row],[CODE]]=16, Table45[ [#This Row],[Account Deposit Amount] ]-Table45[ [#This Row],[Account Withdrawl Amount] ], )</f>
        <v>0</v>
      </c>
      <c r="U76" s="127">
        <f>IF(Table45[[#This Row],[CODE]]=17, Table45[ [#This Row],[Account Deposit Amount] ]-Table45[ [#This Row],[Account Withdrawl Amount] ], )</f>
        <v>0</v>
      </c>
    </row>
    <row r="77" spans="1:21" ht="16.2" thickBot="1">
      <c r="A77" s="130"/>
      <c r="B77" s="133"/>
      <c r="C77" s="130"/>
      <c r="D77" s="132"/>
      <c r="E77" s="128"/>
      <c r="F77" s="128"/>
      <c r="G77" s="131">
        <f t="shared" si="4"/>
        <v>17851.589999999997</v>
      </c>
      <c r="H77" s="130"/>
      <c r="I77" s="127">
        <f>IF(Table45[[#This Row],[CODE]]=1, Table45[ [#This Row],[Account Deposit Amount] ]-Table45[ [#This Row],[Account Withdrawl Amount] ], )</f>
        <v>0</v>
      </c>
      <c r="J77" s="129">
        <f>IF(Table45[[#This Row],[CODE]]=2, Table45[ [#This Row],[Account Deposit Amount] ]-Table45[ [#This Row],[Account Withdrawl Amount] ], )</f>
        <v>0</v>
      </c>
      <c r="K77" s="129">
        <f>IF(Table45[[#This Row],[CODE]]=3, Table45[ [#This Row],[Account Deposit Amount] ]-Table45[ [#This Row],[Account Withdrawl Amount] ], )</f>
        <v>0</v>
      </c>
      <c r="L77" s="128">
        <f>IF(Table45[[#This Row],[CODE]]=4, Table45[ [#This Row],[Account Deposit Amount] ]-Table45[ [#This Row],[Account Withdrawl Amount] ], )</f>
        <v>0</v>
      </c>
      <c r="M77" s="128">
        <f>IF(Table45[[#This Row],[CODE]]=5, Table45[ [#This Row],[Account Deposit Amount] ]-Table45[ [#This Row],[Account Withdrawl Amount] ], )</f>
        <v>0</v>
      </c>
      <c r="N77" s="128">
        <f>IF(Table45[[#This Row],[CODE]]=6, Table45[ [#This Row],[Account Deposit Amount] ]-Table45[ [#This Row],[Account Withdrawl Amount] ], )</f>
        <v>0</v>
      </c>
      <c r="O77" s="128">
        <f>IF(Table45[[#This Row],[CODE]]=11, Table45[ [#This Row],[Account Deposit Amount] ]-Table45[ [#This Row],[Account Withdrawl Amount] ], )</f>
        <v>0</v>
      </c>
      <c r="P77" s="128">
        <f>IF(Table45[[#This Row],[CODE]]=12, Table45[ [#This Row],[Account Deposit Amount] ]-Table45[ [#This Row],[Account Withdrawl Amount] ], )</f>
        <v>0</v>
      </c>
      <c r="Q77" s="128">
        <f>IF(Table45[[#This Row],[CODE]]=13, Table45[ [#This Row],[Account Deposit Amount] ]-Table45[ [#This Row],[Account Withdrawl Amount] ], )</f>
        <v>0</v>
      </c>
      <c r="R77" s="128">
        <f>IF(Table45[[#This Row],[CODE]]=14, Table45[ [#This Row],[Account Deposit Amount] ]-Table45[ [#This Row],[Account Withdrawl Amount] ], )</f>
        <v>0</v>
      </c>
      <c r="S77" s="128">
        <f>IF(Table45[[#This Row],[CODE]]=15, Table45[ [#This Row],[Account Deposit Amount] ]-Table45[ [#This Row],[Account Withdrawl Amount] ], )</f>
        <v>0</v>
      </c>
      <c r="T77" s="128">
        <f>IF(Table45[[#This Row],[CODE]]=16, Table45[ [#This Row],[Account Deposit Amount] ]-Table45[ [#This Row],[Account Withdrawl Amount] ], )</f>
        <v>0</v>
      </c>
      <c r="U77" s="127">
        <f>IF(Table45[[#This Row],[CODE]]=17, Table45[ [#This Row],[Account Deposit Amount] ]-Table45[ [#This Row],[Account Withdrawl Amount] ], )</f>
        <v>0</v>
      </c>
    </row>
    <row r="78" spans="1:21" ht="16.2" thickBot="1">
      <c r="A78" s="130"/>
      <c r="B78" s="133"/>
      <c r="C78" s="130"/>
      <c r="D78" s="132"/>
      <c r="E78" s="128"/>
      <c r="F78" s="128"/>
      <c r="G78" s="131">
        <f t="shared" si="4"/>
        <v>17851.589999999997</v>
      </c>
      <c r="H78" s="130"/>
      <c r="I78" s="127">
        <f>IF(Table45[[#This Row],[CODE]]=1, Table45[ [#This Row],[Account Deposit Amount] ]-Table45[ [#This Row],[Account Withdrawl Amount] ], )</f>
        <v>0</v>
      </c>
      <c r="J78" s="129">
        <f>IF(Table45[[#This Row],[CODE]]=2, Table45[ [#This Row],[Account Deposit Amount] ]-Table45[ [#This Row],[Account Withdrawl Amount] ], )</f>
        <v>0</v>
      </c>
      <c r="K78" s="129">
        <f>IF(Table45[[#This Row],[CODE]]=3, Table45[ [#This Row],[Account Deposit Amount] ]-Table45[ [#This Row],[Account Withdrawl Amount] ], )</f>
        <v>0</v>
      </c>
      <c r="L78" s="128">
        <f>IF(Table45[[#This Row],[CODE]]=4, Table45[ [#This Row],[Account Deposit Amount] ]-Table45[ [#This Row],[Account Withdrawl Amount] ], )</f>
        <v>0</v>
      </c>
      <c r="M78" s="128">
        <f>IF(Table45[[#This Row],[CODE]]=5, Table45[ [#This Row],[Account Deposit Amount] ]-Table45[ [#This Row],[Account Withdrawl Amount] ], )</f>
        <v>0</v>
      </c>
      <c r="N78" s="128">
        <f>IF(Table45[[#This Row],[CODE]]=6, Table45[ [#This Row],[Account Deposit Amount] ]-Table45[ [#This Row],[Account Withdrawl Amount] ], )</f>
        <v>0</v>
      </c>
      <c r="O78" s="128">
        <f>IF(Table45[[#This Row],[CODE]]=11, Table45[ [#This Row],[Account Deposit Amount] ]-Table45[ [#This Row],[Account Withdrawl Amount] ], )</f>
        <v>0</v>
      </c>
      <c r="P78" s="128">
        <f>IF(Table45[[#This Row],[CODE]]=12, Table45[ [#This Row],[Account Deposit Amount] ]-Table45[ [#This Row],[Account Withdrawl Amount] ], )</f>
        <v>0</v>
      </c>
      <c r="Q78" s="128">
        <f>IF(Table45[[#This Row],[CODE]]=13, Table45[ [#This Row],[Account Deposit Amount] ]-Table45[ [#This Row],[Account Withdrawl Amount] ], )</f>
        <v>0</v>
      </c>
      <c r="R78" s="128">
        <f>IF(Table45[[#This Row],[CODE]]=14, Table45[ [#This Row],[Account Deposit Amount] ]-Table45[ [#This Row],[Account Withdrawl Amount] ], )</f>
        <v>0</v>
      </c>
      <c r="S78" s="128">
        <f>IF(Table45[[#This Row],[CODE]]=15, Table45[ [#This Row],[Account Deposit Amount] ]-Table45[ [#This Row],[Account Withdrawl Amount] ], )</f>
        <v>0</v>
      </c>
      <c r="T78" s="128">
        <f>IF(Table45[[#This Row],[CODE]]=16, Table45[ [#This Row],[Account Deposit Amount] ]-Table45[ [#This Row],[Account Withdrawl Amount] ], )</f>
        <v>0</v>
      </c>
      <c r="U78" s="127">
        <f>IF(Table45[[#This Row],[CODE]]=17, Table45[ [#This Row],[Account Deposit Amount] ]-Table45[ [#This Row],[Account Withdrawl Amount] ], )</f>
        <v>0</v>
      </c>
    </row>
    <row r="79" spans="1:21" ht="16.2" thickBot="1">
      <c r="A79" s="130"/>
      <c r="B79" s="133"/>
      <c r="C79" s="130"/>
      <c r="D79" s="132"/>
      <c r="E79" s="128"/>
      <c r="F79" s="128"/>
      <c r="G79" s="131">
        <f t="shared" si="4"/>
        <v>17851.589999999997</v>
      </c>
      <c r="H79" s="130"/>
      <c r="I79" s="127">
        <f>IF(Table45[[#This Row],[CODE]]=1, Table45[ [#This Row],[Account Deposit Amount] ]-Table45[ [#This Row],[Account Withdrawl Amount] ], )</f>
        <v>0</v>
      </c>
      <c r="J79" s="129">
        <f>IF(Table45[[#This Row],[CODE]]=2, Table45[ [#This Row],[Account Deposit Amount] ]-Table45[ [#This Row],[Account Withdrawl Amount] ], )</f>
        <v>0</v>
      </c>
      <c r="K79" s="129">
        <f>IF(Table45[[#This Row],[CODE]]=3, Table45[ [#This Row],[Account Deposit Amount] ]-Table45[ [#This Row],[Account Withdrawl Amount] ], )</f>
        <v>0</v>
      </c>
      <c r="L79" s="128">
        <f>IF(Table45[[#This Row],[CODE]]=4, Table45[ [#This Row],[Account Deposit Amount] ]-Table45[ [#This Row],[Account Withdrawl Amount] ], )</f>
        <v>0</v>
      </c>
      <c r="M79" s="128">
        <f>IF(Table45[[#This Row],[CODE]]=5, Table45[ [#This Row],[Account Deposit Amount] ]-Table45[ [#This Row],[Account Withdrawl Amount] ], )</f>
        <v>0</v>
      </c>
      <c r="N79" s="128">
        <f>IF(Table45[[#This Row],[CODE]]=6, Table45[ [#This Row],[Account Deposit Amount] ]-Table45[ [#This Row],[Account Withdrawl Amount] ], )</f>
        <v>0</v>
      </c>
      <c r="O79" s="128">
        <f>IF(Table45[[#This Row],[CODE]]=11, Table45[ [#This Row],[Account Deposit Amount] ]-Table45[ [#This Row],[Account Withdrawl Amount] ], )</f>
        <v>0</v>
      </c>
      <c r="P79" s="128">
        <f>IF(Table45[[#This Row],[CODE]]=12, Table45[ [#This Row],[Account Deposit Amount] ]-Table45[ [#This Row],[Account Withdrawl Amount] ], )</f>
        <v>0</v>
      </c>
      <c r="Q79" s="128">
        <f>IF(Table45[[#This Row],[CODE]]=13, Table45[ [#This Row],[Account Deposit Amount] ]-Table45[ [#This Row],[Account Withdrawl Amount] ], )</f>
        <v>0</v>
      </c>
      <c r="R79" s="128">
        <f>IF(Table45[[#This Row],[CODE]]=14, Table45[ [#This Row],[Account Deposit Amount] ]-Table45[ [#This Row],[Account Withdrawl Amount] ], )</f>
        <v>0</v>
      </c>
      <c r="S79" s="128">
        <f>IF(Table45[[#This Row],[CODE]]=15, Table45[ [#This Row],[Account Deposit Amount] ]-Table45[ [#This Row],[Account Withdrawl Amount] ], )</f>
        <v>0</v>
      </c>
      <c r="T79" s="128">
        <f>IF(Table45[[#This Row],[CODE]]=16, Table45[ [#This Row],[Account Deposit Amount] ]-Table45[ [#This Row],[Account Withdrawl Amount] ], )</f>
        <v>0</v>
      </c>
      <c r="U79" s="127">
        <f>IF(Table45[[#This Row],[CODE]]=17, Table45[ [#This Row],[Account Deposit Amount] ]-Table45[ [#This Row],[Account Withdrawl Amount] ], )</f>
        <v>0</v>
      </c>
    </row>
    <row r="80" spans="1:21" ht="16.2" thickBot="1">
      <c r="A80" s="130"/>
      <c r="B80" s="133"/>
      <c r="C80" s="130"/>
      <c r="D80" s="132"/>
      <c r="E80" s="128"/>
      <c r="F80" s="128"/>
      <c r="G80" s="131">
        <f t="shared" si="4"/>
        <v>17851.589999999997</v>
      </c>
      <c r="H80" s="130"/>
      <c r="I80" s="127">
        <f>IF(Table45[[#This Row],[CODE]]=1, Table45[ [#This Row],[Account Deposit Amount] ]-Table45[ [#This Row],[Account Withdrawl Amount] ], )</f>
        <v>0</v>
      </c>
      <c r="J80" s="129">
        <f>IF(Table45[[#This Row],[CODE]]=2, Table45[ [#This Row],[Account Deposit Amount] ]-Table45[ [#This Row],[Account Withdrawl Amount] ], )</f>
        <v>0</v>
      </c>
      <c r="K80" s="129">
        <f>IF(Table45[[#This Row],[CODE]]=3, Table45[ [#This Row],[Account Deposit Amount] ]-Table45[ [#This Row],[Account Withdrawl Amount] ], )</f>
        <v>0</v>
      </c>
      <c r="L80" s="128">
        <f>IF(Table45[[#This Row],[CODE]]=4, Table45[ [#This Row],[Account Deposit Amount] ]-Table45[ [#This Row],[Account Withdrawl Amount] ], )</f>
        <v>0</v>
      </c>
      <c r="M80" s="128">
        <f>IF(Table45[[#This Row],[CODE]]=5, Table45[ [#This Row],[Account Deposit Amount] ]-Table45[ [#This Row],[Account Withdrawl Amount] ], )</f>
        <v>0</v>
      </c>
      <c r="N80" s="128">
        <f>IF(Table45[[#This Row],[CODE]]=6, Table45[ [#This Row],[Account Deposit Amount] ]-Table45[ [#This Row],[Account Withdrawl Amount] ], )</f>
        <v>0</v>
      </c>
      <c r="O80" s="128">
        <f>IF(Table45[[#This Row],[CODE]]=11, Table45[ [#This Row],[Account Deposit Amount] ]-Table45[ [#This Row],[Account Withdrawl Amount] ], )</f>
        <v>0</v>
      </c>
      <c r="P80" s="128">
        <f>IF(Table45[[#This Row],[CODE]]=12, Table45[ [#This Row],[Account Deposit Amount] ]-Table45[ [#This Row],[Account Withdrawl Amount] ], )</f>
        <v>0</v>
      </c>
      <c r="Q80" s="128">
        <f>IF(Table45[[#This Row],[CODE]]=13, Table45[ [#This Row],[Account Deposit Amount] ]-Table45[ [#This Row],[Account Withdrawl Amount] ], )</f>
        <v>0</v>
      </c>
      <c r="R80" s="128">
        <f>IF(Table45[[#This Row],[CODE]]=14, Table45[ [#This Row],[Account Deposit Amount] ]-Table45[ [#This Row],[Account Withdrawl Amount] ], )</f>
        <v>0</v>
      </c>
      <c r="S80" s="128">
        <f>IF(Table45[[#This Row],[CODE]]=15, Table45[ [#This Row],[Account Deposit Amount] ]-Table45[ [#This Row],[Account Withdrawl Amount] ], )</f>
        <v>0</v>
      </c>
      <c r="T80" s="128">
        <f>IF(Table45[[#This Row],[CODE]]=16, Table45[ [#This Row],[Account Deposit Amount] ]-Table45[ [#This Row],[Account Withdrawl Amount] ], )</f>
        <v>0</v>
      </c>
      <c r="U80" s="127">
        <f>IF(Table45[[#This Row],[CODE]]=17, Table45[ [#This Row],[Account Deposit Amount] ]-Table45[ [#This Row],[Account Withdrawl Amount] ], )</f>
        <v>0</v>
      </c>
    </row>
    <row r="81" spans="1:21" ht="16.2" thickBot="1">
      <c r="A81" s="130"/>
      <c r="B81" s="133"/>
      <c r="C81" s="130"/>
      <c r="D81" s="132"/>
      <c r="E81" s="128"/>
      <c r="F81" s="128"/>
      <c r="G81" s="131">
        <f t="shared" si="4"/>
        <v>17851.589999999997</v>
      </c>
      <c r="H81" s="130"/>
      <c r="I81" s="127">
        <f>IF(Table45[[#This Row],[CODE]]=1, Table45[ [#This Row],[Account Deposit Amount] ]-Table45[ [#This Row],[Account Withdrawl Amount] ], )</f>
        <v>0</v>
      </c>
      <c r="J81" s="129">
        <f>IF(Table45[[#This Row],[CODE]]=2, Table45[ [#This Row],[Account Deposit Amount] ]-Table45[ [#This Row],[Account Withdrawl Amount] ], )</f>
        <v>0</v>
      </c>
      <c r="K81" s="129">
        <f>IF(Table45[[#This Row],[CODE]]=3, Table45[ [#This Row],[Account Deposit Amount] ]-Table45[ [#This Row],[Account Withdrawl Amount] ], )</f>
        <v>0</v>
      </c>
      <c r="L81" s="128">
        <f>IF(Table45[[#This Row],[CODE]]=4, Table45[ [#This Row],[Account Deposit Amount] ]-Table45[ [#This Row],[Account Withdrawl Amount] ], )</f>
        <v>0</v>
      </c>
      <c r="M81" s="128">
        <f>IF(Table45[[#This Row],[CODE]]=5, Table45[ [#This Row],[Account Deposit Amount] ]-Table45[ [#This Row],[Account Withdrawl Amount] ], )</f>
        <v>0</v>
      </c>
      <c r="N81" s="128">
        <f>IF(Table45[[#This Row],[CODE]]=6, Table45[ [#This Row],[Account Deposit Amount] ]-Table45[ [#This Row],[Account Withdrawl Amount] ], )</f>
        <v>0</v>
      </c>
      <c r="O81" s="128">
        <f>IF(Table45[[#This Row],[CODE]]=11, Table45[ [#This Row],[Account Deposit Amount] ]-Table45[ [#This Row],[Account Withdrawl Amount] ], )</f>
        <v>0</v>
      </c>
      <c r="P81" s="128">
        <f>IF(Table45[[#This Row],[CODE]]=12, Table45[ [#This Row],[Account Deposit Amount] ]-Table45[ [#This Row],[Account Withdrawl Amount] ], )</f>
        <v>0</v>
      </c>
      <c r="Q81" s="128">
        <f>IF(Table45[[#This Row],[CODE]]=13, Table45[ [#This Row],[Account Deposit Amount] ]-Table45[ [#This Row],[Account Withdrawl Amount] ], )</f>
        <v>0</v>
      </c>
      <c r="R81" s="128">
        <f>IF(Table45[[#This Row],[CODE]]=14, Table45[ [#This Row],[Account Deposit Amount] ]-Table45[ [#This Row],[Account Withdrawl Amount] ], )</f>
        <v>0</v>
      </c>
      <c r="S81" s="128">
        <f>IF(Table45[[#This Row],[CODE]]=15, Table45[ [#This Row],[Account Deposit Amount] ]-Table45[ [#This Row],[Account Withdrawl Amount] ], )</f>
        <v>0</v>
      </c>
      <c r="T81" s="128">
        <f>IF(Table45[[#This Row],[CODE]]=16, Table45[ [#This Row],[Account Deposit Amount] ]-Table45[ [#This Row],[Account Withdrawl Amount] ], )</f>
        <v>0</v>
      </c>
      <c r="U81" s="127">
        <f>IF(Table45[[#This Row],[CODE]]=17, Table45[ [#This Row],[Account Deposit Amount] ]-Table45[ [#This Row],[Account Withdrawl Amount] ], )</f>
        <v>0</v>
      </c>
    </row>
    <row r="82" spans="1:21" ht="16.2" thickBot="1">
      <c r="A82" s="130"/>
      <c r="B82" s="133"/>
      <c r="C82" s="130"/>
      <c r="D82" s="132"/>
      <c r="E82" s="128"/>
      <c r="F82" s="128"/>
      <c r="G82" s="131">
        <f t="shared" si="4"/>
        <v>17851.589999999997</v>
      </c>
      <c r="H82" s="130"/>
      <c r="I82" s="127">
        <f>IF(Table45[[#This Row],[CODE]]=1, Table45[ [#This Row],[Account Deposit Amount] ]-Table45[ [#This Row],[Account Withdrawl Amount] ], )</f>
        <v>0</v>
      </c>
      <c r="J82" s="129">
        <f>IF(Table45[[#This Row],[CODE]]=2, Table45[ [#This Row],[Account Deposit Amount] ]-Table45[ [#This Row],[Account Withdrawl Amount] ], )</f>
        <v>0</v>
      </c>
      <c r="K82" s="129">
        <f>IF(Table45[[#This Row],[CODE]]=3, Table45[ [#This Row],[Account Deposit Amount] ]-Table45[ [#This Row],[Account Withdrawl Amount] ], )</f>
        <v>0</v>
      </c>
      <c r="L82" s="128">
        <f>IF(Table45[[#This Row],[CODE]]=4, Table45[ [#This Row],[Account Deposit Amount] ]-Table45[ [#This Row],[Account Withdrawl Amount] ], )</f>
        <v>0</v>
      </c>
      <c r="M82" s="128">
        <f>IF(Table45[[#This Row],[CODE]]=5, Table45[ [#This Row],[Account Deposit Amount] ]-Table45[ [#This Row],[Account Withdrawl Amount] ], )</f>
        <v>0</v>
      </c>
      <c r="N82" s="128">
        <f>IF(Table45[[#This Row],[CODE]]=6, Table45[ [#This Row],[Account Deposit Amount] ]-Table45[ [#This Row],[Account Withdrawl Amount] ], )</f>
        <v>0</v>
      </c>
      <c r="O82" s="128">
        <f>IF(Table45[[#This Row],[CODE]]=11, Table45[ [#This Row],[Account Deposit Amount] ]-Table45[ [#This Row],[Account Withdrawl Amount] ], )</f>
        <v>0</v>
      </c>
      <c r="P82" s="128">
        <f>IF(Table45[[#This Row],[CODE]]=12, Table45[ [#This Row],[Account Deposit Amount] ]-Table45[ [#This Row],[Account Withdrawl Amount] ], )</f>
        <v>0</v>
      </c>
      <c r="Q82" s="128">
        <f>IF(Table45[[#This Row],[CODE]]=13, Table45[ [#This Row],[Account Deposit Amount] ]-Table45[ [#This Row],[Account Withdrawl Amount] ], )</f>
        <v>0</v>
      </c>
      <c r="R82" s="128">
        <f>IF(Table45[[#This Row],[CODE]]=14, Table45[ [#This Row],[Account Deposit Amount] ]-Table45[ [#This Row],[Account Withdrawl Amount] ], )</f>
        <v>0</v>
      </c>
      <c r="S82" s="128">
        <f>IF(Table45[[#This Row],[CODE]]=15, Table45[ [#This Row],[Account Deposit Amount] ]-Table45[ [#This Row],[Account Withdrawl Amount] ], )</f>
        <v>0</v>
      </c>
      <c r="T82" s="128">
        <f>IF(Table45[[#This Row],[CODE]]=16, Table45[ [#This Row],[Account Deposit Amount] ]-Table45[ [#This Row],[Account Withdrawl Amount] ], )</f>
        <v>0</v>
      </c>
      <c r="U82" s="127">
        <f>IF(Table45[[#This Row],[CODE]]=17, Table45[ [#This Row],[Account Deposit Amount] ]-Table45[ [#This Row],[Account Withdrawl Amount] ], )</f>
        <v>0</v>
      </c>
    </row>
    <row r="83" spans="1:21" ht="16.2" thickBot="1">
      <c r="A83" s="130"/>
      <c r="B83" s="133"/>
      <c r="C83" s="130"/>
      <c r="D83" s="132"/>
      <c r="E83" s="128"/>
      <c r="F83" s="128"/>
      <c r="G83" s="131">
        <f t="shared" si="4"/>
        <v>17851.589999999997</v>
      </c>
      <c r="H83" s="130"/>
      <c r="I83" s="127">
        <f>IF(Table45[[#This Row],[CODE]]=1, Table45[ [#This Row],[Account Deposit Amount] ]-Table45[ [#This Row],[Account Withdrawl Amount] ], )</f>
        <v>0</v>
      </c>
      <c r="J83" s="129">
        <f>IF(Table45[[#This Row],[CODE]]=2, Table45[ [#This Row],[Account Deposit Amount] ]-Table45[ [#This Row],[Account Withdrawl Amount] ], )</f>
        <v>0</v>
      </c>
      <c r="K83" s="129">
        <f>IF(Table45[[#This Row],[CODE]]=3, Table45[ [#This Row],[Account Deposit Amount] ]-Table45[ [#This Row],[Account Withdrawl Amount] ], )</f>
        <v>0</v>
      </c>
      <c r="L83" s="128">
        <f>IF(Table45[[#This Row],[CODE]]=4, Table45[ [#This Row],[Account Deposit Amount] ]-Table45[ [#This Row],[Account Withdrawl Amount] ], )</f>
        <v>0</v>
      </c>
      <c r="M83" s="128">
        <f>IF(Table45[[#This Row],[CODE]]=5, Table45[ [#This Row],[Account Deposit Amount] ]-Table45[ [#This Row],[Account Withdrawl Amount] ], )</f>
        <v>0</v>
      </c>
      <c r="N83" s="128">
        <f>IF(Table45[[#This Row],[CODE]]=6, Table45[ [#This Row],[Account Deposit Amount] ]-Table45[ [#This Row],[Account Withdrawl Amount] ], )</f>
        <v>0</v>
      </c>
      <c r="O83" s="128">
        <f>IF(Table45[[#This Row],[CODE]]=11, Table45[ [#This Row],[Account Deposit Amount] ]-Table45[ [#This Row],[Account Withdrawl Amount] ], )</f>
        <v>0</v>
      </c>
      <c r="P83" s="128">
        <f>IF(Table45[[#This Row],[CODE]]=12, Table45[ [#This Row],[Account Deposit Amount] ]-Table45[ [#This Row],[Account Withdrawl Amount] ], )</f>
        <v>0</v>
      </c>
      <c r="Q83" s="128">
        <f>IF(Table45[[#This Row],[CODE]]=13, Table45[ [#This Row],[Account Deposit Amount] ]-Table45[ [#This Row],[Account Withdrawl Amount] ], )</f>
        <v>0</v>
      </c>
      <c r="R83" s="128">
        <f>IF(Table45[[#This Row],[CODE]]=14, Table45[ [#This Row],[Account Deposit Amount] ]-Table45[ [#This Row],[Account Withdrawl Amount] ], )</f>
        <v>0</v>
      </c>
      <c r="S83" s="128">
        <f>IF(Table45[[#This Row],[CODE]]=15, Table45[ [#This Row],[Account Deposit Amount] ]-Table45[ [#This Row],[Account Withdrawl Amount] ], )</f>
        <v>0</v>
      </c>
      <c r="T83" s="128">
        <f>IF(Table45[[#This Row],[CODE]]=16, Table45[ [#This Row],[Account Deposit Amount] ]-Table45[ [#This Row],[Account Withdrawl Amount] ], )</f>
        <v>0</v>
      </c>
      <c r="U83" s="127">
        <f>IF(Table45[[#This Row],[CODE]]=17, Table45[ [#This Row],[Account Deposit Amount] ]-Table45[ [#This Row],[Account Withdrawl Amount] ], )</f>
        <v>0</v>
      </c>
    </row>
    <row r="84" spans="1:21" ht="16.2" thickBot="1">
      <c r="A84" s="130"/>
      <c r="B84" s="133"/>
      <c r="C84" s="130"/>
      <c r="D84" s="132"/>
      <c r="E84" s="128"/>
      <c r="F84" s="128"/>
      <c r="G84" s="131">
        <f t="shared" si="4"/>
        <v>17851.589999999997</v>
      </c>
      <c r="H84" s="130"/>
      <c r="I84" s="127">
        <f>IF(Table45[[#This Row],[CODE]]=1, Table45[ [#This Row],[Account Deposit Amount] ]-Table45[ [#This Row],[Account Withdrawl Amount] ], )</f>
        <v>0</v>
      </c>
      <c r="J84" s="129">
        <f>IF(Table45[[#This Row],[CODE]]=2, Table45[ [#This Row],[Account Deposit Amount] ]-Table45[ [#This Row],[Account Withdrawl Amount] ], )</f>
        <v>0</v>
      </c>
      <c r="K84" s="129">
        <f>IF(Table45[[#This Row],[CODE]]=3, Table45[ [#This Row],[Account Deposit Amount] ]-Table45[ [#This Row],[Account Withdrawl Amount] ], )</f>
        <v>0</v>
      </c>
      <c r="L84" s="128">
        <f>IF(Table45[[#This Row],[CODE]]=4, Table45[ [#This Row],[Account Deposit Amount] ]-Table45[ [#This Row],[Account Withdrawl Amount] ], )</f>
        <v>0</v>
      </c>
      <c r="M84" s="128">
        <f>IF(Table45[[#This Row],[CODE]]=5, Table45[ [#This Row],[Account Deposit Amount] ]-Table45[ [#This Row],[Account Withdrawl Amount] ], )</f>
        <v>0</v>
      </c>
      <c r="N84" s="128">
        <f>IF(Table45[[#This Row],[CODE]]=6, Table45[ [#This Row],[Account Deposit Amount] ]-Table45[ [#This Row],[Account Withdrawl Amount] ], )</f>
        <v>0</v>
      </c>
      <c r="O84" s="128">
        <f>IF(Table45[[#This Row],[CODE]]=11, Table45[ [#This Row],[Account Deposit Amount] ]-Table45[ [#This Row],[Account Withdrawl Amount] ], )</f>
        <v>0</v>
      </c>
      <c r="P84" s="128">
        <f>IF(Table45[[#This Row],[CODE]]=12, Table45[ [#This Row],[Account Deposit Amount] ]-Table45[ [#This Row],[Account Withdrawl Amount] ], )</f>
        <v>0</v>
      </c>
      <c r="Q84" s="128">
        <f>IF(Table45[[#This Row],[CODE]]=13, Table45[ [#This Row],[Account Deposit Amount] ]-Table45[ [#This Row],[Account Withdrawl Amount] ], )</f>
        <v>0</v>
      </c>
      <c r="R84" s="128">
        <f>IF(Table45[[#This Row],[CODE]]=14, Table45[ [#This Row],[Account Deposit Amount] ]-Table45[ [#This Row],[Account Withdrawl Amount] ], )</f>
        <v>0</v>
      </c>
      <c r="S84" s="128">
        <f>IF(Table45[[#This Row],[CODE]]=15, Table45[ [#This Row],[Account Deposit Amount] ]-Table45[ [#This Row],[Account Withdrawl Amount] ], )</f>
        <v>0</v>
      </c>
      <c r="T84" s="128">
        <f>IF(Table45[[#This Row],[CODE]]=16, Table45[ [#This Row],[Account Deposit Amount] ]-Table45[ [#This Row],[Account Withdrawl Amount] ], )</f>
        <v>0</v>
      </c>
      <c r="U84" s="127">
        <f>IF(Table45[[#This Row],[CODE]]=17, Table45[ [#This Row],[Account Deposit Amount] ]-Table45[ [#This Row],[Account Withdrawl Amount] ], )</f>
        <v>0</v>
      </c>
    </row>
    <row r="85" spans="1:21" ht="16.2" thickBot="1">
      <c r="A85" s="130"/>
      <c r="B85" s="133"/>
      <c r="C85" s="130"/>
      <c r="D85" s="132"/>
      <c r="E85" s="128"/>
      <c r="F85" s="128"/>
      <c r="G85" s="131">
        <f t="shared" si="4"/>
        <v>17851.589999999997</v>
      </c>
      <c r="H85" s="130"/>
      <c r="I85" s="127">
        <f>IF(Table45[[#This Row],[CODE]]=1, Table45[ [#This Row],[Account Deposit Amount] ]-Table45[ [#This Row],[Account Withdrawl Amount] ], )</f>
        <v>0</v>
      </c>
      <c r="J85" s="129">
        <f>IF(Table45[[#This Row],[CODE]]=2, Table45[ [#This Row],[Account Deposit Amount] ]-Table45[ [#This Row],[Account Withdrawl Amount] ], )</f>
        <v>0</v>
      </c>
      <c r="K85" s="129">
        <f>IF(Table45[[#This Row],[CODE]]=3, Table45[ [#This Row],[Account Deposit Amount] ]-Table45[ [#This Row],[Account Withdrawl Amount] ], )</f>
        <v>0</v>
      </c>
      <c r="L85" s="128">
        <f>IF(Table45[[#This Row],[CODE]]=4, Table45[ [#This Row],[Account Deposit Amount] ]-Table45[ [#This Row],[Account Withdrawl Amount] ], )</f>
        <v>0</v>
      </c>
      <c r="M85" s="128">
        <f>IF(Table45[[#This Row],[CODE]]=5, Table45[ [#This Row],[Account Deposit Amount] ]-Table45[ [#This Row],[Account Withdrawl Amount] ], )</f>
        <v>0</v>
      </c>
      <c r="N85" s="128">
        <f>IF(Table45[[#This Row],[CODE]]=6, Table45[ [#This Row],[Account Deposit Amount] ]-Table45[ [#This Row],[Account Withdrawl Amount] ], )</f>
        <v>0</v>
      </c>
      <c r="O85" s="128">
        <f>IF(Table45[[#This Row],[CODE]]=11, Table45[ [#This Row],[Account Deposit Amount] ]-Table45[ [#This Row],[Account Withdrawl Amount] ], )</f>
        <v>0</v>
      </c>
      <c r="P85" s="128">
        <f>IF(Table45[[#This Row],[CODE]]=12, Table45[ [#This Row],[Account Deposit Amount] ]-Table45[ [#This Row],[Account Withdrawl Amount] ], )</f>
        <v>0</v>
      </c>
      <c r="Q85" s="128">
        <f>IF(Table45[[#This Row],[CODE]]=13, Table45[ [#This Row],[Account Deposit Amount] ]-Table45[ [#This Row],[Account Withdrawl Amount] ], )</f>
        <v>0</v>
      </c>
      <c r="R85" s="128">
        <f>IF(Table45[[#This Row],[CODE]]=14, Table45[ [#This Row],[Account Deposit Amount] ]-Table45[ [#This Row],[Account Withdrawl Amount] ], )</f>
        <v>0</v>
      </c>
      <c r="S85" s="128">
        <f>IF(Table45[[#This Row],[CODE]]=15, Table45[ [#This Row],[Account Deposit Amount] ]-Table45[ [#This Row],[Account Withdrawl Amount] ], )</f>
        <v>0</v>
      </c>
      <c r="T85" s="128">
        <f>IF(Table45[[#This Row],[CODE]]=16, Table45[ [#This Row],[Account Deposit Amount] ]-Table45[ [#This Row],[Account Withdrawl Amount] ], )</f>
        <v>0</v>
      </c>
      <c r="U85" s="127">
        <f>IF(Table45[[#This Row],[CODE]]=17, Table45[ [#This Row],[Account Deposit Amount] ]-Table45[ [#This Row],[Account Withdrawl Amount] ], )</f>
        <v>0</v>
      </c>
    </row>
    <row r="86" spans="1:21" ht="16.2" thickBot="1">
      <c r="A86" s="130"/>
      <c r="B86" s="133"/>
      <c r="C86" s="130"/>
      <c r="D86" s="132"/>
      <c r="E86" s="128"/>
      <c r="F86" s="128"/>
      <c r="G86" s="131">
        <f t="shared" si="4"/>
        <v>17851.589999999997</v>
      </c>
      <c r="H86" s="130"/>
      <c r="I86" s="127">
        <f>IF(Table45[[#This Row],[CODE]]=1, Table45[ [#This Row],[Account Deposit Amount] ]-Table45[ [#This Row],[Account Withdrawl Amount] ], )</f>
        <v>0</v>
      </c>
      <c r="J86" s="129">
        <f>IF(Table45[[#This Row],[CODE]]=2, Table45[ [#This Row],[Account Deposit Amount] ]-Table45[ [#This Row],[Account Withdrawl Amount] ], )</f>
        <v>0</v>
      </c>
      <c r="K86" s="129">
        <f>IF(Table45[[#This Row],[CODE]]=3, Table45[ [#This Row],[Account Deposit Amount] ]-Table45[ [#This Row],[Account Withdrawl Amount] ], )</f>
        <v>0</v>
      </c>
      <c r="L86" s="128">
        <f>IF(Table45[[#This Row],[CODE]]=4, Table45[ [#This Row],[Account Deposit Amount] ]-Table45[ [#This Row],[Account Withdrawl Amount] ], )</f>
        <v>0</v>
      </c>
      <c r="M86" s="128">
        <f>IF(Table45[[#This Row],[CODE]]=5, Table45[ [#This Row],[Account Deposit Amount] ]-Table45[ [#This Row],[Account Withdrawl Amount] ], )</f>
        <v>0</v>
      </c>
      <c r="N86" s="128">
        <f>IF(Table45[[#This Row],[CODE]]=6, Table45[ [#This Row],[Account Deposit Amount] ]-Table45[ [#This Row],[Account Withdrawl Amount] ], )</f>
        <v>0</v>
      </c>
      <c r="O86" s="128">
        <f>IF(Table45[[#This Row],[CODE]]=11, Table45[ [#This Row],[Account Deposit Amount] ]-Table45[ [#This Row],[Account Withdrawl Amount] ], )</f>
        <v>0</v>
      </c>
      <c r="P86" s="128">
        <f>IF(Table45[[#This Row],[CODE]]=12, Table45[ [#This Row],[Account Deposit Amount] ]-Table45[ [#This Row],[Account Withdrawl Amount] ], )</f>
        <v>0</v>
      </c>
      <c r="Q86" s="128">
        <f>IF(Table45[[#This Row],[CODE]]=13, Table45[ [#This Row],[Account Deposit Amount] ]-Table45[ [#This Row],[Account Withdrawl Amount] ], )</f>
        <v>0</v>
      </c>
      <c r="R86" s="128">
        <f>IF(Table45[[#This Row],[CODE]]=14, Table45[ [#This Row],[Account Deposit Amount] ]-Table45[ [#This Row],[Account Withdrawl Amount] ], )</f>
        <v>0</v>
      </c>
      <c r="S86" s="128">
        <f>IF(Table45[[#This Row],[CODE]]=15, Table45[ [#This Row],[Account Deposit Amount] ]-Table45[ [#This Row],[Account Withdrawl Amount] ], )</f>
        <v>0</v>
      </c>
      <c r="T86" s="128">
        <f>IF(Table45[[#This Row],[CODE]]=16, Table45[ [#This Row],[Account Deposit Amount] ]-Table45[ [#This Row],[Account Withdrawl Amount] ], )</f>
        <v>0</v>
      </c>
      <c r="U86" s="127">
        <f>IF(Table45[[#This Row],[CODE]]=17, Table45[ [#This Row],[Account Deposit Amount] ]-Table45[ [#This Row],[Account Withdrawl Amount] ], )</f>
        <v>0</v>
      </c>
    </row>
    <row r="87" spans="1:21" ht="16.2" thickBot="1">
      <c r="A87" s="130"/>
      <c r="B87" s="133"/>
      <c r="C87" s="130"/>
      <c r="D87" s="132"/>
      <c r="E87" s="128"/>
      <c r="F87" s="128"/>
      <c r="G87" s="131">
        <f t="shared" si="4"/>
        <v>17851.589999999997</v>
      </c>
      <c r="H87" s="130"/>
      <c r="I87" s="127">
        <f>IF(Table45[[#This Row],[CODE]]=1, Table45[ [#This Row],[Account Deposit Amount] ]-Table45[ [#This Row],[Account Withdrawl Amount] ], )</f>
        <v>0</v>
      </c>
      <c r="J87" s="129">
        <f>IF(Table45[[#This Row],[CODE]]=2, Table45[ [#This Row],[Account Deposit Amount] ]-Table45[ [#This Row],[Account Withdrawl Amount] ], )</f>
        <v>0</v>
      </c>
      <c r="K87" s="129">
        <f>IF(Table45[[#This Row],[CODE]]=3, Table45[ [#This Row],[Account Deposit Amount] ]-Table45[ [#This Row],[Account Withdrawl Amount] ], )</f>
        <v>0</v>
      </c>
      <c r="L87" s="128">
        <f>IF(Table45[[#This Row],[CODE]]=4, Table45[ [#This Row],[Account Deposit Amount] ]-Table45[ [#This Row],[Account Withdrawl Amount] ], )</f>
        <v>0</v>
      </c>
      <c r="M87" s="128">
        <f>IF(Table45[[#This Row],[CODE]]=5, Table45[ [#This Row],[Account Deposit Amount] ]-Table45[ [#This Row],[Account Withdrawl Amount] ], )</f>
        <v>0</v>
      </c>
      <c r="N87" s="128">
        <f>IF(Table45[[#This Row],[CODE]]=6, Table45[ [#This Row],[Account Deposit Amount] ]-Table45[ [#This Row],[Account Withdrawl Amount] ], )</f>
        <v>0</v>
      </c>
      <c r="O87" s="128">
        <f>IF(Table45[[#This Row],[CODE]]=11, Table45[ [#This Row],[Account Deposit Amount] ]-Table45[ [#This Row],[Account Withdrawl Amount] ], )</f>
        <v>0</v>
      </c>
      <c r="P87" s="128">
        <f>IF(Table45[[#This Row],[CODE]]=12, Table45[ [#This Row],[Account Deposit Amount] ]-Table45[ [#This Row],[Account Withdrawl Amount] ], )</f>
        <v>0</v>
      </c>
      <c r="Q87" s="128">
        <f>IF(Table45[[#This Row],[CODE]]=13, Table45[ [#This Row],[Account Deposit Amount] ]-Table45[ [#This Row],[Account Withdrawl Amount] ], )</f>
        <v>0</v>
      </c>
      <c r="R87" s="128">
        <f>IF(Table45[[#This Row],[CODE]]=14, Table45[ [#This Row],[Account Deposit Amount] ]-Table45[ [#This Row],[Account Withdrawl Amount] ], )</f>
        <v>0</v>
      </c>
      <c r="S87" s="128">
        <f>IF(Table45[[#This Row],[CODE]]=15, Table45[ [#This Row],[Account Deposit Amount] ]-Table45[ [#This Row],[Account Withdrawl Amount] ], )</f>
        <v>0</v>
      </c>
      <c r="T87" s="128">
        <f>IF(Table45[[#This Row],[CODE]]=16, Table45[ [#This Row],[Account Deposit Amount] ]-Table45[ [#This Row],[Account Withdrawl Amount] ], )</f>
        <v>0</v>
      </c>
      <c r="U87" s="127">
        <f>IF(Table45[[#This Row],[CODE]]=17, Table45[ [#This Row],[Account Deposit Amount] ]-Table45[ [#This Row],[Account Withdrawl Amount] ], )</f>
        <v>0</v>
      </c>
    </row>
    <row r="88" spans="1:21" ht="16.2" thickBot="1">
      <c r="A88" s="130"/>
      <c r="B88" s="133"/>
      <c r="C88" s="130"/>
      <c r="D88" s="132"/>
      <c r="E88" s="128"/>
      <c r="F88" s="128"/>
      <c r="G88" s="131">
        <f t="shared" si="4"/>
        <v>17851.589999999997</v>
      </c>
      <c r="H88" s="130"/>
      <c r="I88" s="127">
        <f>IF(Table45[[#This Row],[CODE]]=1, Table45[ [#This Row],[Account Deposit Amount] ]-Table45[ [#This Row],[Account Withdrawl Amount] ], )</f>
        <v>0</v>
      </c>
      <c r="J88" s="129">
        <f>IF(Table45[[#This Row],[CODE]]=2, Table45[ [#This Row],[Account Deposit Amount] ]-Table45[ [#This Row],[Account Withdrawl Amount] ], )</f>
        <v>0</v>
      </c>
      <c r="K88" s="129">
        <f>IF(Table45[[#This Row],[CODE]]=3, Table45[ [#This Row],[Account Deposit Amount] ]-Table45[ [#This Row],[Account Withdrawl Amount] ], )</f>
        <v>0</v>
      </c>
      <c r="L88" s="128">
        <f>IF(Table45[[#This Row],[CODE]]=4, Table45[ [#This Row],[Account Deposit Amount] ]-Table45[ [#This Row],[Account Withdrawl Amount] ], )</f>
        <v>0</v>
      </c>
      <c r="M88" s="128">
        <f>IF(Table45[[#This Row],[CODE]]=5, Table45[ [#This Row],[Account Deposit Amount] ]-Table45[ [#This Row],[Account Withdrawl Amount] ], )</f>
        <v>0</v>
      </c>
      <c r="N88" s="128">
        <f>IF(Table45[[#This Row],[CODE]]=6, Table45[ [#This Row],[Account Deposit Amount] ]-Table45[ [#This Row],[Account Withdrawl Amount] ], )</f>
        <v>0</v>
      </c>
      <c r="O88" s="128">
        <f>IF(Table45[[#This Row],[CODE]]=11, Table45[ [#This Row],[Account Deposit Amount] ]-Table45[ [#This Row],[Account Withdrawl Amount] ], )</f>
        <v>0</v>
      </c>
      <c r="P88" s="128">
        <f>IF(Table45[[#This Row],[CODE]]=12, Table45[ [#This Row],[Account Deposit Amount] ]-Table45[ [#This Row],[Account Withdrawl Amount] ], )</f>
        <v>0</v>
      </c>
      <c r="Q88" s="128">
        <f>IF(Table45[[#This Row],[CODE]]=13, Table45[ [#This Row],[Account Deposit Amount] ]-Table45[ [#This Row],[Account Withdrawl Amount] ], )</f>
        <v>0</v>
      </c>
      <c r="R88" s="128">
        <f>IF(Table45[[#This Row],[CODE]]=14, Table45[ [#This Row],[Account Deposit Amount] ]-Table45[ [#This Row],[Account Withdrawl Amount] ], )</f>
        <v>0</v>
      </c>
      <c r="S88" s="128">
        <f>IF(Table45[[#This Row],[CODE]]=15, Table45[ [#This Row],[Account Deposit Amount] ]-Table45[ [#This Row],[Account Withdrawl Amount] ], )</f>
        <v>0</v>
      </c>
      <c r="T88" s="128">
        <f>IF(Table45[[#This Row],[CODE]]=16, Table45[ [#This Row],[Account Deposit Amount] ]-Table45[ [#This Row],[Account Withdrawl Amount] ], )</f>
        <v>0</v>
      </c>
      <c r="U88" s="127">
        <f>IF(Table45[[#This Row],[CODE]]=17, Table45[ [#This Row],[Account Deposit Amount] ]-Table45[ [#This Row],[Account Withdrawl Amount] ], )</f>
        <v>0</v>
      </c>
    </row>
    <row r="89" spans="1:21" ht="16.2" thickBot="1">
      <c r="A89" s="130"/>
      <c r="B89" s="133"/>
      <c r="C89" s="130"/>
      <c r="D89" s="132"/>
      <c r="E89" s="128"/>
      <c r="F89" s="128"/>
      <c r="G89" s="131">
        <f t="shared" si="4"/>
        <v>17851.589999999997</v>
      </c>
      <c r="H89" s="130"/>
      <c r="I89" s="127">
        <f>IF(Table45[[#This Row],[CODE]]=1, Table45[ [#This Row],[Account Deposit Amount] ]-Table45[ [#This Row],[Account Withdrawl Amount] ], )</f>
        <v>0</v>
      </c>
      <c r="J89" s="129">
        <f>IF(Table45[[#This Row],[CODE]]=2, Table45[ [#This Row],[Account Deposit Amount] ]-Table45[ [#This Row],[Account Withdrawl Amount] ], )</f>
        <v>0</v>
      </c>
      <c r="K89" s="129">
        <f>IF(Table45[[#This Row],[CODE]]=3, Table45[ [#This Row],[Account Deposit Amount] ]-Table45[ [#This Row],[Account Withdrawl Amount] ], )</f>
        <v>0</v>
      </c>
      <c r="L89" s="128">
        <f>IF(Table45[[#This Row],[CODE]]=4, Table45[ [#This Row],[Account Deposit Amount] ]-Table45[ [#This Row],[Account Withdrawl Amount] ], )</f>
        <v>0</v>
      </c>
      <c r="M89" s="128">
        <f>IF(Table45[[#This Row],[CODE]]=5, Table45[ [#This Row],[Account Deposit Amount] ]-Table45[ [#This Row],[Account Withdrawl Amount] ], )</f>
        <v>0</v>
      </c>
      <c r="N89" s="128">
        <f>IF(Table45[[#This Row],[CODE]]=6, Table45[ [#This Row],[Account Deposit Amount] ]-Table45[ [#This Row],[Account Withdrawl Amount] ], )</f>
        <v>0</v>
      </c>
      <c r="O89" s="128">
        <f>IF(Table45[[#This Row],[CODE]]=11, Table45[ [#This Row],[Account Deposit Amount] ]-Table45[ [#This Row],[Account Withdrawl Amount] ], )</f>
        <v>0</v>
      </c>
      <c r="P89" s="128">
        <f>IF(Table45[[#This Row],[CODE]]=12, Table45[ [#This Row],[Account Deposit Amount] ]-Table45[ [#This Row],[Account Withdrawl Amount] ], )</f>
        <v>0</v>
      </c>
      <c r="Q89" s="128">
        <f>IF(Table45[[#This Row],[CODE]]=13, Table45[ [#This Row],[Account Deposit Amount] ]-Table45[ [#This Row],[Account Withdrawl Amount] ], )</f>
        <v>0</v>
      </c>
      <c r="R89" s="128">
        <f>IF(Table45[[#This Row],[CODE]]=14, Table45[ [#This Row],[Account Deposit Amount] ]-Table45[ [#This Row],[Account Withdrawl Amount] ], )</f>
        <v>0</v>
      </c>
      <c r="S89" s="128">
        <f>IF(Table45[[#This Row],[CODE]]=15, Table45[ [#This Row],[Account Deposit Amount] ]-Table45[ [#This Row],[Account Withdrawl Amount] ], )</f>
        <v>0</v>
      </c>
      <c r="T89" s="128">
        <f>IF(Table45[[#This Row],[CODE]]=16, Table45[ [#This Row],[Account Deposit Amount] ]-Table45[ [#This Row],[Account Withdrawl Amount] ], )</f>
        <v>0</v>
      </c>
      <c r="U89" s="127">
        <f>IF(Table45[[#This Row],[CODE]]=17, Table45[ [#This Row],[Account Deposit Amount] ]-Table45[ [#This Row],[Account Withdrawl Amount] ], )</f>
        <v>0</v>
      </c>
    </row>
    <row r="90" spans="1:21" ht="16.2" thickBot="1">
      <c r="A90" s="130"/>
      <c r="B90" s="133"/>
      <c r="C90" s="130"/>
      <c r="D90" s="132"/>
      <c r="E90" s="128"/>
      <c r="F90" s="128"/>
      <c r="G90" s="131">
        <f t="shared" si="4"/>
        <v>17851.589999999997</v>
      </c>
      <c r="H90" s="130"/>
      <c r="I90" s="127">
        <f>IF(Table45[[#This Row],[CODE]]=1, Table45[ [#This Row],[Account Deposit Amount] ]-Table45[ [#This Row],[Account Withdrawl Amount] ], )</f>
        <v>0</v>
      </c>
      <c r="J90" s="129">
        <f>IF(Table45[[#This Row],[CODE]]=2, Table45[ [#This Row],[Account Deposit Amount] ]-Table45[ [#This Row],[Account Withdrawl Amount] ], )</f>
        <v>0</v>
      </c>
      <c r="K90" s="129">
        <f>IF(Table45[[#This Row],[CODE]]=3, Table45[ [#This Row],[Account Deposit Amount] ]-Table45[ [#This Row],[Account Withdrawl Amount] ], )</f>
        <v>0</v>
      </c>
      <c r="L90" s="128">
        <f>IF(Table45[[#This Row],[CODE]]=4, Table45[ [#This Row],[Account Deposit Amount] ]-Table45[ [#This Row],[Account Withdrawl Amount] ], )</f>
        <v>0</v>
      </c>
      <c r="M90" s="128">
        <f>IF(Table45[[#This Row],[CODE]]=5, Table45[ [#This Row],[Account Deposit Amount] ]-Table45[ [#This Row],[Account Withdrawl Amount] ], )</f>
        <v>0</v>
      </c>
      <c r="N90" s="128">
        <f>IF(Table45[[#This Row],[CODE]]=6, Table45[ [#This Row],[Account Deposit Amount] ]-Table45[ [#This Row],[Account Withdrawl Amount] ], )</f>
        <v>0</v>
      </c>
      <c r="O90" s="128">
        <f>IF(Table45[[#This Row],[CODE]]=11, Table45[ [#This Row],[Account Deposit Amount] ]-Table45[ [#This Row],[Account Withdrawl Amount] ], )</f>
        <v>0</v>
      </c>
      <c r="P90" s="128">
        <f>IF(Table45[[#This Row],[CODE]]=12, Table45[ [#This Row],[Account Deposit Amount] ]-Table45[ [#This Row],[Account Withdrawl Amount] ], )</f>
        <v>0</v>
      </c>
      <c r="Q90" s="128">
        <f>IF(Table45[[#This Row],[CODE]]=13, Table45[ [#This Row],[Account Deposit Amount] ]-Table45[ [#This Row],[Account Withdrawl Amount] ], )</f>
        <v>0</v>
      </c>
      <c r="R90" s="128">
        <f>IF(Table45[[#This Row],[CODE]]=14, Table45[ [#This Row],[Account Deposit Amount] ]-Table45[ [#This Row],[Account Withdrawl Amount] ], )</f>
        <v>0</v>
      </c>
      <c r="S90" s="128">
        <f>IF(Table45[[#This Row],[CODE]]=15, Table45[ [#This Row],[Account Deposit Amount] ]-Table45[ [#This Row],[Account Withdrawl Amount] ], )</f>
        <v>0</v>
      </c>
      <c r="T90" s="128">
        <f>IF(Table45[[#This Row],[CODE]]=16, Table45[ [#This Row],[Account Deposit Amount] ]-Table45[ [#This Row],[Account Withdrawl Amount] ], )</f>
        <v>0</v>
      </c>
      <c r="U90" s="127">
        <f>IF(Table45[[#This Row],[CODE]]=17, Table45[ [#This Row],[Account Deposit Amount] ]-Table45[ [#This Row],[Account Withdrawl Amount] ], )</f>
        <v>0</v>
      </c>
    </row>
    <row r="91" spans="1:21" ht="16.2" thickBot="1">
      <c r="A91" s="130"/>
      <c r="B91" s="133"/>
      <c r="C91" s="130"/>
      <c r="D91" s="132"/>
      <c r="E91" s="128"/>
      <c r="F91" s="128"/>
      <c r="G91" s="131">
        <f t="shared" si="4"/>
        <v>17851.589999999997</v>
      </c>
      <c r="H91" s="130"/>
      <c r="I91" s="127">
        <f>IF(Table45[[#This Row],[CODE]]=1, Table45[ [#This Row],[Account Deposit Amount] ]-Table45[ [#This Row],[Account Withdrawl Amount] ], )</f>
        <v>0</v>
      </c>
      <c r="J91" s="129">
        <f>IF(Table45[[#This Row],[CODE]]=2, Table45[ [#This Row],[Account Deposit Amount] ]-Table45[ [#This Row],[Account Withdrawl Amount] ], )</f>
        <v>0</v>
      </c>
      <c r="K91" s="129">
        <f>IF(Table45[[#This Row],[CODE]]=3, Table45[ [#This Row],[Account Deposit Amount] ]-Table45[ [#This Row],[Account Withdrawl Amount] ], )</f>
        <v>0</v>
      </c>
      <c r="L91" s="128">
        <f>IF(Table45[[#This Row],[CODE]]=4, Table45[ [#This Row],[Account Deposit Amount] ]-Table45[ [#This Row],[Account Withdrawl Amount] ], )</f>
        <v>0</v>
      </c>
      <c r="M91" s="128">
        <f>IF(Table45[[#This Row],[CODE]]=5, Table45[ [#This Row],[Account Deposit Amount] ]-Table45[ [#This Row],[Account Withdrawl Amount] ], )</f>
        <v>0</v>
      </c>
      <c r="N91" s="128">
        <f>IF(Table45[[#This Row],[CODE]]=6, Table45[ [#This Row],[Account Deposit Amount] ]-Table45[ [#This Row],[Account Withdrawl Amount] ], )</f>
        <v>0</v>
      </c>
      <c r="O91" s="128">
        <f>IF(Table45[[#This Row],[CODE]]=11, Table45[ [#This Row],[Account Deposit Amount] ]-Table45[ [#This Row],[Account Withdrawl Amount] ], )</f>
        <v>0</v>
      </c>
      <c r="P91" s="128">
        <f>IF(Table45[[#This Row],[CODE]]=12, Table45[ [#This Row],[Account Deposit Amount] ]-Table45[ [#This Row],[Account Withdrawl Amount] ], )</f>
        <v>0</v>
      </c>
      <c r="Q91" s="128">
        <f>IF(Table45[[#This Row],[CODE]]=13, Table45[ [#This Row],[Account Deposit Amount] ]-Table45[ [#This Row],[Account Withdrawl Amount] ], )</f>
        <v>0</v>
      </c>
      <c r="R91" s="128">
        <f>IF(Table45[[#This Row],[CODE]]=14, Table45[ [#This Row],[Account Deposit Amount] ]-Table45[ [#This Row],[Account Withdrawl Amount] ], )</f>
        <v>0</v>
      </c>
      <c r="S91" s="128">
        <f>IF(Table45[[#This Row],[CODE]]=15, Table45[ [#This Row],[Account Deposit Amount] ]-Table45[ [#This Row],[Account Withdrawl Amount] ], )</f>
        <v>0</v>
      </c>
      <c r="T91" s="128">
        <f>IF(Table45[[#This Row],[CODE]]=16, Table45[ [#This Row],[Account Deposit Amount] ]-Table45[ [#This Row],[Account Withdrawl Amount] ], )</f>
        <v>0</v>
      </c>
      <c r="U91" s="127">
        <f>IF(Table45[[#This Row],[CODE]]=17, Table45[ [#This Row],[Account Deposit Amount] ]-Table45[ [#This Row],[Account Withdrawl Amount] ], )</f>
        <v>0</v>
      </c>
    </row>
    <row r="92" spans="1:21" ht="16.2" thickBot="1">
      <c r="A92" s="130"/>
      <c r="B92" s="133"/>
      <c r="C92" s="130"/>
      <c r="D92" s="132"/>
      <c r="E92" s="128"/>
      <c r="F92" s="128"/>
      <c r="G92" s="131">
        <f t="shared" si="4"/>
        <v>17851.589999999997</v>
      </c>
      <c r="H92" s="130"/>
      <c r="I92" s="127">
        <f>IF(Table45[[#This Row],[CODE]]=1, Table45[ [#This Row],[Account Deposit Amount] ]-Table45[ [#This Row],[Account Withdrawl Amount] ], )</f>
        <v>0</v>
      </c>
      <c r="J92" s="129">
        <f>IF(Table45[[#This Row],[CODE]]=2, Table45[ [#This Row],[Account Deposit Amount] ]-Table45[ [#This Row],[Account Withdrawl Amount] ], )</f>
        <v>0</v>
      </c>
      <c r="K92" s="129">
        <f>IF(Table45[[#This Row],[CODE]]=3, Table45[ [#This Row],[Account Deposit Amount] ]-Table45[ [#This Row],[Account Withdrawl Amount] ], )</f>
        <v>0</v>
      </c>
      <c r="L92" s="128">
        <f>IF(Table45[[#This Row],[CODE]]=4, Table45[ [#This Row],[Account Deposit Amount] ]-Table45[ [#This Row],[Account Withdrawl Amount] ], )</f>
        <v>0</v>
      </c>
      <c r="M92" s="128">
        <f>IF(Table45[[#This Row],[CODE]]=5, Table45[ [#This Row],[Account Deposit Amount] ]-Table45[ [#This Row],[Account Withdrawl Amount] ], )</f>
        <v>0</v>
      </c>
      <c r="N92" s="128">
        <f>IF(Table45[[#This Row],[CODE]]=6, Table45[ [#This Row],[Account Deposit Amount] ]-Table45[ [#This Row],[Account Withdrawl Amount] ], )</f>
        <v>0</v>
      </c>
      <c r="O92" s="128">
        <f>IF(Table45[[#This Row],[CODE]]=11, Table45[ [#This Row],[Account Deposit Amount] ]-Table45[ [#This Row],[Account Withdrawl Amount] ], )</f>
        <v>0</v>
      </c>
      <c r="P92" s="128">
        <f>IF(Table45[[#This Row],[CODE]]=12, Table45[ [#This Row],[Account Deposit Amount] ]-Table45[ [#This Row],[Account Withdrawl Amount] ], )</f>
        <v>0</v>
      </c>
      <c r="Q92" s="128">
        <f>IF(Table45[[#This Row],[CODE]]=13, Table45[ [#This Row],[Account Deposit Amount] ]-Table45[ [#This Row],[Account Withdrawl Amount] ], )</f>
        <v>0</v>
      </c>
      <c r="R92" s="128">
        <f>IF(Table45[[#This Row],[CODE]]=14, Table45[ [#This Row],[Account Deposit Amount] ]-Table45[ [#This Row],[Account Withdrawl Amount] ], )</f>
        <v>0</v>
      </c>
      <c r="S92" s="128">
        <f>IF(Table45[[#This Row],[CODE]]=15, Table45[ [#This Row],[Account Deposit Amount] ]-Table45[ [#This Row],[Account Withdrawl Amount] ], )</f>
        <v>0</v>
      </c>
      <c r="T92" s="128">
        <f>IF(Table45[[#This Row],[CODE]]=16, Table45[ [#This Row],[Account Deposit Amount] ]-Table45[ [#This Row],[Account Withdrawl Amount] ], )</f>
        <v>0</v>
      </c>
      <c r="U92" s="127">
        <f>IF(Table45[[#This Row],[CODE]]=17, Table45[ [#This Row],[Account Deposit Amount] ]-Table45[ [#This Row],[Account Withdrawl Amount] ], )</f>
        <v>0</v>
      </c>
    </row>
    <row r="93" spans="1:21" ht="16.2" thickBot="1">
      <c r="A93" s="130"/>
      <c r="B93" s="133"/>
      <c r="C93" s="130"/>
      <c r="D93" s="132"/>
      <c r="E93" s="128"/>
      <c r="F93" s="128"/>
      <c r="G93" s="131">
        <f t="shared" si="4"/>
        <v>17851.589999999997</v>
      </c>
      <c r="H93" s="130"/>
      <c r="I93" s="127">
        <f>IF(Table45[[#This Row],[CODE]]=1, Table45[ [#This Row],[Account Deposit Amount] ]-Table45[ [#This Row],[Account Withdrawl Amount] ], )</f>
        <v>0</v>
      </c>
      <c r="J93" s="129">
        <f>IF(Table45[[#This Row],[CODE]]=2, Table45[ [#This Row],[Account Deposit Amount] ]-Table45[ [#This Row],[Account Withdrawl Amount] ], )</f>
        <v>0</v>
      </c>
      <c r="K93" s="129">
        <f>IF(Table45[[#This Row],[CODE]]=3, Table45[ [#This Row],[Account Deposit Amount] ]-Table45[ [#This Row],[Account Withdrawl Amount] ], )</f>
        <v>0</v>
      </c>
      <c r="L93" s="128">
        <f>IF(Table45[[#This Row],[CODE]]=4, Table45[ [#This Row],[Account Deposit Amount] ]-Table45[ [#This Row],[Account Withdrawl Amount] ], )</f>
        <v>0</v>
      </c>
      <c r="M93" s="128">
        <f>IF(Table45[[#This Row],[CODE]]=5, Table45[ [#This Row],[Account Deposit Amount] ]-Table45[ [#This Row],[Account Withdrawl Amount] ], )</f>
        <v>0</v>
      </c>
      <c r="N93" s="128">
        <f>IF(Table45[[#This Row],[CODE]]=6, Table45[ [#This Row],[Account Deposit Amount] ]-Table45[ [#This Row],[Account Withdrawl Amount] ], )</f>
        <v>0</v>
      </c>
      <c r="O93" s="128">
        <f>IF(Table45[[#This Row],[CODE]]=11, Table45[ [#This Row],[Account Deposit Amount] ]-Table45[ [#This Row],[Account Withdrawl Amount] ], )</f>
        <v>0</v>
      </c>
      <c r="P93" s="128">
        <f>IF(Table45[[#This Row],[CODE]]=12, Table45[ [#This Row],[Account Deposit Amount] ]-Table45[ [#This Row],[Account Withdrawl Amount] ], )</f>
        <v>0</v>
      </c>
      <c r="Q93" s="128">
        <f>IF(Table45[[#This Row],[CODE]]=13, Table45[ [#This Row],[Account Deposit Amount] ]-Table45[ [#This Row],[Account Withdrawl Amount] ], )</f>
        <v>0</v>
      </c>
      <c r="R93" s="128">
        <f>IF(Table45[[#This Row],[CODE]]=14, Table45[ [#This Row],[Account Deposit Amount] ]-Table45[ [#This Row],[Account Withdrawl Amount] ], )</f>
        <v>0</v>
      </c>
      <c r="S93" s="128">
        <f>IF(Table45[[#This Row],[CODE]]=15, Table45[ [#This Row],[Account Deposit Amount] ]-Table45[ [#This Row],[Account Withdrawl Amount] ], )</f>
        <v>0</v>
      </c>
      <c r="T93" s="128">
        <f>IF(Table45[[#This Row],[CODE]]=16, Table45[ [#This Row],[Account Deposit Amount] ]-Table45[ [#This Row],[Account Withdrawl Amount] ], )</f>
        <v>0</v>
      </c>
      <c r="U93" s="127">
        <f>IF(Table45[[#This Row],[CODE]]=17, Table45[ [#This Row],[Account Deposit Amount] ]-Table45[ [#This Row],[Account Withdrawl Amount] ], )</f>
        <v>0</v>
      </c>
    </row>
    <row r="94" spans="1:21" ht="16.2" thickBot="1">
      <c r="A94" s="130"/>
      <c r="B94" s="133"/>
      <c r="C94" s="130"/>
      <c r="D94" s="132"/>
      <c r="E94" s="128"/>
      <c r="F94" s="128"/>
      <c r="G94" s="131">
        <f t="shared" si="4"/>
        <v>17851.589999999997</v>
      </c>
      <c r="H94" s="130"/>
      <c r="I94" s="127">
        <f>IF(Table45[[#This Row],[CODE]]=1, Table45[ [#This Row],[Account Deposit Amount] ]-Table45[ [#This Row],[Account Withdrawl Amount] ], )</f>
        <v>0</v>
      </c>
      <c r="J94" s="129">
        <f>IF(Table45[[#This Row],[CODE]]=2, Table45[ [#This Row],[Account Deposit Amount] ]-Table45[ [#This Row],[Account Withdrawl Amount] ], )</f>
        <v>0</v>
      </c>
      <c r="K94" s="129">
        <f>IF(Table45[[#This Row],[CODE]]=3, Table45[ [#This Row],[Account Deposit Amount] ]-Table45[ [#This Row],[Account Withdrawl Amount] ], )</f>
        <v>0</v>
      </c>
      <c r="L94" s="128">
        <f>IF(Table45[[#This Row],[CODE]]=4, Table45[ [#This Row],[Account Deposit Amount] ]-Table45[ [#This Row],[Account Withdrawl Amount] ], )</f>
        <v>0</v>
      </c>
      <c r="M94" s="128">
        <f>IF(Table45[[#This Row],[CODE]]=5, Table45[ [#This Row],[Account Deposit Amount] ]-Table45[ [#This Row],[Account Withdrawl Amount] ], )</f>
        <v>0</v>
      </c>
      <c r="N94" s="128">
        <f>IF(Table45[[#This Row],[CODE]]=6, Table45[ [#This Row],[Account Deposit Amount] ]-Table45[ [#This Row],[Account Withdrawl Amount] ], )</f>
        <v>0</v>
      </c>
      <c r="O94" s="128">
        <f>IF(Table45[[#This Row],[CODE]]=11, Table45[ [#This Row],[Account Deposit Amount] ]-Table45[ [#This Row],[Account Withdrawl Amount] ], )</f>
        <v>0</v>
      </c>
      <c r="P94" s="128">
        <f>IF(Table45[[#This Row],[CODE]]=12, Table45[ [#This Row],[Account Deposit Amount] ]-Table45[ [#This Row],[Account Withdrawl Amount] ], )</f>
        <v>0</v>
      </c>
      <c r="Q94" s="128">
        <f>IF(Table45[[#This Row],[CODE]]=13, Table45[ [#This Row],[Account Deposit Amount] ]-Table45[ [#This Row],[Account Withdrawl Amount] ], )</f>
        <v>0</v>
      </c>
      <c r="R94" s="128">
        <f>IF(Table45[[#This Row],[CODE]]=14, Table45[ [#This Row],[Account Deposit Amount] ]-Table45[ [#This Row],[Account Withdrawl Amount] ], )</f>
        <v>0</v>
      </c>
      <c r="S94" s="128">
        <f>IF(Table45[[#This Row],[CODE]]=15, Table45[ [#This Row],[Account Deposit Amount] ]-Table45[ [#This Row],[Account Withdrawl Amount] ], )</f>
        <v>0</v>
      </c>
      <c r="T94" s="128">
        <f>IF(Table45[[#This Row],[CODE]]=16, Table45[ [#This Row],[Account Deposit Amount] ]-Table45[ [#This Row],[Account Withdrawl Amount] ], )</f>
        <v>0</v>
      </c>
      <c r="U94" s="127">
        <f>IF(Table45[[#This Row],[CODE]]=17, Table45[ [#This Row],[Account Deposit Amount] ]-Table45[ [#This Row],[Account Withdrawl Amount] ], )</f>
        <v>0</v>
      </c>
    </row>
    <row r="95" spans="1:21" ht="16.2" thickBot="1">
      <c r="A95" s="130"/>
      <c r="B95" s="133"/>
      <c r="C95" s="130"/>
      <c r="D95" s="132"/>
      <c r="E95" s="128"/>
      <c r="F95" s="128"/>
      <c r="G95" s="131">
        <f t="shared" si="4"/>
        <v>17851.589999999997</v>
      </c>
      <c r="H95" s="130"/>
      <c r="I95" s="127">
        <f>IF(Table45[[#This Row],[CODE]]=1, Table45[ [#This Row],[Account Deposit Amount] ]-Table45[ [#This Row],[Account Withdrawl Amount] ], )</f>
        <v>0</v>
      </c>
      <c r="J95" s="129">
        <f>IF(Table45[[#This Row],[CODE]]=2, Table45[ [#This Row],[Account Deposit Amount] ]-Table45[ [#This Row],[Account Withdrawl Amount] ], )</f>
        <v>0</v>
      </c>
      <c r="K95" s="129">
        <f>IF(Table45[[#This Row],[CODE]]=3, Table45[ [#This Row],[Account Deposit Amount] ]-Table45[ [#This Row],[Account Withdrawl Amount] ], )</f>
        <v>0</v>
      </c>
      <c r="L95" s="128">
        <f>IF(Table45[[#This Row],[CODE]]=4, Table45[ [#This Row],[Account Deposit Amount] ]-Table45[ [#This Row],[Account Withdrawl Amount] ], )</f>
        <v>0</v>
      </c>
      <c r="M95" s="128">
        <f>IF(Table45[[#This Row],[CODE]]=5, Table45[ [#This Row],[Account Deposit Amount] ]-Table45[ [#This Row],[Account Withdrawl Amount] ], )</f>
        <v>0</v>
      </c>
      <c r="N95" s="128">
        <f>IF(Table45[[#This Row],[CODE]]=6, Table45[ [#This Row],[Account Deposit Amount] ]-Table45[ [#This Row],[Account Withdrawl Amount] ], )</f>
        <v>0</v>
      </c>
      <c r="O95" s="128">
        <f>IF(Table45[[#This Row],[CODE]]=11, Table45[ [#This Row],[Account Deposit Amount] ]-Table45[ [#This Row],[Account Withdrawl Amount] ], )</f>
        <v>0</v>
      </c>
      <c r="P95" s="128">
        <f>IF(Table45[[#This Row],[CODE]]=12, Table45[ [#This Row],[Account Deposit Amount] ]-Table45[ [#This Row],[Account Withdrawl Amount] ], )</f>
        <v>0</v>
      </c>
      <c r="Q95" s="128">
        <f>IF(Table45[[#This Row],[CODE]]=13, Table45[ [#This Row],[Account Deposit Amount] ]-Table45[ [#This Row],[Account Withdrawl Amount] ], )</f>
        <v>0</v>
      </c>
      <c r="R95" s="128">
        <f>IF(Table45[[#This Row],[CODE]]=14, Table45[ [#This Row],[Account Deposit Amount] ]-Table45[ [#This Row],[Account Withdrawl Amount] ], )</f>
        <v>0</v>
      </c>
      <c r="S95" s="128">
        <f>IF(Table45[[#This Row],[CODE]]=15, Table45[ [#This Row],[Account Deposit Amount] ]-Table45[ [#This Row],[Account Withdrawl Amount] ], )</f>
        <v>0</v>
      </c>
      <c r="T95" s="128">
        <f>IF(Table45[[#This Row],[CODE]]=16, Table45[ [#This Row],[Account Deposit Amount] ]-Table45[ [#This Row],[Account Withdrawl Amount] ], )</f>
        <v>0</v>
      </c>
      <c r="U95" s="127">
        <f>IF(Table45[[#This Row],[CODE]]=17, Table45[ [#This Row],[Account Deposit Amount] ]-Table45[ [#This Row],[Account Withdrawl Amount] ], )</f>
        <v>0</v>
      </c>
    </row>
    <row r="96" spans="1:21" ht="16.2" thickBot="1">
      <c r="A96" s="130"/>
      <c r="B96" s="133"/>
      <c r="C96" s="130"/>
      <c r="D96" s="132"/>
      <c r="E96" s="128"/>
      <c r="F96" s="128"/>
      <c r="G96" s="131">
        <f t="shared" si="4"/>
        <v>17851.589999999997</v>
      </c>
      <c r="H96" s="130"/>
      <c r="I96" s="127">
        <f>IF(Table45[[#This Row],[CODE]]=1, Table45[ [#This Row],[Account Deposit Amount] ]-Table45[ [#This Row],[Account Withdrawl Amount] ], )</f>
        <v>0</v>
      </c>
      <c r="J96" s="129">
        <f>IF(Table45[[#This Row],[CODE]]=2, Table45[ [#This Row],[Account Deposit Amount] ]-Table45[ [#This Row],[Account Withdrawl Amount] ], )</f>
        <v>0</v>
      </c>
      <c r="K96" s="129">
        <f>IF(Table45[[#This Row],[CODE]]=3, Table45[ [#This Row],[Account Deposit Amount] ]-Table45[ [#This Row],[Account Withdrawl Amount] ], )</f>
        <v>0</v>
      </c>
      <c r="L96" s="128">
        <f>IF(Table45[[#This Row],[CODE]]=4, Table45[ [#This Row],[Account Deposit Amount] ]-Table45[ [#This Row],[Account Withdrawl Amount] ], )</f>
        <v>0</v>
      </c>
      <c r="M96" s="128">
        <f>IF(Table45[[#This Row],[CODE]]=5, Table45[ [#This Row],[Account Deposit Amount] ]-Table45[ [#This Row],[Account Withdrawl Amount] ], )</f>
        <v>0</v>
      </c>
      <c r="N96" s="128">
        <f>IF(Table45[[#This Row],[CODE]]=6, Table45[ [#This Row],[Account Deposit Amount] ]-Table45[ [#This Row],[Account Withdrawl Amount] ], )</f>
        <v>0</v>
      </c>
      <c r="O96" s="128">
        <f>IF(Table45[[#This Row],[CODE]]=11, Table45[ [#This Row],[Account Deposit Amount] ]-Table45[ [#This Row],[Account Withdrawl Amount] ], )</f>
        <v>0</v>
      </c>
      <c r="P96" s="128">
        <f>IF(Table45[[#This Row],[CODE]]=12, Table45[ [#This Row],[Account Deposit Amount] ]-Table45[ [#This Row],[Account Withdrawl Amount] ], )</f>
        <v>0</v>
      </c>
      <c r="Q96" s="128">
        <f>IF(Table45[[#This Row],[CODE]]=13, Table45[ [#This Row],[Account Deposit Amount] ]-Table45[ [#This Row],[Account Withdrawl Amount] ], )</f>
        <v>0</v>
      </c>
      <c r="R96" s="128">
        <f>IF(Table45[[#This Row],[CODE]]=14, Table45[ [#This Row],[Account Deposit Amount] ]-Table45[ [#This Row],[Account Withdrawl Amount] ], )</f>
        <v>0</v>
      </c>
      <c r="S96" s="128">
        <f>IF(Table45[[#This Row],[CODE]]=15, Table45[ [#This Row],[Account Deposit Amount] ]-Table45[ [#This Row],[Account Withdrawl Amount] ], )</f>
        <v>0</v>
      </c>
      <c r="T96" s="128">
        <f>IF(Table45[[#This Row],[CODE]]=16, Table45[ [#This Row],[Account Deposit Amount] ]-Table45[ [#This Row],[Account Withdrawl Amount] ], )</f>
        <v>0</v>
      </c>
      <c r="U96" s="127">
        <f>IF(Table45[[#This Row],[CODE]]=17, Table45[ [#This Row],[Account Deposit Amount] ]-Table45[ [#This Row],[Account Withdrawl Amount] ], )</f>
        <v>0</v>
      </c>
    </row>
    <row r="97" spans="1:21" ht="16.2" thickBot="1">
      <c r="A97" s="130"/>
      <c r="B97" s="133"/>
      <c r="C97" s="130"/>
      <c r="D97" s="132"/>
      <c r="E97" s="128"/>
      <c r="F97" s="128"/>
      <c r="G97" s="131">
        <f t="shared" si="4"/>
        <v>17851.589999999997</v>
      </c>
      <c r="H97" s="130"/>
      <c r="I97" s="127">
        <f>IF(Table45[[#This Row],[CODE]]=1, Table45[ [#This Row],[Account Deposit Amount] ]-Table45[ [#This Row],[Account Withdrawl Amount] ], )</f>
        <v>0</v>
      </c>
      <c r="J97" s="129">
        <f>IF(Table45[[#This Row],[CODE]]=2, Table45[ [#This Row],[Account Deposit Amount] ]-Table45[ [#This Row],[Account Withdrawl Amount] ], )</f>
        <v>0</v>
      </c>
      <c r="K97" s="129">
        <f>IF(Table45[[#This Row],[CODE]]=3, Table45[ [#This Row],[Account Deposit Amount] ]-Table45[ [#This Row],[Account Withdrawl Amount] ], )</f>
        <v>0</v>
      </c>
      <c r="L97" s="128">
        <f>IF(Table45[[#This Row],[CODE]]=4, Table45[ [#This Row],[Account Deposit Amount] ]-Table45[ [#This Row],[Account Withdrawl Amount] ], )</f>
        <v>0</v>
      </c>
      <c r="M97" s="128">
        <f>IF(Table45[[#This Row],[CODE]]=5, Table45[ [#This Row],[Account Deposit Amount] ]-Table45[ [#This Row],[Account Withdrawl Amount] ], )</f>
        <v>0</v>
      </c>
      <c r="N97" s="128">
        <f>IF(Table45[[#This Row],[CODE]]=6, Table45[ [#This Row],[Account Deposit Amount] ]-Table45[ [#This Row],[Account Withdrawl Amount] ], )</f>
        <v>0</v>
      </c>
      <c r="O97" s="128">
        <f>IF(Table45[[#This Row],[CODE]]=11, Table45[ [#This Row],[Account Deposit Amount] ]-Table45[ [#This Row],[Account Withdrawl Amount] ], )</f>
        <v>0</v>
      </c>
      <c r="P97" s="128">
        <f>IF(Table45[[#This Row],[CODE]]=12, Table45[ [#This Row],[Account Deposit Amount] ]-Table45[ [#This Row],[Account Withdrawl Amount] ], )</f>
        <v>0</v>
      </c>
      <c r="Q97" s="128">
        <f>IF(Table45[[#This Row],[CODE]]=13, Table45[ [#This Row],[Account Deposit Amount] ]-Table45[ [#This Row],[Account Withdrawl Amount] ], )</f>
        <v>0</v>
      </c>
      <c r="R97" s="128">
        <f>IF(Table45[[#This Row],[CODE]]=14, Table45[ [#This Row],[Account Deposit Amount] ]-Table45[ [#This Row],[Account Withdrawl Amount] ], )</f>
        <v>0</v>
      </c>
      <c r="S97" s="128">
        <f>IF(Table45[[#This Row],[CODE]]=15, Table45[ [#This Row],[Account Deposit Amount] ]-Table45[ [#This Row],[Account Withdrawl Amount] ], )</f>
        <v>0</v>
      </c>
      <c r="T97" s="128">
        <f>IF(Table45[[#This Row],[CODE]]=16, Table45[ [#This Row],[Account Deposit Amount] ]-Table45[ [#This Row],[Account Withdrawl Amount] ], )</f>
        <v>0</v>
      </c>
      <c r="U97" s="127">
        <f>IF(Table45[[#This Row],[CODE]]=17, Table45[ [#This Row],[Account Deposit Amount] ]-Table45[ [#This Row],[Account Withdrawl Amount] ], )</f>
        <v>0</v>
      </c>
    </row>
    <row r="98" spans="1:21" ht="16.2" thickBot="1">
      <c r="A98" s="130"/>
      <c r="B98" s="133"/>
      <c r="C98" s="130"/>
      <c r="D98" s="132"/>
      <c r="E98" s="128"/>
      <c r="F98" s="128"/>
      <c r="G98" s="131">
        <f t="shared" si="4"/>
        <v>17851.589999999997</v>
      </c>
      <c r="H98" s="130"/>
      <c r="I98" s="127">
        <f>IF(Table45[[#This Row],[CODE]]=1, Table45[ [#This Row],[Account Deposit Amount] ]-Table45[ [#This Row],[Account Withdrawl Amount] ], )</f>
        <v>0</v>
      </c>
      <c r="J98" s="129">
        <f>IF(Table45[[#This Row],[CODE]]=2, Table45[ [#This Row],[Account Deposit Amount] ]-Table45[ [#This Row],[Account Withdrawl Amount] ], )</f>
        <v>0</v>
      </c>
      <c r="K98" s="129">
        <f>IF(Table45[[#This Row],[CODE]]=3, Table45[ [#This Row],[Account Deposit Amount] ]-Table45[ [#This Row],[Account Withdrawl Amount] ], )</f>
        <v>0</v>
      </c>
      <c r="L98" s="128">
        <f>IF(Table45[[#This Row],[CODE]]=4, Table45[ [#This Row],[Account Deposit Amount] ]-Table45[ [#This Row],[Account Withdrawl Amount] ], )</f>
        <v>0</v>
      </c>
      <c r="M98" s="128">
        <f>IF(Table45[[#This Row],[CODE]]=5, Table45[ [#This Row],[Account Deposit Amount] ]-Table45[ [#This Row],[Account Withdrawl Amount] ], )</f>
        <v>0</v>
      </c>
      <c r="N98" s="128">
        <f>IF(Table45[[#This Row],[CODE]]=6, Table45[ [#This Row],[Account Deposit Amount] ]-Table45[ [#This Row],[Account Withdrawl Amount] ], )</f>
        <v>0</v>
      </c>
      <c r="O98" s="128">
        <f>IF(Table45[[#This Row],[CODE]]=11, Table45[ [#This Row],[Account Deposit Amount] ]-Table45[ [#This Row],[Account Withdrawl Amount] ], )</f>
        <v>0</v>
      </c>
      <c r="P98" s="128">
        <f>IF(Table45[[#This Row],[CODE]]=12, Table45[ [#This Row],[Account Deposit Amount] ]-Table45[ [#This Row],[Account Withdrawl Amount] ], )</f>
        <v>0</v>
      </c>
      <c r="Q98" s="128">
        <f>IF(Table45[[#This Row],[CODE]]=13, Table45[ [#This Row],[Account Deposit Amount] ]-Table45[ [#This Row],[Account Withdrawl Amount] ], )</f>
        <v>0</v>
      </c>
      <c r="R98" s="128">
        <f>IF(Table45[[#This Row],[CODE]]=14, Table45[ [#This Row],[Account Deposit Amount] ]-Table45[ [#This Row],[Account Withdrawl Amount] ], )</f>
        <v>0</v>
      </c>
      <c r="S98" s="128">
        <f>IF(Table45[[#This Row],[CODE]]=15, Table45[ [#This Row],[Account Deposit Amount] ]-Table45[ [#This Row],[Account Withdrawl Amount] ], )</f>
        <v>0</v>
      </c>
      <c r="T98" s="128">
        <f>IF(Table45[[#This Row],[CODE]]=16, Table45[ [#This Row],[Account Deposit Amount] ]-Table45[ [#This Row],[Account Withdrawl Amount] ], )</f>
        <v>0</v>
      </c>
      <c r="U98" s="127">
        <f>IF(Table45[[#This Row],[CODE]]=17, Table45[ [#This Row],[Account Deposit Amount] ]-Table45[ [#This Row],[Account Withdrawl Amount] ], )</f>
        <v>0</v>
      </c>
    </row>
    <row r="99" spans="1:21" ht="16.2" thickBot="1">
      <c r="A99" s="130"/>
      <c r="B99" s="133"/>
      <c r="C99" s="130"/>
      <c r="D99" s="132"/>
      <c r="E99" s="128"/>
      <c r="F99" s="128"/>
      <c r="G99" s="131">
        <f t="shared" si="4"/>
        <v>17851.589999999997</v>
      </c>
      <c r="H99" s="130"/>
      <c r="I99" s="127">
        <f>IF(Table45[[#This Row],[CODE]]=1, Table45[ [#This Row],[Account Deposit Amount] ]-Table45[ [#This Row],[Account Withdrawl Amount] ], )</f>
        <v>0</v>
      </c>
      <c r="J99" s="129">
        <f>IF(Table45[[#This Row],[CODE]]=2, Table45[ [#This Row],[Account Deposit Amount] ]-Table45[ [#This Row],[Account Withdrawl Amount] ], )</f>
        <v>0</v>
      </c>
      <c r="K99" s="129">
        <f>IF(Table45[[#This Row],[CODE]]=3, Table45[ [#This Row],[Account Deposit Amount] ]-Table45[ [#This Row],[Account Withdrawl Amount] ], )</f>
        <v>0</v>
      </c>
      <c r="L99" s="128">
        <f>IF(Table45[[#This Row],[CODE]]=4, Table45[ [#This Row],[Account Deposit Amount] ]-Table45[ [#This Row],[Account Withdrawl Amount] ], )</f>
        <v>0</v>
      </c>
      <c r="M99" s="128">
        <f>IF(Table45[[#This Row],[CODE]]=5, Table45[ [#This Row],[Account Deposit Amount] ]-Table45[ [#This Row],[Account Withdrawl Amount] ], )</f>
        <v>0</v>
      </c>
      <c r="N99" s="128">
        <f>IF(Table45[[#This Row],[CODE]]=6, Table45[ [#This Row],[Account Deposit Amount] ]-Table45[ [#This Row],[Account Withdrawl Amount] ], )</f>
        <v>0</v>
      </c>
      <c r="O99" s="128">
        <f>IF(Table45[[#This Row],[CODE]]=11, Table45[ [#This Row],[Account Deposit Amount] ]-Table45[ [#This Row],[Account Withdrawl Amount] ], )</f>
        <v>0</v>
      </c>
      <c r="P99" s="128">
        <f>IF(Table45[[#This Row],[CODE]]=12, Table45[ [#This Row],[Account Deposit Amount] ]-Table45[ [#This Row],[Account Withdrawl Amount] ], )</f>
        <v>0</v>
      </c>
      <c r="Q99" s="128">
        <f>IF(Table45[[#This Row],[CODE]]=13, Table45[ [#This Row],[Account Deposit Amount] ]-Table45[ [#This Row],[Account Withdrawl Amount] ], )</f>
        <v>0</v>
      </c>
      <c r="R99" s="128">
        <f>IF(Table45[[#This Row],[CODE]]=14, Table45[ [#This Row],[Account Deposit Amount] ]-Table45[ [#This Row],[Account Withdrawl Amount] ], )</f>
        <v>0</v>
      </c>
      <c r="S99" s="128">
        <f>IF(Table45[[#This Row],[CODE]]=15, Table45[ [#This Row],[Account Deposit Amount] ]-Table45[ [#This Row],[Account Withdrawl Amount] ], )</f>
        <v>0</v>
      </c>
      <c r="T99" s="128">
        <f>IF(Table45[[#This Row],[CODE]]=16, Table45[ [#This Row],[Account Deposit Amount] ]-Table45[ [#This Row],[Account Withdrawl Amount] ], )</f>
        <v>0</v>
      </c>
      <c r="U99" s="127">
        <f>IF(Table45[[#This Row],[CODE]]=17, Table45[ [#This Row],[Account Deposit Amount] ]-Table45[ [#This Row],[Account Withdrawl Amount] ], )</f>
        <v>0</v>
      </c>
    </row>
    <row r="100" spans="1:21" ht="16.2" thickBot="1">
      <c r="A100" s="130"/>
      <c r="B100" s="133"/>
      <c r="C100" s="130"/>
      <c r="D100" s="132"/>
      <c r="E100" s="128"/>
      <c r="F100" s="128"/>
      <c r="G100" s="131">
        <f t="shared" si="4"/>
        <v>17851.589999999997</v>
      </c>
      <c r="H100" s="130"/>
      <c r="I100" s="127">
        <f>IF(Table45[[#This Row],[CODE]]=1, Table45[ [#This Row],[Account Deposit Amount] ]-Table45[ [#This Row],[Account Withdrawl Amount] ], )</f>
        <v>0</v>
      </c>
      <c r="J100" s="129">
        <f>IF(Table45[[#This Row],[CODE]]=2, Table45[ [#This Row],[Account Deposit Amount] ]-Table45[ [#This Row],[Account Withdrawl Amount] ], )</f>
        <v>0</v>
      </c>
      <c r="K100" s="129">
        <f>IF(Table45[[#This Row],[CODE]]=3, Table45[ [#This Row],[Account Deposit Amount] ]-Table45[ [#This Row],[Account Withdrawl Amount] ], )</f>
        <v>0</v>
      </c>
      <c r="L100" s="128">
        <f>IF(Table45[[#This Row],[CODE]]=4, Table45[ [#This Row],[Account Deposit Amount] ]-Table45[ [#This Row],[Account Withdrawl Amount] ], )</f>
        <v>0</v>
      </c>
      <c r="M100" s="128">
        <f>IF(Table45[[#This Row],[CODE]]=5, Table45[ [#This Row],[Account Deposit Amount] ]-Table45[ [#This Row],[Account Withdrawl Amount] ], )</f>
        <v>0</v>
      </c>
      <c r="N100" s="128">
        <f>IF(Table45[[#This Row],[CODE]]=6, Table45[ [#This Row],[Account Deposit Amount] ]-Table45[ [#This Row],[Account Withdrawl Amount] ], )</f>
        <v>0</v>
      </c>
      <c r="O100" s="128">
        <f>IF(Table45[[#This Row],[CODE]]=11, Table45[ [#This Row],[Account Deposit Amount] ]-Table45[ [#This Row],[Account Withdrawl Amount] ], )</f>
        <v>0</v>
      </c>
      <c r="P100" s="128">
        <f>IF(Table45[[#This Row],[CODE]]=12, Table45[ [#This Row],[Account Deposit Amount] ]-Table45[ [#This Row],[Account Withdrawl Amount] ], )</f>
        <v>0</v>
      </c>
      <c r="Q100" s="128">
        <f>IF(Table45[[#This Row],[CODE]]=13, Table45[ [#This Row],[Account Deposit Amount] ]-Table45[ [#This Row],[Account Withdrawl Amount] ], )</f>
        <v>0</v>
      </c>
      <c r="R100" s="128">
        <f>IF(Table45[[#This Row],[CODE]]=14, Table45[ [#This Row],[Account Deposit Amount] ]-Table45[ [#This Row],[Account Withdrawl Amount] ], )</f>
        <v>0</v>
      </c>
      <c r="S100" s="128">
        <f>IF(Table45[[#This Row],[CODE]]=15, Table45[ [#This Row],[Account Deposit Amount] ]-Table45[ [#This Row],[Account Withdrawl Amount] ], )</f>
        <v>0</v>
      </c>
      <c r="T100" s="128">
        <f>IF(Table45[[#This Row],[CODE]]=16, Table45[ [#This Row],[Account Deposit Amount] ]-Table45[ [#This Row],[Account Withdrawl Amount] ], )</f>
        <v>0</v>
      </c>
      <c r="U100" s="127">
        <f>IF(Table45[[#This Row],[CODE]]=17, Table45[ [#This Row],[Account Deposit Amount] ]-Table45[ [#This Row],[Account Withdrawl Amount] ], )</f>
        <v>0</v>
      </c>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8A5E-DAE3-46EE-AAD6-D6B564AC8DB1}">
  <dimension ref="A1:AA100"/>
  <sheetViews>
    <sheetView zoomScale="70" zoomScaleNormal="70" workbookViewId="0">
      <selection activeCell="G4" sqref="G4"/>
    </sheetView>
  </sheetViews>
  <sheetFormatPr defaultColWidth="12.44140625" defaultRowHeight="15.6"/>
  <cols>
    <col min="1" max="2" width="12.44140625" style="126"/>
    <col min="3" max="3" width="27.44140625" style="126" customWidth="1"/>
    <col min="4" max="16384" width="12.44140625" style="126"/>
  </cols>
  <sheetData>
    <row r="1" spans="1:27" s="4" customFormat="1" ht="15.75" customHeight="1" thickBot="1">
      <c r="A1" s="16"/>
      <c r="B1" s="2"/>
      <c r="C1" s="1"/>
      <c r="D1" s="1"/>
      <c r="E1" s="29"/>
      <c r="F1" s="30"/>
      <c r="G1" s="3" t="s">
        <v>180</v>
      </c>
      <c r="H1" s="3"/>
      <c r="I1" s="338" t="s">
        <v>49</v>
      </c>
      <c r="J1" s="339"/>
      <c r="K1" s="339"/>
      <c r="L1" s="339"/>
      <c r="M1" s="340">
        <f>SUM(I2:N2)</f>
        <v>9366.5600000000013</v>
      </c>
      <c r="N1" s="340"/>
      <c r="O1" s="344" t="s">
        <v>50</v>
      </c>
      <c r="P1" s="344"/>
      <c r="Q1" s="344"/>
      <c r="R1" s="344"/>
      <c r="S1" s="344"/>
      <c r="T1" s="344"/>
      <c r="U1" s="342">
        <f>SUM(O2:V2)</f>
        <v>257.95</v>
      </c>
      <c r="V1" s="343"/>
      <c r="W1" s="1"/>
      <c r="X1" s="1"/>
      <c r="Y1" s="1"/>
      <c r="Z1" s="1"/>
      <c r="AA1" s="1"/>
    </row>
    <row r="2" spans="1:27" s="4" customFormat="1" ht="12.6" thickBot="1">
      <c r="A2" s="1"/>
      <c r="B2" s="2"/>
      <c r="C2" s="1"/>
      <c r="D2" s="1" t="s">
        <v>51</v>
      </c>
      <c r="E2" s="5">
        <f>SUM(E4:E1173)</f>
        <v>9994.380000000001</v>
      </c>
      <c r="F2" s="5">
        <f>SUM(F4:F1173)</f>
        <v>369.87</v>
      </c>
      <c r="G2" s="6">
        <f>G4+E2-F2</f>
        <v>27476.099999999995</v>
      </c>
      <c r="H2" s="81"/>
      <c r="I2" s="7">
        <f t="shared" ref="I2:T2" si="0">SUM(I4:I1173)</f>
        <v>0</v>
      </c>
      <c r="J2" s="8">
        <f t="shared" si="0"/>
        <v>9307.380000000001</v>
      </c>
      <c r="K2" s="8">
        <f t="shared" si="0"/>
        <v>0</v>
      </c>
      <c r="L2" s="7">
        <f t="shared" si="0"/>
        <v>67</v>
      </c>
      <c r="M2" s="7">
        <f t="shared" si="0"/>
        <v>0</v>
      </c>
      <c r="N2" s="7">
        <f t="shared" si="0"/>
        <v>-7.82</v>
      </c>
      <c r="O2" s="9">
        <f t="shared" si="0"/>
        <v>25</v>
      </c>
      <c r="P2" s="9">
        <f t="shared" si="0"/>
        <v>0</v>
      </c>
      <c r="Q2" s="9">
        <f t="shared" si="0"/>
        <v>232.95</v>
      </c>
      <c r="R2" s="9">
        <f t="shared" si="0"/>
        <v>0</v>
      </c>
      <c r="S2" s="9">
        <f t="shared" si="0"/>
        <v>0</v>
      </c>
      <c r="T2" s="9">
        <f t="shared" si="0"/>
        <v>0</v>
      </c>
      <c r="U2" s="9">
        <f t="shared" ref="U2:V2" si="1">SUM(U4:U1006)</f>
        <v>0</v>
      </c>
      <c r="V2" s="9">
        <f t="shared" si="1"/>
        <v>0</v>
      </c>
      <c r="W2" s="1"/>
      <c r="X2" s="1"/>
      <c r="Y2" s="1"/>
      <c r="Z2" s="1"/>
      <c r="AA2" s="1"/>
    </row>
    <row r="3" spans="1:27"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6" t="s">
        <v>198</v>
      </c>
      <c r="W3" s="14"/>
      <c r="X3" s="14"/>
      <c r="Y3" s="14"/>
      <c r="Z3" s="14"/>
      <c r="AA3" s="14"/>
    </row>
    <row r="4" spans="1:27" ht="16.2" thickBot="1">
      <c r="A4" s="138"/>
      <c r="B4" s="139">
        <v>44958</v>
      </c>
      <c r="C4" s="146" t="s">
        <v>458</v>
      </c>
      <c r="D4" s="138"/>
      <c r="E4" s="145"/>
      <c r="F4" s="144"/>
      <c r="G4" s="143">
        <f>Jan!G2</f>
        <v>17851.589999999993</v>
      </c>
      <c r="H4" s="155"/>
      <c r="I4" s="127">
        <f>IF(Table46[[#This Row],[CODE]]=1, Table46[ [#This Row],[Account Deposit Amount] ]-Table46[ [#This Row],[Account Withdrawl Amount] ], )</f>
        <v>0</v>
      </c>
      <c r="J4" s="142">
        <f>IF(Table46[[#This Row],[CODE]]=2, Table46[ [#This Row],[Account Deposit Amount] ]-Table46[ [#This Row],[Account Withdrawl Amount] ], )</f>
        <v>0</v>
      </c>
      <c r="K4" s="142">
        <f>IF(Table46[[#This Row],[CODE]]=3, Table46[ [#This Row],[Account Deposit Amount] ]-Table46[ [#This Row],[Account Withdrawl Amount] ], )</f>
        <v>0</v>
      </c>
      <c r="L4" s="141">
        <f>IF(Table46[[#This Row],[CODE]]=4, Table46[ [#This Row],[Account Deposit Amount] ]-Table46[ [#This Row],[Account Withdrawl Amount] ], )</f>
        <v>0</v>
      </c>
      <c r="M4" s="141">
        <f>IF(Table46[[#This Row],[CODE]]=5, Table46[ [#This Row],[Account Deposit Amount] ]-Table46[ [#This Row],[Account Withdrawl Amount] ], )</f>
        <v>0</v>
      </c>
      <c r="N4" s="141">
        <f>IF(Table46[[#This Row],[CODE]]=6, Table46[ [#This Row],[Account Deposit Amount] ]-Table46[ [#This Row],[Account Withdrawl Amount] ], )</f>
        <v>0</v>
      </c>
      <c r="O4" s="141">
        <f>IF(Table46[[#This Row],[CODE]]=11, Table46[ [#This Row],[Account Deposit Amount] ]-Table46[ [#This Row],[Account Withdrawl Amount] ], )</f>
        <v>0</v>
      </c>
      <c r="P4" s="141">
        <f>IF(Table46[[#This Row],[CODE]]=12, Table46[ [#This Row],[Account Deposit Amount] ]-Table46[ [#This Row],[Account Withdrawl Amount] ], )</f>
        <v>0</v>
      </c>
      <c r="Q4" s="141">
        <f>IF(Table46[[#This Row],[CODE]]=13, Table46[ [#This Row],[Account Deposit Amount] ]-Table46[ [#This Row],[Account Withdrawl Amount] ], )</f>
        <v>0</v>
      </c>
      <c r="R4" s="141">
        <f>IF(Table46[[#This Row],[CODE]]=14, Table46[ [#This Row],[Account Deposit Amount] ]-Table46[ [#This Row],[Account Withdrawl Amount] ], )</f>
        <v>0</v>
      </c>
      <c r="S4" s="141">
        <f>IF(Table46[[#This Row],[CODE]]=15, Table46[ [#This Row],[Account Deposit Amount] ]-Table46[ [#This Row],[Account Withdrawl Amount] ], )</f>
        <v>0</v>
      </c>
      <c r="T4" s="141">
        <f>IF(Table46[[#This Row],[CODE]]=16, Table46[ [#This Row],[Account Deposit Amount] ]-Table46[ [#This Row],[Account Withdrawl Amount] ], )</f>
        <v>0</v>
      </c>
      <c r="U4" s="141">
        <f>IF(Table46[[#This Row],[CODE]]=17, Table46[ [#This Row],[Account Deposit Amount] ]-Table46[ [#This Row],[Account Withdrawl Amount] ], )</f>
        <v>0</v>
      </c>
    </row>
    <row r="5" spans="1:27" ht="16.2" thickBot="1">
      <c r="A5" s="150" t="s">
        <v>241</v>
      </c>
      <c r="B5" s="151">
        <v>44964</v>
      </c>
      <c r="C5" s="150" t="s">
        <v>362</v>
      </c>
      <c r="D5" s="152" t="s">
        <v>459</v>
      </c>
      <c r="E5" s="150"/>
      <c r="F5" s="150">
        <v>12.99</v>
      </c>
      <c r="G5" s="134">
        <f t="shared" ref="G5:G36" si="2">G4+E5-F5</f>
        <v>17838.599999999991</v>
      </c>
      <c r="H5" s="138">
        <v>13</v>
      </c>
      <c r="I5" s="127">
        <f>IF(Table46[[#This Row],[CODE]]=1, Table46[ [#This Row],[Account Deposit Amount] ]-Table46[ [#This Row],[Account Withdrawl Amount] ], )</f>
        <v>0</v>
      </c>
      <c r="J5" s="137">
        <f>IF(Table46[[#This Row],[CODE]]=2, Table46[ [#This Row],[Account Deposit Amount] ]-Table46[ [#This Row],[Account Withdrawl Amount] ], )</f>
        <v>0</v>
      </c>
      <c r="K5" s="137">
        <f>IF(Table46[[#This Row],[CODE]]=3, Table46[ [#This Row],[Account Deposit Amount] ]-Table46[ [#This Row],[Account Withdrawl Amount] ], )</f>
        <v>0</v>
      </c>
      <c r="L5" s="136">
        <f>IF(Table46[[#This Row],[CODE]]=4, Table46[ [#This Row],[Account Deposit Amount] ]-Table46[ [#This Row],[Account Withdrawl Amount] ], )</f>
        <v>0</v>
      </c>
      <c r="M5" s="136">
        <f>IF(Table46[[#This Row],[CODE]]=5, Table46[ [#This Row],[Account Deposit Amount] ]-Table46[ [#This Row],[Account Withdrawl Amount] ], )</f>
        <v>0</v>
      </c>
      <c r="N5" s="136">
        <f>IF(Table46[[#This Row],[CODE]]=6, Table46[ [#This Row],[Account Deposit Amount] ]-Table46[ [#This Row],[Account Withdrawl Amount] ], )</f>
        <v>0</v>
      </c>
      <c r="O5" s="136">
        <f>IF(Table46[[#This Row],[CODE]]=11, Table46[ [#This Row],[Account Deposit Amount] ]-Table46[ [#This Row],[Account Withdrawl Amount] ], )</f>
        <v>0</v>
      </c>
      <c r="P5" s="136">
        <f>IF(Table46[[#This Row],[CODE]]=12, Table46[ [#This Row],[Account Deposit Amount] ]-Table46[ [#This Row],[Account Withdrawl Amount] ], )</f>
        <v>0</v>
      </c>
      <c r="Q5" s="136">
        <f>IF(Table46[[#This Row],[CODE]]=13, Table46[ [#This Row],[Account Deposit Amount] ]-Table46[ [#This Row],[Account Withdrawl Amount] ], )</f>
        <v>-12.99</v>
      </c>
      <c r="R5" s="136">
        <f>IF(Table46[[#This Row],[CODE]]=14, Table46[ [#This Row],[Account Deposit Amount] ]-Table46[ [#This Row],[Account Withdrawl Amount] ], )</f>
        <v>0</v>
      </c>
      <c r="S5" s="136">
        <f>IF(Table46[[#This Row],[CODE]]=15, Table46[ [#This Row],[Account Deposit Amount] ]-Table46[ [#This Row],[Account Withdrawl Amount] ], )</f>
        <v>0</v>
      </c>
      <c r="T5" s="136">
        <f>IF(Table46[[#This Row],[CODE]]=16, Table46[ [#This Row],[Account Deposit Amount] ]-Table46[ [#This Row],[Account Withdrawl Amount] ], )</f>
        <v>0</v>
      </c>
      <c r="U5" s="135">
        <f>IF(Table46[[#This Row],[CODE]]=17, Table46[ [#This Row],[Account Deposit Amount] ]-Table46[ [#This Row],[Account Withdrawl Amount] ], )</f>
        <v>0</v>
      </c>
    </row>
    <row r="6" spans="1:27" ht="16.2" thickBot="1">
      <c r="A6" s="150" t="s">
        <v>238</v>
      </c>
      <c r="B6" s="151">
        <v>44966</v>
      </c>
      <c r="C6" s="150" t="s">
        <v>460</v>
      </c>
      <c r="D6" s="150" t="s">
        <v>461</v>
      </c>
      <c r="E6" s="128">
        <v>25</v>
      </c>
      <c r="F6" s="150"/>
      <c r="G6" s="134">
        <f t="shared" si="2"/>
        <v>17863.599999999991</v>
      </c>
      <c r="H6" s="130">
        <v>13</v>
      </c>
      <c r="I6" s="127">
        <f>IF(Table46[[#This Row],[CODE]]=1, Table46[ [#This Row],[Account Deposit Amount] ]-Table46[ [#This Row],[Account Withdrawl Amount] ], )</f>
        <v>0</v>
      </c>
      <c r="J6" s="129">
        <f>IF(Table46[[#This Row],[CODE]]=2, Table46[ [#This Row],[Account Deposit Amount] ]-Table46[ [#This Row],[Account Withdrawl Amount] ], )</f>
        <v>0</v>
      </c>
      <c r="K6" s="129">
        <f>IF(Table46[[#This Row],[CODE]]=3, Table46[ [#This Row],[Account Deposit Amount] ]-Table46[ [#This Row],[Account Withdrawl Amount] ], )</f>
        <v>0</v>
      </c>
      <c r="L6" s="128">
        <f>IF(Table46[[#This Row],[CODE]]=4, Table46[ [#This Row],[Account Deposit Amount] ]-Table46[ [#This Row],[Account Withdrawl Amount] ], )</f>
        <v>0</v>
      </c>
      <c r="M6" s="128">
        <f>IF(Table46[[#This Row],[CODE]]=5, Table46[ [#This Row],[Account Deposit Amount] ]-Table46[ [#This Row],[Account Withdrawl Amount] ], )</f>
        <v>0</v>
      </c>
      <c r="N6" s="128">
        <f>IF(Table46[[#This Row],[CODE]]=6, Table46[ [#This Row],[Account Deposit Amount] ]-Table46[ [#This Row],[Account Withdrawl Amount] ], )</f>
        <v>0</v>
      </c>
      <c r="O6" s="128">
        <f>IF(Table46[[#This Row],[CODE]]=11, Table46[ [#This Row],[Account Deposit Amount] ]-Table46[ [#This Row],[Account Withdrawl Amount] ], )</f>
        <v>0</v>
      </c>
      <c r="P6" s="128">
        <f>IF(Table46[[#This Row],[CODE]]=12, Table46[ [#This Row],[Account Deposit Amount] ]-Table46[ [#This Row],[Account Withdrawl Amount] ], )</f>
        <v>0</v>
      </c>
      <c r="Q6" s="128">
        <f>IF(Table46[[#This Row],[CODE]]=13, Table46[ [#This Row],[Account Deposit Amount] ]-Table46[ [#This Row],[Account Withdrawl Amount] ], )</f>
        <v>25</v>
      </c>
      <c r="R6" s="128">
        <f>IF(Table46[[#This Row],[CODE]]=14, Table46[ [#This Row],[Account Deposit Amount] ]-Table46[ [#This Row],[Account Withdrawl Amount] ], )</f>
        <v>0</v>
      </c>
      <c r="S6" s="128">
        <f>IF(Table46[[#This Row],[CODE]]=15, Table46[ [#This Row],[Account Deposit Amount] ]-Table46[ [#This Row],[Account Withdrawl Amount] ], )</f>
        <v>0</v>
      </c>
      <c r="T6" s="128">
        <f>IF(Table46[[#This Row],[CODE]]=16, Table46[ [#This Row],[Account Deposit Amount] ]-Table46[ [#This Row],[Account Withdrawl Amount] ], )</f>
        <v>0</v>
      </c>
      <c r="U6" s="127">
        <f>IF(Table46[[#This Row],[CODE]]=17, Table46[ [#This Row],[Account Deposit Amount] ]-Table46[ [#This Row],[Account Withdrawl Amount] ], )</f>
        <v>0</v>
      </c>
    </row>
    <row r="7" spans="1:27" ht="16.2" thickBot="1">
      <c r="A7" s="150" t="s">
        <v>238</v>
      </c>
      <c r="B7" s="151">
        <v>44966</v>
      </c>
      <c r="C7" s="150" t="s">
        <v>462</v>
      </c>
      <c r="D7" s="150" t="s">
        <v>285</v>
      </c>
      <c r="E7" s="128">
        <v>270</v>
      </c>
      <c r="F7" s="150"/>
      <c r="G7" s="134">
        <f t="shared" si="2"/>
        <v>18133.599999999991</v>
      </c>
      <c r="H7" s="130">
        <v>13</v>
      </c>
      <c r="I7" s="127">
        <f>IF(Table46[[#This Row],[CODE]]=1, Table46[ [#This Row],[Account Deposit Amount] ]-Table46[ [#This Row],[Account Withdrawl Amount] ], )</f>
        <v>0</v>
      </c>
      <c r="J7" s="129">
        <f>IF(Table46[[#This Row],[CODE]]=2, Table46[ [#This Row],[Account Deposit Amount] ]-Table46[ [#This Row],[Account Withdrawl Amount] ], )</f>
        <v>0</v>
      </c>
      <c r="K7" s="129">
        <f>IF(Table46[[#This Row],[CODE]]=3, Table46[ [#This Row],[Account Deposit Amount] ]-Table46[ [#This Row],[Account Withdrawl Amount] ], )</f>
        <v>0</v>
      </c>
      <c r="L7" s="128">
        <f>IF(Table46[[#This Row],[CODE]]=4, Table46[ [#This Row],[Account Deposit Amount] ]-Table46[ [#This Row],[Account Withdrawl Amount] ], )</f>
        <v>0</v>
      </c>
      <c r="M7" s="128">
        <f>IF(Table46[[#This Row],[CODE]]=5, Table46[ [#This Row],[Account Deposit Amount] ]-Table46[ [#This Row],[Account Withdrawl Amount] ], )</f>
        <v>0</v>
      </c>
      <c r="N7" s="128">
        <f>IF(Table46[[#This Row],[CODE]]=6, Table46[ [#This Row],[Account Deposit Amount] ]-Table46[ [#This Row],[Account Withdrawl Amount] ], )</f>
        <v>0</v>
      </c>
      <c r="O7" s="128">
        <f>IF(Table46[[#This Row],[CODE]]=11, Table46[ [#This Row],[Account Deposit Amount] ]-Table46[ [#This Row],[Account Withdrawl Amount] ], )</f>
        <v>0</v>
      </c>
      <c r="P7" s="128">
        <f>IF(Table46[[#This Row],[CODE]]=12, Table46[ [#This Row],[Account Deposit Amount] ]-Table46[ [#This Row],[Account Withdrawl Amount] ], )</f>
        <v>0</v>
      </c>
      <c r="Q7" s="128">
        <f>IF(Table46[[#This Row],[CODE]]=13, Table46[ [#This Row],[Account Deposit Amount] ]-Table46[ [#This Row],[Account Withdrawl Amount] ], )</f>
        <v>270</v>
      </c>
      <c r="R7" s="128">
        <f>IF(Table46[[#This Row],[CODE]]=14, Table46[ [#This Row],[Account Deposit Amount] ]-Table46[ [#This Row],[Account Withdrawl Amount] ], )</f>
        <v>0</v>
      </c>
      <c r="S7" s="128">
        <f>IF(Table46[[#This Row],[CODE]]=15, Table46[ [#This Row],[Account Deposit Amount] ]-Table46[ [#This Row],[Account Withdrawl Amount] ], )</f>
        <v>0</v>
      </c>
      <c r="T7" s="128">
        <f>IF(Table46[[#This Row],[CODE]]=16, Table46[ [#This Row],[Account Deposit Amount] ]-Table46[ [#This Row],[Account Withdrawl Amount] ], )</f>
        <v>0</v>
      </c>
      <c r="U7" s="127">
        <f>IF(Table46[[#This Row],[CODE]]=17, Table46[ [#This Row],[Account Deposit Amount] ]-Table46[ [#This Row],[Account Withdrawl Amount] ], )</f>
        <v>0</v>
      </c>
    </row>
    <row r="8" spans="1:27" ht="16.2" thickBot="1">
      <c r="A8" s="150" t="s">
        <v>463</v>
      </c>
      <c r="B8" s="151">
        <v>44972</v>
      </c>
      <c r="C8" s="150" t="s">
        <v>464</v>
      </c>
      <c r="D8" s="150" t="s">
        <v>285</v>
      </c>
      <c r="E8" s="128"/>
      <c r="F8" s="150">
        <v>30</v>
      </c>
      <c r="G8" s="134">
        <f t="shared" si="2"/>
        <v>18103.599999999991</v>
      </c>
      <c r="H8" s="130">
        <v>13</v>
      </c>
      <c r="I8" s="127">
        <f>IF(Table46[[#This Row],[CODE]]=1, Table46[ [#This Row],[Account Deposit Amount] ]-Table46[ [#This Row],[Account Withdrawl Amount] ], )</f>
        <v>0</v>
      </c>
      <c r="J8" s="129">
        <f>IF(Table46[[#This Row],[CODE]]=2, Table46[ [#This Row],[Account Deposit Amount] ]-Table46[ [#This Row],[Account Withdrawl Amount] ], )</f>
        <v>0</v>
      </c>
      <c r="K8" s="129">
        <f>IF(Table46[[#This Row],[CODE]]=3, Table46[ [#This Row],[Account Deposit Amount] ]-Table46[ [#This Row],[Account Withdrawl Amount] ], )</f>
        <v>0</v>
      </c>
      <c r="L8" s="128">
        <f>IF(Table46[[#This Row],[CODE]]=4, Table46[ [#This Row],[Account Deposit Amount] ]-Table46[ [#This Row],[Account Withdrawl Amount] ], )</f>
        <v>0</v>
      </c>
      <c r="M8" s="128">
        <f>IF(Table46[[#This Row],[CODE]]=5, Table46[ [#This Row],[Account Deposit Amount] ]-Table46[ [#This Row],[Account Withdrawl Amount] ], )</f>
        <v>0</v>
      </c>
      <c r="N8" s="128">
        <f>IF(Table46[[#This Row],[CODE]]=6, Table46[ [#This Row],[Account Deposit Amount] ]-Table46[ [#This Row],[Account Withdrawl Amount] ], )</f>
        <v>0</v>
      </c>
      <c r="O8" s="128">
        <f>IF(Table46[[#This Row],[CODE]]=11, Table46[ [#This Row],[Account Deposit Amount] ]-Table46[ [#This Row],[Account Withdrawl Amount] ], )</f>
        <v>0</v>
      </c>
      <c r="P8" s="128">
        <f>IF(Table46[[#This Row],[CODE]]=12, Table46[ [#This Row],[Account Deposit Amount] ]-Table46[ [#This Row],[Account Withdrawl Amount] ], )</f>
        <v>0</v>
      </c>
      <c r="Q8" s="128">
        <f>IF(Table46[[#This Row],[CODE]]=13, Table46[ [#This Row],[Account Deposit Amount] ]-Table46[ [#This Row],[Account Withdrawl Amount] ], )</f>
        <v>-30</v>
      </c>
      <c r="R8" s="128">
        <f>IF(Table46[[#This Row],[CODE]]=14, Table46[ [#This Row],[Account Deposit Amount] ]-Table46[ [#This Row],[Account Withdrawl Amount] ], )</f>
        <v>0</v>
      </c>
      <c r="S8" s="128">
        <f>IF(Table46[[#This Row],[CODE]]=15, Table46[ [#This Row],[Account Deposit Amount] ]-Table46[ [#This Row],[Account Withdrawl Amount] ], )</f>
        <v>0</v>
      </c>
      <c r="T8" s="128">
        <f>IF(Table46[[#This Row],[CODE]]=16, Table46[ [#This Row],[Account Deposit Amount] ]-Table46[ [#This Row],[Account Withdrawl Amount] ], )</f>
        <v>0</v>
      </c>
      <c r="U8" s="127">
        <f>IF(Table46[[#This Row],[CODE]]=17, Table46[ [#This Row],[Account Deposit Amount] ]-Table46[ [#This Row],[Account Withdrawl Amount] ], )</f>
        <v>0</v>
      </c>
    </row>
    <row r="9" spans="1:27" ht="16.2" thickBot="1">
      <c r="A9" s="150" t="s">
        <v>241</v>
      </c>
      <c r="B9" s="151">
        <v>44973</v>
      </c>
      <c r="C9" s="150" t="s">
        <v>342</v>
      </c>
      <c r="D9" s="152" t="s">
        <v>459</v>
      </c>
      <c r="E9" s="128"/>
      <c r="F9" s="150">
        <v>19.059999999999999</v>
      </c>
      <c r="G9" s="134">
        <f t="shared" si="2"/>
        <v>18084.53999999999</v>
      </c>
      <c r="H9" s="156">
        <v>13</v>
      </c>
      <c r="I9" s="127">
        <f>IF(Table46[[#This Row],[CODE]]=1, Table46[ [#This Row],[Account Deposit Amount] ]-Table46[ [#This Row],[Account Withdrawl Amount] ], )</f>
        <v>0</v>
      </c>
      <c r="J9" s="129">
        <f>IF(Table46[[#This Row],[CODE]]=2, Table46[ [#This Row],[Account Deposit Amount] ]-Table46[ [#This Row],[Account Withdrawl Amount] ], )</f>
        <v>0</v>
      </c>
      <c r="K9" s="129">
        <f>IF(Table46[[#This Row],[CODE]]=3, Table46[ [#This Row],[Account Deposit Amount] ]-Table46[ [#This Row],[Account Withdrawl Amount] ], )</f>
        <v>0</v>
      </c>
      <c r="L9" s="128">
        <f>IF(Table46[[#This Row],[CODE]]=4, Table46[ [#This Row],[Account Deposit Amount] ]-Table46[ [#This Row],[Account Withdrawl Amount] ], )</f>
        <v>0</v>
      </c>
      <c r="M9" s="128">
        <f>IF(Table46[[#This Row],[CODE]]=5, Table46[ [#This Row],[Account Deposit Amount] ]-Table46[ [#This Row],[Account Withdrawl Amount] ], )</f>
        <v>0</v>
      </c>
      <c r="N9" s="128">
        <f>IF(Table46[[#This Row],[CODE]]=6, Table46[ [#This Row],[Account Deposit Amount] ]-Table46[ [#This Row],[Account Withdrawl Amount] ], )</f>
        <v>0</v>
      </c>
      <c r="O9" s="128">
        <f>IF(Table46[[#This Row],[CODE]]=11, Table46[ [#This Row],[Account Deposit Amount] ]-Table46[ [#This Row],[Account Withdrawl Amount] ], )</f>
        <v>0</v>
      </c>
      <c r="P9" s="128">
        <f>IF(Table46[[#This Row],[CODE]]=12, Table46[ [#This Row],[Account Deposit Amount] ]-Table46[ [#This Row],[Account Withdrawl Amount] ], )</f>
        <v>0</v>
      </c>
      <c r="Q9" s="128">
        <f>IF(Table46[[#This Row],[CODE]]=13, Table46[ [#This Row],[Account Deposit Amount] ]-Table46[ [#This Row],[Account Withdrawl Amount] ], )</f>
        <v>-19.059999999999999</v>
      </c>
      <c r="R9" s="128">
        <f>IF(Table46[[#This Row],[CODE]]=14, Table46[ [#This Row],[Account Deposit Amount] ]-Table46[ [#This Row],[Account Withdrawl Amount] ], )</f>
        <v>0</v>
      </c>
      <c r="S9" s="128">
        <f>IF(Table46[[#This Row],[CODE]]=15, Table46[ [#This Row],[Account Deposit Amount] ]-Table46[ [#This Row],[Account Withdrawl Amount] ], )</f>
        <v>0</v>
      </c>
      <c r="T9" s="128">
        <f>IF(Table46[[#This Row],[CODE]]=16, Table46[ [#This Row],[Account Deposit Amount] ]-Table46[ [#This Row],[Account Withdrawl Amount] ], )</f>
        <v>0</v>
      </c>
      <c r="U9" s="127">
        <f>IF(Table46[[#This Row],[CODE]]=17, Table46[ [#This Row],[Account Deposit Amount] ]-Table46[ [#This Row],[Account Withdrawl Amount] ], )</f>
        <v>0</v>
      </c>
    </row>
    <row r="10" spans="1:27" ht="16.2" thickBot="1">
      <c r="A10" s="150" t="s">
        <v>238</v>
      </c>
      <c r="B10" s="151">
        <v>44979</v>
      </c>
      <c r="C10" s="150" t="s">
        <v>276</v>
      </c>
      <c r="D10" s="150" t="s">
        <v>132</v>
      </c>
      <c r="E10" s="128">
        <v>1305</v>
      </c>
      <c r="F10" s="150"/>
      <c r="G10" s="134">
        <f t="shared" si="2"/>
        <v>19389.53999999999</v>
      </c>
      <c r="H10" s="130">
        <v>2</v>
      </c>
      <c r="I10" s="127">
        <f>IF(Table46[[#This Row],[CODE]]=1, Table46[ [#This Row],[Account Deposit Amount] ]-Table46[ [#This Row],[Account Withdrawl Amount] ], )</f>
        <v>0</v>
      </c>
      <c r="J10" s="129">
        <f>IF(Table46[[#This Row],[CODE]]=2, Table46[ [#This Row],[Account Deposit Amount] ]-Table46[ [#This Row],[Account Withdrawl Amount] ], )</f>
        <v>1305</v>
      </c>
      <c r="K10" s="129">
        <f>IF(Table46[[#This Row],[CODE]]=3, Table46[ [#This Row],[Account Deposit Amount] ]-Table46[ [#This Row],[Account Withdrawl Amount] ], )</f>
        <v>0</v>
      </c>
      <c r="L10" s="128">
        <f>IF(Table46[[#This Row],[CODE]]=4, Table46[ [#This Row],[Account Deposit Amount] ]-Table46[ [#This Row],[Account Withdrawl Amount] ], )</f>
        <v>0</v>
      </c>
      <c r="M10" s="128">
        <f>IF(Table46[[#This Row],[CODE]]=5, Table46[ [#This Row],[Account Deposit Amount] ]-Table46[ [#This Row],[Account Withdrawl Amount] ], )</f>
        <v>0</v>
      </c>
      <c r="N10" s="128">
        <f>IF(Table46[[#This Row],[CODE]]=6, Table46[ [#This Row],[Account Deposit Amount] ]-Table46[ [#This Row],[Account Withdrawl Amount] ], )</f>
        <v>0</v>
      </c>
      <c r="O10" s="128">
        <f>IF(Table46[[#This Row],[CODE]]=11, Table46[ [#This Row],[Account Deposit Amount] ]-Table46[ [#This Row],[Account Withdrawl Amount] ], )</f>
        <v>0</v>
      </c>
      <c r="P10" s="128">
        <f>IF(Table46[[#This Row],[CODE]]=12, Table46[ [#This Row],[Account Deposit Amount] ]-Table46[ [#This Row],[Account Withdrawl Amount] ], )</f>
        <v>0</v>
      </c>
      <c r="Q10" s="128">
        <f>IF(Table46[[#This Row],[CODE]]=13, Table46[ [#This Row],[Account Deposit Amount] ]-Table46[ [#This Row],[Account Withdrawl Amount] ], )</f>
        <v>0</v>
      </c>
      <c r="R10" s="128">
        <f>IF(Table46[[#This Row],[CODE]]=14, Table46[ [#This Row],[Account Deposit Amount] ]-Table46[ [#This Row],[Account Withdrawl Amount] ], )</f>
        <v>0</v>
      </c>
      <c r="S10" s="128">
        <f>IF(Table46[[#This Row],[CODE]]=15, Table46[ [#This Row],[Account Deposit Amount] ]-Table46[ [#This Row],[Account Withdrawl Amount] ], )</f>
        <v>0</v>
      </c>
      <c r="T10" s="128">
        <f>IF(Table46[[#This Row],[CODE]]=16, Table46[ [#This Row],[Account Deposit Amount] ]-Table46[ [#This Row],[Account Withdrawl Amount] ], )</f>
        <v>0</v>
      </c>
      <c r="U10" s="127">
        <f>IF(Table46[[#This Row],[CODE]]=17, Table46[ [#This Row],[Account Deposit Amount] ]-Table46[ [#This Row],[Account Withdrawl Amount] ], )</f>
        <v>0</v>
      </c>
    </row>
    <row r="11" spans="1:27" ht="16.2" thickBot="1">
      <c r="A11" s="150" t="s">
        <v>238</v>
      </c>
      <c r="B11" s="151">
        <v>44979</v>
      </c>
      <c r="C11" s="150" t="s">
        <v>276</v>
      </c>
      <c r="D11" s="150" t="s">
        <v>132</v>
      </c>
      <c r="E11" s="128">
        <v>225</v>
      </c>
      <c r="F11" s="150"/>
      <c r="G11" s="134">
        <f t="shared" si="2"/>
        <v>19614.53999999999</v>
      </c>
      <c r="H11" s="130">
        <v>2</v>
      </c>
      <c r="I11" s="127">
        <f>IF(Table46[[#This Row],[CODE]]=1, Table46[ [#This Row],[Account Deposit Amount] ]-Table46[ [#This Row],[Account Withdrawl Amount] ], )</f>
        <v>0</v>
      </c>
      <c r="J11" s="129">
        <f>IF(Table46[[#This Row],[CODE]]=2, Table46[ [#This Row],[Account Deposit Amount] ]-Table46[ [#This Row],[Account Withdrawl Amount] ], )</f>
        <v>225</v>
      </c>
      <c r="K11" s="129">
        <f>IF(Table46[[#This Row],[CODE]]=3, Table46[ [#This Row],[Account Deposit Amount] ]-Table46[ [#This Row],[Account Withdrawl Amount] ], )</f>
        <v>0</v>
      </c>
      <c r="L11" s="128">
        <f>IF(Table46[[#This Row],[CODE]]=4, Table46[ [#This Row],[Account Deposit Amount] ]-Table46[ [#This Row],[Account Withdrawl Amount] ], )</f>
        <v>0</v>
      </c>
      <c r="M11" s="128">
        <f>IF(Table46[[#This Row],[CODE]]=5, Table46[ [#This Row],[Account Deposit Amount] ]-Table46[ [#This Row],[Account Withdrawl Amount] ], )</f>
        <v>0</v>
      </c>
      <c r="N11" s="128">
        <f>IF(Table46[[#This Row],[CODE]]=6, Table46[ [#This Row],[Account Deposit Amount] ]-Table46[ [#This Row],[Account Withdrawl Amount] ], )</f>
        <v>0</v>
      </c>
      <c r="O11" s="128">
        <f>IF(Table46[[#This Row],[CODE]]=11, Table46[ [#This Row],[Account Deposit Amount] ]-Table46[ [#This Row],[Account Withdrawl Amount] ], )</f>
        <v>0</v>
      </c>
      <c r="P11" s="128">
        <f>IF(Table46[[#This Row],[CODE]]=12, Table46[ [#This Row],[Account Deposit Amount] ]-Table46[ [#This Row],[Account Withdrawl Amount] ], )</f>
        <v>0</v>
      </c>
      <c r="Q11" s="128">
        <f>IF(Table46[[#This Row],[CODE]]=13, Table46[ [#This Row],[Account Deposit Amount] ]-Table46[ [#This Row],[Account Withdrawl Amount] ], )</f>
        <v>0</v>
      </c>
      <c r="R11" s="128">
        <f>IF(Table46[[#This Row],[CODE]]=14, Table46[ [#This Row],[Account Deposit Amount] ]-Table46[ [#This Row],[Account Withdrawl Amount] ], )</f>
        <v>0</v>
      </c>
      <c r="S11" s="128">
        <f>IF(Table46[[#This Row],[CODE]]=15, Table46[ [#This Row],[Account Deposit Amount] ]-Table46[ [#This Row],[Account Withdrawl Amount] ], )</f>
        <v>0</v>
      </c>
      <c r="T11" s="128">
        <f>IF(Table46[[#This Row],[CODE]]=16, Table46[ [#This Row],[Account Deposit Amount] ]-Table46[ [#This Row],[Account Withdrawl Amount] ], )</f>
        <v>0</v>
      </c>
      <c r="U11" s="127">
        <f>IF(Table46[[#This Row],[CODE]]=17, Table46[ [#This Row],[Account Deposit Amount] ]-Table46[ [#This Row],[Account Withdrawl Amount] ], )</f>
        <v>0</v>
      </c>
    </row>
    <row r="12" spans="1:27" ht="16.2" thickBot="1">
      <c r="A12" s="150" t="s">
        <v>241</v>
      </c>
      <c r="B12" s="151">
        <v>44979</v>
      </c>
      <c r="C12" s="150" t="s">
        <v>465</v>
      </c>
      <c r="D12" s="150" t="s">
        <v>466</v>
      </c>
      <c r="E12" s="128"/>
      <c r="F12" s="150">
        <v>300</v>
      </c>
      <c r="G12" s="134">
        <f t="shared" si="2"/>
        <v>19314.53999999999</v>
      </c>
      <c r="H12" s="130">
        <v>2</v>
      </c>
      <c r="I12" s="127">
        <f>IF(Table46[[#This Row],[CODE]]=1, Table46[ [#This Row],[Account Deposit Amount] ]-Table46[ [#This Row],[Account Withdrawl Amount] ], )</f>
        <v>0</v>
      </c>
      <c r="J12" s="129">
        <f>IF(Table46[[#This Row],[CODE]]=2, Table46[ [#This Row],[Account Deposit Amount] ]-Table46[ [#This Row],[Account Withdrawl Amount] ], )</f>
        <v>-300</v>
      </c>
      <c r="K12" s="129">
        <f>IF(Table46[[#This Row],[CODE]]=3, Table46[ [#This Row],[Account Deposit Amount] ]-Table46[ [#This Row],[Account Withdrawl Amount] ], )</f>
        <v>0</v>
      </c>
      <c r="L12" s="128">
        <f>IF(Table46[[#This Row],[CODE]]=4, Table46[ [#This Row],[Account Deposit Amount] ]-Table46[ [#This Row],[Account Withdrawl Amount] ], )</f>
        <v>0</v>
      </c>
      <c r="M12" s="128">
        <f>IF(Table46[[#This Row],[CODE]]=5, Table46[ [#This Row],[Account Deposit Amount] ]-Table46[ [#This Row],[Account Withdrawl Amount] ], )</f>
        <v>0</v>
      </c>
      <c r="N12" s="128">
        <f>IF(Table46[[#This Row],[CODE]]=6, Table46[ [#This Row],[Account Deposit Amount] ]-Table46[ [#This Row],[Account Withdrawl Amount] ], )</f>
        <v>0</v>
      </c>
      <c r="O12" s="128">
        <f>IF(Table46[[#This Row],[CODE]]=11, Table46[ [#This Row],[Account Deposit Amount] ]-Table46[ [#This Row],[Account Withdrawl Amount] ], )</f>
        <v>0</v>
      </c>
      <c r="P12" s="128">
        <f>IF(Table46[[#This Row],[CODE]]=12, Table46[ [#This Row],[Account Deposit Amount] ]-Table46[ [#This Row],[Account Withdrawl Amount] ], )</f>
        <v>0</v>
      </c>
      <c r="Q12" s="128">
        <f>IF(Table46[[#This Row],[CODE]]=13, Table46[ [#This Row],[Account Deposit Amount] ]-Table46[ [#This Row],[Account Withdrawl Amount] ], )</f>
        <v>0</v>
      </c>
      <c r="R12" s="128">
        <f>IF(Table46[[#This Row],[CODE]]=14, Table46[ [#This Row],[Account Deposit Amount] ]-Table46[ [#This Row],[Account Withdrawl Amount] ], )</f>
        <v>0</v>
      </c>
      <c r="S12" s="128">
        <f>IF(Table46[[#This Row],[CODE]]=15, Table46[ [#This Row],[Account Deposit Amount] ]-Table46[ [#This Row],[Account Withdrawl Amount] ], )</f>
        <v>0</v>
      </c>
      <c r="T12" s="128">
        <f>IF(Table46[[#This Row],[CODE]]=16, Table46[ [#This Row],[Account Deposit Amount] ]-Table46[ [#This Row],[Account Withdrawl Amount] ], )</f>
        <v>0</v>
      </c>
      <c r="U12" s="127">
        <f>IF(Table46[[#This Row],[CODE]]=17, Table46[ [#This Row],[Account Deposit Amount] ]-Table46[ [#This Row],[Account Withdrawl Amount] ], )</f>
        <v>0</v>
      </c>
    </row>
    <row r="13" spans="1:27" ht="16.2" thickBot="1">
      <c r="A13" s="150" t="s">
        <v>238</v>
      </c>
      <c r="B13" s="151">
        <v>44981</v>
      </c>
      <c r="C13" s="150" t="s">
        <v>276</v>
      </c>
      <c r="D13" s="150" t="s">
        <v>132</v>
      </c>
      <c r="E13" s="128">
        <v>1568</v>
      </c>
      <c r="F13" s="150"/>
      <c r="G13" s="134">
        <f t="shared" si="2"/>
        <v>20882.53999999999</v>
      </c>
      <c r="H13" s="130">
        <v>2</v>
      </c>
      <c r="I13" s="127">
        <f>IF(Table46[[#This Row],[CODE]]=1, Table46[ [#This Row],[Account Deposit Amount] ]-Table46[ [#This Row],[Account Withdrawl Amount] ], )</f>
        <v>0</v>
      </c>
      <c r="J13" s="129">
        <f>IF(Table46[[#This Row],[CODE]]=2, Table46[ [#This Row],[Account Deposit Amount] ]-Table46[ [#This Row],[Account Withdrawl Amount] ], )</f>
        <v>1568</v>
      </c>
      <c r="K13" s="129">
        <f>IF(Table46[[#This Row],[CODE]]=3, Table46[ [#This Row],[Account Deposit Amount] ]-Table46[ [#This Row],[Account Withdrawl Amount] ], )</f>
        <v>0</v>
      </c>
      <c r="L13" s="128">
        <f>IF(Table46[[#This Row],[CODE]]=4, Table46[ [#This Row],[Account Deposit Amount] ]-Table46[ [#This Row],[Account Withdrawl Amount] ], )</f>
        <v>0</v>
      </c>
      <c r="M13" s="128">
        <f>IF(Table46[[#This Row],[CODE]]=5, Table46[ [#This Row],[Account Deposit Amount] ]-Table46[ [#This Row],[Account Withdrawl Amount] ], )</f>
        <v>0</v>
      </c>
      <c r="N13" s="128">
        <f>IF(Table46[[#This Row],[CODE]]=6, Table46[ [#This Row],[Account Deposit Amount] ]-Table46[ [#This Row],[Account Withdrawl Amount] ], )</f>
        <v>0</v>
      </c>
      <c r="O13" s="128">
        <f>IF(Table46[[#This Row],[CODE]]=11, Table46[ [#This Row],[Account Deposit Amount] ]-Table46[ [#This Row],[Account Withdrawl Amount] ], )</f>
        <v>0</v>
      </c>
      <c r="P13" s="128">
        <f>IF(Table46[[#This Row],[CODE]]=12, Table46[ [#This Row],[Account Deposit Amount] ]-Table46[ [#This Row],[Account Withdrawl Amount] ], )</f>
        <v>0</v>
      </c>
      <c r="Q13" s="128">
        <f>IF(Table46[[#This Row],[CODE]]=13, Table46[ [#This Row],[Account Deposit Amount] ]-Table46[ [#This Row],[Account Withdrawl Amount] ], )</f>
        <v>0</v>
      </c>
      <c r="R13" s="128">
        <f>IF(Table46[[#This Row],[CODE]]=14, Table46[ [#This Row],[Account Deposit Amount] ]-Table46[ [#This Row],[Account Withdrawl Amount] ], )</f>
        <v>0</v>
      </c>
      <c r="S13" s="128">
        <f>IF(Table46[[#This Row],[CODE]]=15, Table46[ [#This Row],[Account Deposit Amount] ]-Table46[ [#This Row],[Account Withdrawl Amount] ], )</f>
        <v>0</v>
      </c>
      <c r="T13" s="128">
        <f>IF(Table46[[#This Row],[CODE]]=16, Table46[ [#This Row],[Account Deposit Amount] ]-Table46[ [#This Row],[Account Withdrawl Amount] ], )</f>
        <v>0</v>
      </c>
      <c r="U13" s="127">
        <f>IF(Table46[[#This Row],[CODE]]=17, Table46[ [#This Row],[Account Deposit Amount] ]-Table46[ [#This Row],[Account Withdrawl Amount] ], )</f>
        <v>0</v>
      </c>
    </row>
    <row r="14" spans="1:27" ht="16.2" thickBot="1">
      <c r="A14" s="150" t="s">
        <v>238</v>
      </c>
      <c r="B14" s="151">
        <v>44981</v>
      </c>
      <c r="C14" s="150" t="s">
        <v>276</v>
      </c>
      <c r="D14" s="150" t="s">
        <v>467</v>
      </c>
      <c r="E14" s="128">
        <v>25</v>
      </c>
      <c r="F14" s="150"/>
      <c r="G14" s="134">
        <f t="shared" si="2"/>
        <v>20907.53999999999</v>
      </c>
      <c r="H14" s="130">
        <v>11</v>
      </c>
      <c r="I14" s="127">
        <f>IF(Table46[[#This Row],[CODE]]=1, Table46[ [#This Row],[Account Deposit Amount] ]-Table46[ [#This Row],[Account Withdrawl Amount] ], )</f>
        <v>0</v>
      </c>
      <c r="J14" s="129">
        <f>IF(Table46[[#This Row],[CODE]]=2, Table46[ [#This Row],[Account Deposit Amount] ]-Table46[ [#This Row],[Account Withdrawl Amount] ], )</f>
        <v>0</v>
      </c>
      <c r="K14" s="129">
        <f>IF(Table46[[#This Row],[CODE]]=3, Table46[ [#This Row],[Account Deposit Amount] ]-Table46[ [#This Row],[Account Withdrawl Amount] ], )</f>
        <v>0</v>
      </c>
      <c r="L14" s="128">
        <f>IF(Table46[[#This Row],[CODE]]=4, Table46[ [#This Row],[Account Deposit Amount] ]-Table46[ [#This Row],[Account Withdrawl Amount] ], )</f>
        <v>0</v>
      </c>
      <c r="M14" s="128">
        <f>IF(Table46[[#This Row],[CODE]]=5, Table46[ [#This Row],[Account Deposit Amount] ]-Table46[ [#This Row],[Account Withdrawl Amount] ], )</f>
        <v>0</v>
      </c>
      <c r="N14" s="128">
        <f>IF(Table46[[#This Row],[CODE]]=6, Table46[ [#This Row],[Account Deposit Amount] ]-Table46[ [#This Row],[Account Withdrawl Amount] ], )</f>
        <v>0</v>
      </c>
      <c r="O14" s="128">
        <f>IF(Table46[[#This Row],[CODE]]=11, Table46[ [#This Row],[Account Deposit Amount] ]-Table46[ [#This Row],[Account Withdrawl Amount] ], )</f>
        <v>25</v>
      </c>
      <c r="P14" s="128">
        <f>IF(Table46[[#This Row],[CODE]]=12, Table46[ [#This Row],[Account Deposit Amount] ]-Table46[ [#This Row],[Account Withdrawl Amount] ], )</f>
        <v>0</v>
      </c>
      <c r="Q14" s="128">
        <f>IF(Table46[[#This Row],[CODE]]=13, Table46[ [#This Row],[Account Deposit Amount] ]-Table46[ [#This Row],[Account Withdrawl Amount] ], )</f>
        <v>0</v>
      </c>
      <c r="R14" s="128">
        <f>IF(Table46[[#This Row],[CODE]]=14, Table46[ [#This Row],[Account Deposit Amount] ]-Table46[ [#This Row],[Account Withdrawl Amount] ], )</f>
        <v>0</v>
      </c>
      <c r="S14" s="128">
        <f>IF(Table46[[#This Row],[CODE]]=15, Table46[ [#This Row],[Account Deposit Amount] ]-Table46[ [#This Row],[Account Withdrawl Amount] ], )</f>
        <v>0</v>
      </c>
      <c r="T14" s="128">
        <f>IF(Table46[[#This Row],[CODE]]=16, Table46[ [#This Row],[Account Deposit Amount] ]-Table46[ [#This Row],[Account Withdrawl Amount] ], )</f>
        <v>0</v>
      </c>
      <c r="U14" s="127">
        <f>IF(Table46[[#This Row],[CODE]]=17, Table46[ [#This Row],[Account Deposit Amount] ]-Table46[ [#This Row],[Account Withdrawl Amount] ], )</f>
        <v>0</v>
      </c>
    </row>
    <row r="15" spans="1:27" ht="16.2" thickBot="1">
      <c r="A15" s="150" t="s">
        <v>238</v>
      </c>
      <c r="B15" s="151">
        <v>44984</v>
      </c>
      <c r="C15" s="150" t="s">
        <v>468</v>
      </c>
      <c r="D15" s="150" t="s">
        <v>132</v>
      </c>
      <c r="E15" s="128">
        <v>653.65</v>
      </c>
      <c r="F15" s="150"/>
      <c r="G15" s="134">
        <f t="shared" si="2"/>
        <v>21561.189999999991</v>
      </c>
      <c r="H15" s="130">
        <v>2</v>
      </c>
      <c r="I15" s="127">
        <f>IF(Table46[[#This Row],[CODE]]=1, Table46[ [#This Row],[Account Deposit Amount] ]-Table46[ [#This Row],[Account Withdrawl Amount] ], )</f>
        <v>0</v>
      </c>
      <c r="J15" s="129">
        <f>IF(Table46[[#This Row],[CODE]]=2, Table46[ [#This Row],[Account Deposit Amount] ]-Table46[ [#This Row],[Account Withdrawl Amount] ], )</f>
        <v>653.65</v>
      </c>
      <c r="K15" s="129">
        <f>IF(Table46[[#This Row],[CODE]]=3, Table46[ [#This Row],[Account Deposit Amount] ]-Table46[ [#This Row],[Account Withdrawl Amount] ], )</f>
        <v>0</v>
      </c>
      <c r="L15" s="128">
        <f>IF(Table46[[#This Row],[CODE]]=4, Table46[ [#This Row],[Account Deposit Amount] ]-Table46[ [#This Row],[Account Withdrawl Amount] ], )</f>
        <v>0</v>
      </c>
      <c r="M15" s="128">
        <f>IF(Table46[[#This Row],[CODE]]=5, Table46[ [#This Row],[Account Deposit Amount] ]-Table46[ [#This Row],[Account Withdrawl Amount] ], )</f>
        <v>0</v>
      </c>
      <c r="N15" s="128">
        <f>IF(Table46[[#This Row],[CODE]]=6, Table46[ [#This Row],[Account Deposit Amount] ]-Table46[ [#This Row],[Account Withdrawl Amount] ], )</f>
        <v>0</v>
      </c>
      <c r="O15" s="128">
        <f>IF(Table46[[#This Row],[CODE]]=11, Table46[ [#This Row],[Account Deposit Amount] ]-Table46[ [#This Row],[Account Withdrawl Amount] ], )</f>
        <v>0</v>
      </c>
      <c r="P15" s="128">
        <f>IF(Table46[[#This Row],[CODE]]=12, Table46[ [#This Row],[Account Deposit Amount] ]-Table46[ [#This Row],[Account Withdrawl Amount] ], )</f>
        <v>0</v>
      </c>
      <c r="Q15" s="128">
        <f>IF(Table46[[#This Row],[CODE]]=13, Table46[ [#This Row],[Account Deposit Amount] ]-Table46[ [#This Row],[Account Withdrawl Amount] ], )</f>
        <v>0</v>
      </c>
      <c r="R15" s="128">
        <f>IF(Table46[[#This Row],[CODE]]=14, Table46[ [#This Row],[Account Deposit Amount] ]-Table46[ [#This Row],[Account Withdrawl Amount] ], )</f>
        <v>0</v>
      </c>
      <c r="S15" s="128">
        <f>IF(Table46[[#This Row],[CODE]]=15, Table46[ [#This Row],[Account Deposit Amount] ]-Table46[ [#This Row],[Account Withdrawl Amount] ], )</f>
        <v>0</v>
      </c>
      <c r="T15" s="128">
        <f>IF(Table46[[#This Row],[CODE]]=16, Table46[ [#This Row],[Account Deposit Amount] ]-Table46[ [#This Row],[Account Withdrawl Amount] ], )</f>
        <v>0</v>
      </c>
      <c r="U15" s="127">
        <f>IF(Table46[[#This Row],[CODE]]=17, Table46[ [#This Row],[Account Deposit Amount] ]-Table46[ [#This Row],[Account Withdrawl Amount] ], )</f>
        <v>0</v>
      </c>
    </row>
    <row r="16" spans="1:27" ht="16.2" thickBot="1">
      <c r="A16" s="150" t="s">
        <v>238</v>
      </c>
      <c r="B16" s="151">
        <v>44984</v>
      </c>
      <c r="C16" s="150" t="s">
        <v>468</v>
      </c>
      <c r="D16" s="150" t="s">
        <v>132</v>
      </c>
      <c r="E16" s="128">
        <v>310.73</v>
      </c>
      <c r="F16" s="150"/>
      <c r="G16" s="134">
        <f t="shared" si="2"/>
        <v>21871.919999999991</v>
      </c>
      <c r="H16" s="130">
        <v>2</v>
      </c>
      <c r="I16" s="127">
        <f>IF(Table46[[#This Row],[CODE]]=1, Table46[ [#This Row],[Account Deposit Amount] ]-Table46[ [#This Row],[Account Withdrawl Amount] ], )</f>
        <v>0</v>
      </c>
      <c r="J16" s="129">
        <f>IF(Table46[[#This Row],[CODE]]=2, Table46[ [#This Row],[Account Deposit Amount] ]-Table46[ [#This Row],[Account Withdrawl Amount] ], )</f>
        <v>310.73</v>
      </c>
      <c r="K16" s="129">
        <f>IF(Table46[[#This Row],[CODE]]=3, Table46[ [#This Row],[Account Deposit Amount] ]-Table46[ [#This Row],[Account Withdrawl Amount] ], )</f>
        <v>0</v>
      </c>
      <c r="L16" s="128">
        <f>IF(Table46[[#This Row],[CODE]]=4, Table46[ [#This Row],[Account Deposit Amount] ]-Table46[ [#This Row],[Account Withdrawl Amount] ], )</f>
        <v>0</v>
      </c>
      <c r="M16" s="128">
        <f>IF(Table46[[#This Row],[CODE]]=5, Table46[ [#This Row],[Account Deposit Amount] ]-Table46[ [#This Row],[Account Withdrawl Amount] ], )</f>
        <v>0</v>
      </c>
      <c r="N16" s="128">
        <f>IF(Table46[[#This Row],[CODE]]=6, Table46[ [#This Row],[Account Deposit Amount] ]-Table46[ [#This Row],[Account Withdrawl Amount] ], )</f>
        <v>0</v>
      </c>
      <c r="O16" s="128">
        <f>IF(Table46[[#This Row],[CODE]]=11, Table46[ [#This Row],[Account Deposit Amount] ]-Table46[ [#This Row],[Account Withdrawl Amount] ], )</f>
        <v>0</v>
      </c>
      <c r="P16" s="128">
        <f>IF(Table46[[#This Row],[CODE]]=12, Table46[ [#This Row],[Account Deposit Amount] ]-Table46[ [#This Row],[Account Withdrawl Amount] ], )</f>
        <v>0</v>
      </c>
      <c r="Q16" s="128">
        <f>IF(Table46[[#This Row],[CODE]]=13, Table46[ [#This Row],[Account Deposit Amount] ]-Table46[ [#This Row],[Account Withdrawl Amount] ], )</f>
        <v>0</v>
      </c>
      <c r="R16" s="128">
        <f>IF(Table46[[#This Row],[CODE]]=14, Table46[ [#This Row],[Account Deposit Amount] ]-Table46[ [#This Row],[Account Withdrawl Amount] ], )</f>
        <v>0</v>
      </c>
      <c r="S16" s="128">
        <f>IF(Table46[[#This Row],[CODE]]=15, Table46[ [#This Row],[Account Deposit Amount] ]-Table46[ [#This Row],[Account Withdrawl Amount] ], )</f>
        <v>0</v>
      </c>
      <c r="T16" s="128">
        <f>IF(Table46[[#This Row],[CODE]]=16, Table46[ [#This Row],[Account Deposit Amount] ]-Table46[ [#This Row],[Account Withdrawl Amount] ], )</f>
        <v>0</v>
      </c>
      <c r="U16" s="127">
        <f>IF(Table46[[#This Row],[CODE]]=17, Table46[ [#This Row],[Account Deposit Amount] ]-Table46[ [#This Row],[Account Withdrawl Amount] ], )</f>
        <v>0</v>
      </c>
    </row>
    <row r="17" spans="1:21" ht="16.2" thickBot="1">
      <c r="A17" s="150" t="s">
        <v>238</v>
      </c>
      <c r="B17" s="151">
        <v>44984</v>
      </c>
      <c r="C17" s="150" t="s">
        <v>276</v>
      </c>
      <c r="D17" s="150" t="s">
        <v>132</v>
      </c>
      <c r="E17" s="128">
        <v>5545</v>
      </c>
      <c r="F17" s="150"/>
      <c r="G17" s="134">
        <f t="shared" si="2"/>
        <v>27416.919999999991</v>
      </c>
      <c r="H17" s="130">
        <v>2</v>
      </c>
      <c r="I17" s="127">
        <f>IF(Table46[[#This Row],[CODE]]=1, Table46[ [#This Row],[Account Deposit Amount] ]-Table46[ [#This Row],[Account Withdrawl Amount] ], )</f>
        <v>0</v>
      </c>
      <c r="J17" s="129">
        <f>IF(Table46[[#This Row],[CODE]]=2, Table46[ [#This Row],[Account Deposit Amount] ]-Table46[ [#This Row],[Account Withdrawl Amount] ], )</f>
        <v>5545</v>
      </c>
      <c r="K17" s="129">
        <f>IF(Table46[[#This Row],[CODE]]=3, Table46[ [#This Row],[Account Deposit Amount] ]-Table46[ [#This Row],[Account Withdrawl Amount] ], )</f>
        <v>0</v>
      </c>
      <c r="L17" s="128">
        <f>IF(Table46[[#This Row],[CODE]]=4, Table46[ [#This Row],[Account Deposit Amount] ]-Table46[ [#This Row],[Account Withdrawl Amount] ], )</f>
        <v>0</v>
      </c>
      <c r="M17" s="128">
        <f>IF(Table46[[#This Row],[CODE]]=5, Table46[ [#This Row],[Account Deposit Amount] ]-Table46[ [#This Row],[Account Withdrawl Amount] ], )</f>
        <v>0</v>
      </c>
      <c r="N17" s="128">
        <f>IF(Table46[[#This Row],[CODE]]=6, Table46[ [#This Row],[Account Deposit Amount] ]-Table46[ [#This Row],[Account Withdrawl Amount] ], )</f>
        <v>0</v>
      </c>
      <c r="O17" s="128">
        <f>IF(Table46[[#This Row],[CODE]]=11, Table46[ [#This Row],[Account Deposit Amount] ]-Table46[ [#This Row],[Account Withdrawl Amount] ], )</f>
        <v>0</v>
      </c>
      <c r="P17" s="128">
        <f>IF(Table46[[#This Row],[CODE]]=12, Table46[ [#This Row],[Account Deposit Amount] ]-Table46[ [#This Row],[Account Withdrawl Amount] ], )</f>
        <v>0</v>
      </c>
      <c r="Q17" s="128">
        <f>IF(Table46[[#This Row],[CODE]]=13, Table46[ [#This Row],[Account Deposit Amount] ]-Table46[ [#This Row],[Account Withdrawl Amount] ], )</f>
        <v>0</v>
      </c>
      <c r="R17" s="128">
        <f>IF(Table46[[#This Row],[CODE]]=14, Table46[ [#This Row],[Account Deposit Amount] ]-Table46[ [#This Row],[Account Withdrawl Amount] ], )</f>
        <v>0</v>
      </c>
      <c r="S17" s="128">
        <f>IF(Table46[[#This Row],[CODE]]=15, Table46[ [#This Row],[Account Deposit Amount] ]-Table46[ [#This Row],[Account Withdrawl Amount] ], )</f>
        <v>0</v>
      </c>
      <c r="T17" s="128">
        <f>IF(Table46[[#This Row],[CODE]]=16, Table46[ [#This Row],[Account Deposit Amount] ]-Table46[ [#This Row],[Account Withdrawl Amount] ], )</f>
        <v>0</v>
      </c>
      <c r="U17" s="127">
        <f>IF(Table46[[#This Row],[CODE]]=17, Table46[ [#This Row],[Account Deposit Amount] ]-Table46[ [#This Row],[Account Withdrawl Amount] ], )</f>
        <v>0</v>
      </c>
    </row>
    <row r="18" spans="1:21" ht="16.2" thickBot="1">
      <c r="A18" s="150" t="s">
        <v>238</v>
      </c>
      <c r="B18" s="151">
        <v>44984</v>
      </c>
      <c r="C18" s="150" t="s">
        <v>276</v>
      </c>
      <c r="D18" s="126" t="s">
        <v>274</v>
      </c>
      <c r="E18" s="128">
        <v>67</v>
      </c>
      <c r="F18" s="150"/>
      <c r="G18" s="134">
        <f t="shared" si="2"/>
        <v>27483.919999999991</v>
      </c>
      <c r="H18" s="130">
        <v>4</v>
      </c>
      <c r="I18" s="127">
        <f>IF(Table46[[#This Row],[CODE]]=1, Table46[ [#This Row],[Account Deposit Amount] ]-Table46[ [#This Row],[Account Withdrawl Amount] ], )</f>
        <v>0</v>
      </c>
      <c r="J18" s="129">
        <f>IF(Table46[[#This Row],[CODE]]=2, Table46[ [#This Row],[Account Deposit Amount] ]-Table46[ [#This Row],[Account Withdrawl Amount] ], )</f>
        <v>0</v>
      </c>
      <c r="K18" s="129">
        <f>IF(Table46[[#This Row],[CODE]]=3, Table46[ [#This Row],[Account Deposit Amount] ]-Table46[ [#This Row],[Account Withdrawl Amount] ], )</f>
        <v>0</v>
      </c>
      <c r="L18" s="128">
        <f>IF(Table46[[#This Row],[CODE]]=4, Table46[ [#This Row],[Account Deposit Amount] ]-Table46[ [#This Row],[Account Withdrawl Amount] ], )</f>
        <v>67</v>
      </c>
      <c r="M18" s="128">
        <f>IF(Table46[[#This Row],[CODE]]=5, Table46[ [#This Row],[Account Deposit Amount] ]-Table46[ [#This Row],[Account Withdrawl Amount] ], )</f>
        <v>0</v>
      </c>
      <c r="N18" s="128">
        <f>IF(Table46[[#This Row],[CODE]]=6, Table46[ [#This Row],[Account Deposit Amount] ]-Table46[ [#This Row],[Account Withdrawl Amount] ], )</f>
        <v>0</v>
      </c>
      <c r="O18" s="128">
        <f>IF(Table46[[#This Row],[CODE]]=11, Table46[ [#This Row],[Account Deposit Amount] ]-Table46[ [#This Row],[Account Withdrawl Amount] ], )</f>
        <v>0</v>
      </c>
      <c r="P18" s="128">
        <f>IF(Table46[[#This Row],[CODE]]=12, Table46[ [#This Row],[Account Deposit Amount] ]-Table46[ [#This Row],[Account Withdrawl Amount] ], )</f>
        <v>0</v>
      </c>
      <c r="Q18" s="128">
        <f>IF(Table46[[#This Row],[CODE]]=13, Table46[ [#This Row],[Account Deposit Amount] ]-Table46[ [#This Row],[Account Withdrawl Amount] ], )</f>
        <v>0</v>
      </c>
      <c r="R18" s="128">
        <f>IF(Table46[[#This Row],[CODE]]=14, Table46[ [#This Row],[Account Deposit Amount] ]-Table46[ [#This Row],[Account Withdrawl Amount] ], )</f>
        <v>0</v>
      </c>
      <c r="S18" s="128">
        <f>IF(Table46[[#This Row],[CODE]]=15, Table46[ [#This Row],[Account Deposit Amount] ]-Table46[ [#This Row],[Account Withdrawl Amount] ], )</f>
        <v>0</v>
      </c>
      <c r="T18" s="128">
        <f>IF(Table46[[#This Row],[CODE]]=16, Table46[ [#This Row],[Account Deposit Amount] ]-Table46[ [#This Row],[Account Withdrawl Amount] ], )</f>
        <v>0</v>
      </c>
      <c r="U18" s="127">
        <f>IF(Table46[[#This Row],[CODE]]=17, Table46[ [#This Row],[Account Deposit Amount] ]-Table46[ [#This Row],[Account Withdrawl Amount] ], )</f>
        <v>0</v>
      </c>
    </row>
    <row r="19" spans="1:21" ht="16.2" thickBot="1">
      <c r="A19" s="150" t="s">
        <v>241</v>
      </c>
      <c r="B19" s="151">
        <v>44984</v>
      </c>
      <c r="C19" s="150" t="s">
        <v>469</v>
      </c>
      <c r="D19" s="126" t="s">
        <v>470</v>
      </c>
      <c r="E19" s="128"/>
      <c r="F19" s="150">
        <v>2.19</v>
      </c>
      <c r="G19" s="134">
        <f t="shared" si="2"/>
        <v>27481.729999999992</v>
      </c>
      <c r="H19" s="130">
        <v>6</v>
      </c>
      <c r="I19" s="127">
        <f>IF(Table46[[#This Row],[CODE]]=1, Table46[ [#This Row],[Account Deposit Amount] ]-Table46[ [#This Row],[Account Withdrawl Amount] ], )</f>
        <v>0</v>
      </c>
      <c r="J19" s="129">
        <f>IF(Table46[[#This Row],[CODE]]=2, Table46[ [#This Row],[Account Deposit Amount] ]-Table46[ [#This Row],[Account Withdrawl Amount] ], )</f>
        <v>0</v>
      </c>
      <c r="K19" s="129">
        <f>IF(Table46[[#This Row],[CODE]]=3, Table46[ [#This Row],[Account Deposit Amount] ]-Table46[ [#This Row],[Account Withdrawl Amount] ], )</f>
        <v>0</v>
      </c>
      <c r="L19" s="128">
        <f>IF(Table46[[#This Row],[CODE]]=4, Table46[ [#This Row],[Account Deposit Amount] ]-Table46[ [#This Row],[Account Withdrawl Amount] ], )</f>
        <v>0</v>
      </c>
      <c r="M19" s="128">
        <f>IF(Table46[[#This Row],[CODE]]=5, Table46[ [#This Row],[Account Deposit Amount] ]-Table46[ [#This Row],[Account Withdrawl Amount] ], )</f>
        <v>0</v>
      </c>
      <c r="N19" s="128">
        <f>IF(Table46[[#This Row],[CODE]]=6, Table46[ [#This Row],[Account Deposit Amount] ]-Table46[ [#This Row],[Account Withdrawl Amount] ], )</f>
        <v>-2.19</v>
      </c>
      <c r="O19" s="128">
        <f>IF(Table46[[#This Row],[CODE]]=11, Table46[ [#This Row],[Account Deposit Amount] ]-Table46[ [#This Row],[Account Withdrawl Amount] ], )</f>
        <v>0</v>
      </c>
      <c r="P19" s="128">
        <f>IF(Table46[[#This Row],[CODE]]=12, Table46[ [#This Row],[Account Deposit Amount] ]-Table46[ [#This Row],[Account Withdrawl Amount] ], )</f>
        <v>0</v>
      </c>
      <c r="Q19" s="128">
        <f>IF(Table46[[#This Row],[CODE]]=13, Table46[ [#This Row],[Account Deposit Amount] ]-Table46[ [#This Row],[Account Withdrawl Amount] ], )</f>
        <v>0</v>
      </c>
      <c r="R19" s="128">
        <f>IF(Table46[[#This Row],[CODE]]=14, Table46[ [#This Row],[Account Deposit Amount] ]-Table46[ [#This Row],[Account Withdrawl Amount] ], )</f>
        <v>0</v>
      </c>
      <c r="S19" s="128">
        <f>IF(Table46[[#This Row],[CODE]]=15, Table46[ [#This Row],[Account Deposit Amount] ]-Table46[ [#This Row],[Account Withdrawl Amount] ], )</f>
        <v>0</v>
      </c>
      <c r="T19" s="128">
        <f>IF(Table46[[#This Row],[CODE]]=16, Table46[ [#This Row],[Account Deposit Amount] ]-Table46[ [#This Row],[Account Withdrawl Amount] ], )</f>
        <v>0</v>
      </c>
      <c r="U19" s="127">
        <f>IF(Table46[[#This Row],[CODE]]=17, Table46[ [#This Row],[Account Deposit Amount] ]-Table46[ [#This Row],[Account Withdrawl Amount] ], )</f>
        <v>0</v>
      </c>
    </row>
    <row r="20" spans="1:21" ht="16.2" thickBot="1">
      <c r="A20" s="150" t="s">
        <v>241</v>
      </c>
      <c r="B20" s="151">
        <v>44984</v>
      </c>
      <c r="C20" s="150" t="s">
        <v>469</v>
      </c>
      <c r="D20" s="126" t="s">
        <v>470</v>
      </c>
      <c r="E20" s="128"/>
      <c r="F20" s="150">
        <v>5.63</v>
      </c>
      <c r="G20" s="134">
        <f t="shared" si="2"/>
        <v>27476.099999999991</v>
      </c>
      <c r="H20" s="130">
        <v>6</v>
      </c>
      <c r="I20" s="127">
        <f>IF(Table46[[#This Row],[CODE]]=1, Table46[ [#This Row],[Account Deposit Amount] ]-Table46[ [#This Row],[Account Withdrawl Amount] ], )</f>
        <v>0</v>
      </c>
      <c r="J20" s="129">
        <f>IF(Table46[[#This Row],[CODE]]=2, Table46[ [#This Row],[Account Deposit Amount] ]-Table46[ [#This Row],[Account Withdrawl Amount] ], )</f>
        <v>0</v>
      </c>
      <c r="K20" s="129">
        <f>IF(Table46[[#This Row],[CODE]]=3, Table46[ [#This Row],[Account Deposit Amount] ]-Table46[ [#This Row],[Account Withdrawl Amount] ], )</f>
        <v>0</v>
      </c>
      <c r="L20" s="128">
        <f>IF(Table46[[#This Row],[CODE]]=4, Table46[ [#This Row],[Account Deposit Amount] ]-Table46[ [#This Row],[Account Withdrawl Amount] ], )</f>
        <v>0</v>
      </c>
      <c r="M20" s="128">
        <f>IF(Table46[[#This Row],[CODE]]=5, Table46[ [#This Row],[Account Deposit Amount] ]-Table46[ [#This Row],[Account Withdrawl Amount] ], )</f>
        <v>0</v>
      </c>
      <c r="N20" s="128">
        <f>IF(Table46[[#This Row],[CODE]]=6, Table46[ [#This Row],[Account Deposit Amount] ]-Table46[ [#This Row],[Account Withdrawl Amount] ], )</f>
        <v>-5.63</v>
      </c>
      <c r="O20" s="128">
        <f>IF(Table46[[#This Row],[CODE]]=11, Table46[ [#This Row],[Account Deposit Amount] ]-Table46[ [#This Row],[Account Withdrawl Amount] ], )</f>
        <v>0</v>
      </c>
      <c r="P20" s="128">
        <f>IF(Table46[[#This Row],[CODE]]=12, Table46[ [#This Row],[Account Deposit Amount] ]-Table46[ [#This Row],[Account Withdrawl Amount] ], )</f>
        <v>0</v>
      </c>
      <c r="Q20" s="128">
        <f>IF(Table46[[#This Row],[CODE]]=13, Table46[ [#This Row],[Account Deposit Amount] ]-Table46[ [#This Row],[Account Withdrawl Amount] ], )</f>
        <v>0</v>
      </c>
      <c r="R20" s="128">
        <f>IF(Table46[[#This Row],[CODE]]=14, Table46[ [#This Row],[Account Deposit Amount] ]-Table46[ [#This Row],[Account Withdrawl Amount] ], )</f>
        <v>0</v>
      </c>
      <c r="S20" s="128">
        <f>IF(Table46[[#This Row],[CODE]]=15, Table46[ [#This Row],[Account Deposit Amount] ]-Table46[ [#This Row],[Account Withdrawl Amount] ], )</f>
        <v>0</v>
      </c>
      <c r="T20" s="128">
        <f>IF(Table46[[#This Row],[CODE]]=16, Table46[ [#This Row],[Account Deposit Amount] ]-Table46[ [#This Row],[Account Withdrawl Amount] ], )</f>
        <v>0</v>
      </c>
      <c r="U20" s="127">
        <f>IF(Table46[[#This Row],[CODE]]=17, Table46[ [#This Row],[Account Deposit Amount] ]-Table46[ [#This Row],[Account Withdrawl Amount] ], )</f>
        <v>0</v>
      </c>
    </row>
    <row r="21" spans="1:21" ht="16.2" thickBot="1">
      <c r="A21" s="130"/>
      <c r="B21" s="133"/>
      <c r="C21" s="130"/>
      <c r="D21" s="132"/>
      <c r="E21" s="128"/>
      <c r="F21" s="128"/>
      <c r="G21" s="134">
        <f t="shared" si="2"/>
        <v>27476.099999999991</v>
      </c>
      <c r="H21" s="130"/>
      <c r="I21" s="127">
        <f>IF(Table46[[#This Row],[CODE]]=1, Table46[ [#This Row],[Account Deposit Amount] ]-Table46[ [#This Row],[Account Withdrawl Amount] ], )</f>
        <v>0</v>
      </c>
      <c r="J21" s="129">
        <f>IF(Table46[[#This Row],[CODE]]=2, Table46[ [#This Row],[Account Deposit Amount] ]-Table46[ [#This Row],[Account Withdrawl Amount] ], )</f>
        <v>0</v>
      </c>
      <c r="K21" s="129">
        <f>IF(Table46[[#This Row],[CODE]]=3, Table46[ [#This Row],[Account Deposit Amount] ]-Table46[ [#This Row],[Account Withdrawl Amount] ], )</f>
        <v>0</v>
      </c>
      <c r="L21" s="128">
        <f>IF(Table46[[#This Row],[CODE]]=4, Table46[ [#This Row],[Account Deposit Amount] ]-Table46[ [#This Row],[Account Withdrawl Amount] ], )</f>
        <v>0</v>
      </c>
      <c r="M21" s="128">
        <f>IF(Table46[[#This Row],[CODE]]=5, Table46[ [#This Row],[Account Deposit Amount] ]-Table46[ [#This Row],[Account Withdrawl Amount] ], )</f>
        <v>0</v>
      </c>
      <c r="N21" s="128">
        <f>IF(Table46[[#This Row],[CODE]]=6, Table46[ [#This Row],[Account Deposit Amount] ]-Table46[ [#This Row],[Account Withdrawl Amount] ], )</f>
        <v>0</v>
      </c>
      <c r="O21" s="128">
        <f>IF(Table46[[#This Row],[CODE]]=11, Table46[ [#This Row],[Account Deposit Amount] ]-Table46[ [#This Row],[Account Withdrawl Amount] ], )</f>
        <v>0</v>
      </c>
      <c r="P21" s="128">
        <f>IF(Table46[[#This Row],[CODE]]=12, Table46[ [#This Row],[Account Deposit Amount] ]-Table46[ [#This Row],[Account Withdrawl Amount] ], )</f>
        <v>0</v>
      </c>
      <c r="Q21" s="128">
        <f>IF(Table46[[#This Row],[CODE]]=13, Table46[ [#This Row],[Account Deposit Amount] ]-Table46[ [#This Row],[Account Withdrawl Amount] ], )</f>
        <v>0</v>
      </c>
      <c r="R21" s="128">
        <f>IF(Table46[[#This Row],[CODE]]=14, Table46[ [#This Row],[Account Deposit Amount] ]-Table46[ [#This Row],[Account Withdrawl Amount] ], )</f>
        <v>0</v>
      </c>
      <c r="S21" s="128">
        <f>IF(Table46[[#This Row],[CODE]]=15, Table46[ [#This Row],[Account Deposit Amount] ]-Table46[ [#This Row],[Account Withdrawl Amount] ], )</f>
        <v>0</v>
      </c>
      <c r="T21" s="128">
        <f>IF(Table46[[#This Row],[CODE]]=16, Table46[ [#This Row],[Account Deposit Amount] ]-Table46[ [#This Row],[Account Withdrawl Amount] ], )</f>
        <v>0</v>
      </c>
      <c r="U21" s="127">
        <f>IF(Table46[[#This Row],[CODE]]=17, Table46[ [#This Row],[Account Deposit Amount] ]-Table46[ [#This Row],[Account Withdrawl Amount] ], )</f>
        <v>0</v>
      </c>
    </row>
    <row r="22" spans="1:21" ht="16.2" thickBot="1">
      <c r="A22" s="130"/>
      <c r="B22" s="133"/>
      <c r="C22" s="130"/>
      <c r="D22" s="132"/>
      <c r="E22" s="128"/>
      <c r="F22" s="128"/>
      <c r="G22" s="134">
        <f t="shared" si="2"/>
        <v>27476.099999999991</v>
      </c>
      <c r="H22" s="130"/>
      <c r="I22" s="127">
        <f>IF(Table46[[#This Row],[CODE]]=1, Table46[ [#This Row],[Account Deposit Amount] ]-Table46[ [#This Row],[Account Withdrawl Amount] ], )</f>
        <v>0</v>
      </c>
      <c r="J22" s="129">
        <f>IF(Table46[[#This Row],[CODE]]=2, Table46[ [#This Row],[Account Deposit Amount] ]-Table46[ [#This Row],[Account Withdrawl Amount] ], )</f>
        <v>0</v>
      </c>
      <c r="K22" s="129">
        <f>IF(Table46[[#This Row],[CODE]]=3, Table46[ [#This Row],[Account Deposit Amount] ]-Table46[ [#This Row],[Account Withdrawl Amount] ], )</f>
        <v>0</v>
      </c>
      <c r="L22" s="128">
        <f>IF(Table46[[#This Row],[CODE]]=4, Table46[ [#This Row],[Account Deposit Amount] ]-Table46[ [#This Row],[Account Withdrawl Amount] ], )</f>
        <v>0</v>
      </c>
      <c r="M22" s="128">
        <f>IF(Table46[[#This Row],[CODE]]=5, Table46[ [#This Row],[Account Deposit Amount] ]-Table46[ [#This Row],[Account Withdrawl Amount] ], )</f>
        <v>0</v>
      </c>
      <c r="N22" s="128">
        <f>IF(Table46[[#This Row],[CODE]]=6, Table46[ [#This Row],[Account Deposit Amount] ]-Table46[ [#This Row],[Account Withdrawl Amount] ], )</f>
        <v>0</v>
      </c>
      <c r="O22" s="128">
        <f>IF(Table46[[#This Row],[CODE]]=11, Table46[ [#This Row],[Account Deposit Amount] ]-Table46[ [#This Row],[Account Withdrawl Amount] ], )</f>
        <v>0</v>
      </c>
      <c r="P22" s="128">
        <f>IF(Table46[[#This Row],[CODE]]=12, Table46[ [#This Row],[Account Deposit Amount] ]-Table46[ [#This Row],[Account Withdrawl Amount] ], )</f>
        <v>0</v>
      </c>
      <c r="Q22" s="128">
        <f>IF(Table46[[#This Row],[CODE]]=13, Table46[ [#This Row],[Account Deposit Amount] ]-Table46[ [#This Row],[Account Withdrawl Amount] ], )</f>
        <v>0</v>
      </c>
      <c r="R22" s="128">
        <f>IF(Table46[[#This Row],[CODE]]=14, Table46[ [#This Row],[Account Deposit Amount] ]-Table46[ [#This Row],[Account Withdrawl Amount] ], )</f>
        <v>0</v>
      </c>
      <c r="S22" s="128">
        <f>IF(Table46[[#This Row],[CODE]]=15, Table46[ [#This Row],[Account Deposit Amount] ]-Table46[ [#This Row],[Account Withdrawl Amount] ], )</f>
        <v>0</v>
      </c>
      <c r="T22" s="128">
        <f>IF(Table46[[#This Row],[CODE]]=16, Table46[ [#This Row],[Account Deposit Amount] ]-Table46[ [#This Row],[Account Withdrawl Amount] ], )</f>
        <v>0</v>
      </c>
      <c r="U22" s="127">
        <f>IF(Table46[[#This Row],[CODE]]=17, Table46[ [#This Row],[Account Deposit Amount] ]-Table46[ [#This Row],[Account Withdrawl Amount] ], )</f>
        <v>0</v>
      </c>
    </row>
    <row r="23" spans="1:21" ht="16.2" thickBot="1">
      <c r="A23" s="130"/>
      <c r="B23" s="133"/>
      <c r="C23" s="130"/>
      <c r="D23" s="132"/>
      <c r="E23" s="128"/>
      <c r="F23" s="128"/>
      <c r="G23" s="134">
        <f t="shared" si="2"/>
        <v>27476.099999999991</v>
      </c>
      <c r="H23" s="130"/>
      <c r="I23" s="127">
        <f>IF(Table46[[#This Row],[CODE]]=1, Table46[ [#This Row],[Account Deposit Amount] ]-Table46[ [#This Row],[Account Withdrawl Amount] ], )</f>
        <v>0</v>
      </c>
      <c r="J23" s="129">
        <f>IF(Table46[[#This Row],[CODE]]=2, Table46[ [#This Row],[Account Deposit Amount] ]-Table46[ [#This Row],[Account Withdrawl Amount] ], )</f>
        <v>0</v>
      </c>
      <c r="K23" s="129">
        <f>IF(Table46[[#This Row],[CODE]]=3, Table46[ [#This Row],[Account Deposit Amount] ]-Table46[ [#This Row],[Account Withdrawl Amount] ], )</f>
        <v>0</v>
      </c>
      <c r="L23" s="128">
        <f>IF(Table46[[#This Row],[CODE]]=4, Table46[ [#This Row],[Account Deposit Amount] ]-Table46[ [#This Row],[Account Withdrawl Amount] ], )</f>
        <v>0</v>
      </c>
      <c r="M23" s="128">
        <f>IF(Table46[[#This Row],[CODE]]=5, Table46[ [#This Row],[Account Deposit Amount] ]-Table46[ [#This Row],[Account Withdrawl Amount] ], )</f>
        <v>0</v>
      </c>
      <c r="N23" s="128">
        <f>IF(Table46[[#This Row],[CODE]]=6, Table46[ [#This Row],[Account Deposit Amount] ]-Table46[ [#This Row],[Account Withdrawl Amount] ], )</f>
        <v>0</v>
      </c>
      <c r="O23" s="128">
        <f>IF(Table46[[#This Row],[CODE]]=11, Table46[ [#This Row],[Account Deposit Amount] ]-Table46[ [#This Row],[Account Withdrawl Amount] ], )</f>
        <v>0</v>
      </c>
      <c r="P23" s="128">
        <f>IF(Table46[[#This Row],[CODE]]=12, Table46[ [#This Row],[Account Deposit Amount] ]-Table46[ [#This Row],[Account Withdrawl Amount] ], )</f>
        <v>0</v>
      </c>
      <c r="Q23" s="128">
        <f>IF(Table46[[#This Row],[CODE]]=13, Table46[ [#This Row],[Account Deposit Amount] ]-Table46[ [#This Row],[Account Withdrawl Amount] ], )</f>
        <v>0</v>
      </c>
      <c r="R23" s="128">
        <f>IF(Table46[[#This Row],[CODE]]=14, Table46[ [#This Row],[Account Deposit Amount] ]-Table46[ [#This Row],[Account Withdrawl Amount] ], )</f>
        <v>0</v>
      </c>
      <c r="S23" s="128">
        <f>IF(Table46[[#This Row],[CODE]]=15, Table46[ [#This Row],[Account Deposit Amount] ]-Table46[ [#This Row],[Account Withdrawl Amount] ], )</f>
        <v>0</v>
      </c>
      <c r="T23" s="128">
        <f>IF(Table46[[#This Row],[CODE]]=16, Table46[ [#This Row],[Account Deposit Amount] ]-Table46[ [#This Row],[Account Withdrawl Amount] ], )</f>
        <v>0</v>
      </c>
      <c r="U23" s="127">
        <f>IF(Table46[[#This Row],[CODE]]=17, Table46[ [#This Row],[Account Deposit Amount] ]-Table46[ [#This Row],[Account Withdrawl Amount] ], )</f>
        <v>0</v>
      </c>
    </row>
    <row r="24" spans="1:21" ht="16.2" thickBot="1">
      <c r="A24" s="130"/>
      <c r="B24" s="133"/>
      <c r="C24" s="130"/>
      <c r="D24" s="132"/>
      <c r="E24" s="150"/>
      <c r="F24" s="128"/>
      <c r="G24" s="134">
        <f t="shared" si="2"/>
        <v>27476.099999999991</v>
      </c>
      <c r="H24" s="130"/>
      <c r="I24" s="127">
        <f>IF(Table46[[#This Row],[CODE]]=1, Table46[ [#This Row],[Account Deposit Amount] ]-Table46[ [#This Row],[Account Withdrawl Amount] ], )</f>
        <v>0</v>
      </c>
      <c r="J24" s="129">
        <f>IF(Table46[[#This Row],[CODE]]=2, Table46[ [#This Row],[Account Deposit Amount] ]-Table46[ [#This Row],[Account Withdrawl Amount] ], )</f>
        <v>0</v>
      </c>
      <c r="K24" s="129">
        <f>IF(Table46[[#This Row],[CODE]]=3, Table46[ [#This Row],[Account Deposit Amount] ]-Table46[ [#This Row],[Account Withdrawl Amount] ], )</f>
        <v>0</v>
      </c>
      <c r="L24" s="128">
        <f>IF(Table46[[#This Row],[CODE]]=4, Table46[ [#This Row],[Account Deposit Amount] ]-Table46[ [#This Row],[Account Withdrawl Amount] ], )</f>
        <v>0</v>
      </c>
      <c r="M24" s="128">
        <f>IF(Table46[[#This Row],[CODE]]=5, Table46[ [#This Row],[Account Deposit Amount] ]-Table46[ [#This Row],[Account Withdrawl Amount] ], )</f>
        <v>0</v>
      </c>
      <c r="N24" s="128">
        <f>IF(Table46[[#This Row],[CODE]]=6, Table46[ [#This Row],[Account Deposit Amount] ]-Table46[ [#This Row],[Account Withdrawl Amount] ], )</f>
        <v>0</v>
      </c>
      <c r="O24" s="128">
        <f>IF(Table46[[#This Row],[CODE]]=11, Table46[ [#This Row],[Account Deposit Amount] ]-Table46[ [#This Row],[Account Withdrawl Amount] ], )</f>
        <v>0</v>
      </c>
      <c r="P24" s="128">
        <f>IF(Table46[[#This Row],[CODE]]=12, Table46[ [#This Row],[Account Deposit Amount] ]-Table46[ [#This Row],[Account Withdrawl Amount] ], )</f>
        <v>0</v>
      </c>
      <c r="Q24" s="128">
        <f>IF(Table46[[#This Row],[CODE]]=13, Table46[ [#This Row],[Account Deposit Amount] ]-Table46[ [#This Row],[Account Withdrawl Amount] ], )</f>
        <v>0</v>
      </c>
      <c r="R24" s="128">
        <f>IF(Table46[[#This Row],[CODE]]=14, Table46[ [#This Row],[Account Deposit Amount] ]-Table46[ [#This Row],[Account Withdrawl Amount] ], )</f>
        <v>0</v>
      </c>
      <c r="S24" s="128">
        <f>IF(Table46[[#This Row],[CODE]]=15, Table46[ [#This Row],[Account Deposit Amount] ]-Table46[ [#This Row],[Account Withdrawl Amount] ], )</f>
        <v>0</v>
      </c>
      <c r="T24" s="128">
        <f>IF(Table46[[#This Row],[CODE]]=16, Table46[ [#This Row],[Account Deposit Amount] ]-Table46[ [#This Row],[Account Withdrawl Amount] ], )</f>
        <v>0</v>
      </c>
      <c r="U24" s="127">
        <f>IF(Table46[[#This Row],[CODE]]=17, Table46[ [#This Row],[Account Deposit Amount] ]-Table46[ [#This Row],[Account Withdrawl Amount] ], )</f>
        <v>0</v>
      </c>
    </row>
    <row r="25" spans="1:21" ht="16.2" thickBot="1">
      <c r="A25" s="130"/>
      <c r="B25" s="133"/>
      <c r="C25" s="130"/>
      <c r="D25" s="132"/>
      <c r="E25" s="150"/>
      <c r="F25" s="128"/>
      <c r="G25" s="134">
        <f t="shared" si="2"/>
        <v>27476.099999999991</v>
      </c>
      <c r="H25" s="130"/>
      <c r="I25" s="127">
        <f>IF(Table46[[#This Row],[CODE]]=1, Table46[ [#This Row],[Account Deposit Amount] ]-Table46[ [#This Row],[Account Withdrawl Amount] ], )</f>
        <v>0</v>
      </c>
      <c r="J25" s="129">
        <f>IF(Table46[[#This Row],[CODE]]=2, Table46[ [#This Row],[Account Deposit Amount] ]-Table46[ [#This Row],[Account Withdrawl Amount] ], )</f>
        <v>0</v>
      </c>
      <c r="K25" s="129">
        <f>IF(Table46[[#This Row],[CODE]]=3, Table46[ [#This Row],[Account Deposit Amount] ]-Table46[ [#This Row],[Account Withdrawl Amount] ], )</f>
        <v>0</v>
      </c>
      <c r="L25" s="128">
        <f>IF(Table46[[#This Row],[CODE]]=4, Table46[ [#This Row],[Account Deposit Amount] ]-Table46[ [#This Row],[Account Withdrawl Amount] ], )</f>
        <v>0</v>
      </c>
      <c r="M25" s="128">
        <f>IF(Table46[[#This Row],[CODE]]=5, Table46[ [#This Row],[Account Deposit Amount] ]-Table46[ [#This Row],[Account Withdrawl Amount] ], )</f>
        <v>0</v>
      </c>
      <c r="N25" s="128">
        <f>IF(Table46[[#This Row],[CODE]]=6, Table46[ [#This Row],[Account Deposit Amount] ]-Table46[ [#This Row],[Account Withdrawl Amount] ], )</f>
        <v>0</v>
      </c>
      <c r="O25" s="128">
        <f>IF(Table46[[#This Row],[CODE]]=11, Table46[ [#This Row],[Account Deposit Amount] ]-Table46[ [#This Row],[Account Withdrawl Amount] ], )</f>
        <v>0</v>
      </c>
      <c r="P25" s="128">
        <f>IF(Table46[[#This Row],[CODE]]=12, Table46[ [#This Row],[Account Deposit Amount] ]-Table46[ [#This Row],[Account Withdrawl Amount] ], )</f>
        <v>0</v>
      </c>
      <c r="Q25" s="128">
        <f>IF(Table46[[#This Row],[CODE]]=13, Table46[ [#This Row],[Account Deposit Amount] ]-Table46[ [#This Row],[Account Withdrawl Amount] ], )</f>
        <v>0</v>
      </c>
      <c r="R25" s="128">
        <f>IF(Table46[[#This Row],[CODE]]=14, Table46[ [#This Row],[Account Deposit Amount] ]-Table46[ [#This Row],[Account Withdrawl Amount] ], )</f>
        <v>0</v>
      </c>
      <c r="S25" s="128">
        <f>IF(Table46[[#This Row],[CODE]]=15, Table46[ [#This Row],[Account Deposit Amount] ]-Table46[ [#This Row],[Account Withdrawl Amount] ], )</f>
        <v>0</v>
      </c>
      <c r="T25" s="128">
        <f>IF(Table46[[#This Row],[CODE]]=16, Table46[ [#This Row],[Account Deposit Amount] ]-Table46[ [#This Row],[Account Withdrawl Amount] ], )</f>
        <v>0</v>
      </c>
      <c r="U25" s="127">
        <f>IF(Table46[[#This Row],[CODE]]=17, Table46[ [#This Row],[Account Deposit Amount] ]-Table46[ [#This Row],[Account Withdrawl Amount] ], )</f>
        <v>0</v>
      </c>
    </row>
    <row r="26" spans="1:21" ht="16.2" thickBot="1">
      <c r="A26" s="130"/>
      <c r="B26" s="133"/>
      <c r="C26" s="130"/>
      <c r="D26" s="132"/>
      <c r="E26" s="150"/>
      <c r="F26" s="128"/>
      <c r="G26" s="134">
        <f t="shared" si="2"/>
        <v>27476.099999999991</v>
      </c>
      <c r="H26" s="130"/>
      <c r="I26" s="127">
        <f>IF(Table46[[#This Row],[CODE]]=1, Table46[ [#This Row],[Account Deposit Amount] ]-Table46[ [#This Row],[Account Withdrawl Amount] ], )</f>
        <v>0</v>
      </c>
      <c r="J26" s="129">
        <f>IF(Table46[[#This Row],[CODE]]=2, Table46[ [#This Row],[Account Deposit Amount] ]-Table46[ [#This Row],[Account Withdrawl Amount] ], )</f>
        <v>0</v>
      </c>
      <c r="K26" s="129">
        <f>IF(Table46[[#This Row],[CODE]]=3, Table46[ [#This Row],[Account Deposit Amount] ]-Table46[ [#This Row],[Account Withdrawl Amount] ], )</f>
        <v>0</v>
      </c>
      <c r="L26" s="128">
        <f>IF(Table46[[#This Row],[CODE]]=4, Table46[ [#This Row],[Account Deposit Amount] ]-Table46[ [#This Row],[Account Withdrawl Amount] ], )</f>
        <v>0</v>
      </c>
      <c r="M26" s="128">
        <f>IF(Table46[[#This Row],[CODE]]=5, Table46[ [#This Row],[Account Deposit Amount] ]-Table46[ [#This Row],[Account Withdrawl Amount] ], )</f>
        <v>0</v>
      </c>
      <c r="N26" s="128">
        <f>IF(Table46[[#This Row],[CODE]]=6, Table46[ [#This Row],[Account Deposit Amount] ]-Table46[ [#This Row],[Account Withdrawl Amount] ], )</f>
        <v>0</v>
      </c>
      <c r="O26" s="128">
        <f>IF(Table46[[#This Row],[CODE]]=11, Table46[ [#This Row],[Account Deposit Amount] ]-Table46[ [#This Row],[Account Withdrawl Amount] ], )</f>
        <v>0</v>
      </c>
      <c r="P26" s="128">
        <f>IF(Table46[[#This Row],[CODE]]=12, Table46[ [#This Row],[Account Deposit Amount] ]-Table46[ [#This Row],[Account Withdrawl Amount] ], )</f>
        <v>0</v>
      </c>
      <c r="Q26" s="128">
        <f>IF(Table46[[#This Row],[CODE]]=13, Table46[ [#This Row],[Account Deposit Amount] ]-Table46[ [#This Row],[Account Withdrawl Amount] ], )</f>
        <v>0</v>
      </c>
      <c r="R26" s="128">
        <f>IF(Table46[[#This Row],[CODE]]=14, Table46[ [#This Row],[Account Deposit Amount] ]-Table46[ [#This Row],[Account Withdrawl Amount] ], )</f>
        <v>0</v>
      </c>
      <c r="S26" s="128">
        <f>IF(Table46[[#This Row],[CODE]]=15, Table46[ [#This Row],[Account Deposit Amount] ]-Table46[ [#This Row],[Account Withdrawl Amount] ], )</f>
        <v>0</v>
      </c>
      <c r="T26" s="128">
        <f>IF(Table46[[#This Row],[CODE]]=16, Table46[ [#This Row],[Account Deposit Amount] ]-Table46[ [#This Row],[Account Withdrawl Amount] ], )</f>
        <v>0</v>
      </c>
      <c r="U26" s="127">
        <f>IF(Table46[[#This Row],[CODE]]=17, Table46[ [#This Row],[Account Deposit Amount] ]-Table46[ [#This Row],[Account Withdrawl Amount] ], )</f>
        <v>0</v>
      </c>
    </row>
    <row r="27" spans="1:21" ht="16.2" thickBot="1">
      <c r="A27" s="130"/>
      <c r="B27" s="133"/>
      <c r="C27" s="130"/>
      <c r="D27" s="132"/>
      <c r="E27" s="150"/>
      <c r="F27" s="128"/>
      <c r="G27" s="134">
        <f t="shared" si="2"/>
        <v>27476.099999999991</v>
      </c>
      <c r="H27" s="130"/>
      <c r="I27" s="127">
        <f>IF(Table46[[#This Row],[CODE]]=1, Table46[ [#This Row],[Account Deposit Amount] ]-Table46[ [#This Row],[Account Withdrawl Amount] ], )</f>
        <v>0</v>
      </c>
      <c r="J27" s="129">
        <f>IF(Table46[[#This Row],[CODE]]=2, Table46[ [#This Row],[Account Deposit Amount] ]-Table46[ [#This Row],[Account Withdrawl Amount] ], )</f>
        <v>0</v>
      </c>
      <c r="K27" s="129">
        <f>IF(Table46[[#This Row],[CODE]]=3, Table46[ [#This Row],[Account Deposit Amount] ]-Table46[ [#This Row],[Account Withdrawl Amount] ], )</f>
        <v>0</v>
      </c>
      <c r="L27" s="128">
        <f>IF(Table46[[#This Row],[CODE]]=4, Table46[ [#This Row],[Account Deposit Amount] ]-Table46[ [#This Row],[Account Withdrawl Amount] ], )</f>
        <v>0</v>
      </c>
      <c r="M27" s="128">
        <f>IF(Table46[[#This Row],[CODE]]=5, Table46[ [#This Row],[Account Deposit Amount] ]-Table46[ [#This Row],[Account Withdrawl Amount] ], )</f>
        <v>0</v>
      </c>
      <c r="N27" s="128">
        <f>IF(Table46[[#This Row],[CODE]]=6, Table46[ [#This Row],[Account Deposit Amount] ]-Table46[ [#This Row],[Account Withdrawl Amount] ], )</f>
        <v>0</v>
      </c>
      <c r="O27" s="128">
        <f>IF(Table46[[#This Row],[CODE]]=11, Table46[ [#This Row],[Account Deposit Amount] ]-Table46[ [#This Row],[Account Withdrawl Amount] ], )</f>
        <v>0</v>
      </c>
      <c r="P27" s="128">
        <f>IF(Table46[[#This Row],[CODE]]=12, Table46[ [#This Row],[Account Deposit Amount] ]-Table46[ [#This Row],[Account Withdrawl Amount] ], )</f>
        <v>0</v>
      </c>
      <c r="Q27" s="128">
        <f>IF(Table46[[#This Row],[CODE]]=13, Table46[ [#This Row],[Account Deposit Amount] ]-Table46[ [#This Row],[Account Withdrawl Amount] ], )</f>
        <v>0</v>
      </c>
      <c r="R27" s="128">
        <f>IF(Table46[[#This Row],[CODE]]=14, Table46[ [#This Row],[Account Deposit Amount] ]-Table46[ [#This Row],[Account Withdrawl Amount] ], )</f>
        <v>0</v>
      </c>
      <c r="S27" s="128">
        <f>IF(Table46[[#This Row],[CODE]]=15, Table46[ [#This Row],[Account Deposit Amount] ]-Table46[ [#This Row],[Account Withdrawl Amount] ], )</f>
        <v>0</v>
      </c>
      <c r="T27" s="128">
        <f>IF(Table46[[#This Row],[CODE]]=16, Table46[ [#This Row],[Account Deposit Amount] ]-Table46[ [#This Row],[Account Withdrawl Amount] ], )</f>
        <v>0</v>
      </c>
      <c r="U27" s="127">
        <f>IF(Table46[[#This Row],[CODE]]=17, Table46[ [#This Row],[Account Deposit Amount] ]-Table46[ [#This Row],[Account Withdrawl Amount] ], )</f>
        <v>0</v>
      </c>
    </row>
    <row r="28" spans="1:21" ht="16.2" thickBot="1">
      <c r="A28" s="130"/>
      <c r="B28" s="133"/>
      <c r="C28" s="130"/>
      <c r="D28" s="132"/>
      <c r="E28" s="150"/>
      <c r="F28" s="128"/>
      <c r="G28" s="134">
        <f t="shared" si="2"/>
        <v>27476.099999999991</v>
      </c>
      <c r="H28" s="130"/>
      <c r="I28" s="127">
        <f>IF(Table46[[#This Row],[CODE]]=1, Table46[ [#This Row],[Account Deposit Amount] ]-Table46[ [#This Row],[Account Withdrawl Amount] ], )</f>
        <v>0</v>
      </c>
      <c r="J28" s="129">
        <f>IF(Table46[[#This Row],[CODE]]=2, Table46[ [#This Row],[Account Deposit Amount] ]-Table46[ [#This Row],[Account Withdrawl Amount] ], )</f>
        <v>0</v>
      </c>
      <c r="K28" s="129">
        <f>IF(Table46[[#This Row],[CODE]]=3, Table46[ [#This Row],[Account Deposit Amount] ]-Table46[ [#This Row],[Account Withdrawl Amount] ], )</f>
        <v>0</v>
      </c>
      <c r="L28" s="128">
        <f>IF(Table46[[#This Row],[CODE]]=4, Table46[ [#This Row],[Account Deposit Amount] ]-Table46[ [#This Row],[Account Withdrawl Amount] ], )</f>
        <v>0</v>
      </c>
      <c r="M28" s="128">
        <f>IF(Table46[[#This Row],[CODE]]=5, Table46[ [#This Row],[Account Deposit Amount] ]-Table46[ [#This Row],[Account Withdrawl Amount] ], )</f>
        <v>0</v>
      </c>
      <c r="N28" s="128">
        <f>IF(Table46[[#This Row],[CODE]]=6, Table46[ [#This Row],[Account Deposit Amount] ]-Table46[ [#This Row],[Account Withdrawl Amount] ], )</f>
        <v>0</v>
      </c>
      <c r="O28" s="128">
        <f>IF(Table46[[#This Row],[CODE]]=11, Table46[ [#This Row],[Account Deposit Amount] ]-Table46[ [#This Row],[Account Withdrawl Amount] ], )</f>
        <v>0</v>
      </c>
      <c r="P28" s="128">
        <f>IF(Table46[[#This Row],[CODE]]=12, Table46[ [#This Row],[Account Deposit Amount] ]-Table46[ [#This Row],[Account Withdrawl Amount] ], )</f>
        <v>0</v>
      </c>
      <c r="Q28" s="128">
        <f>IF(Table46[[#This Row],[CODE]]=13, Table46[ [#This Row],[Account Deposit Amount] ]-Table46[ [#This Row],[Account Withdrawl Amount] ], )</f>
        <v>0</v>
      </c>
      <c r="R28" s="128">
        <f>IF(Table46[[#This Row],[CODE]]=14, Table46[ [#This Row],[Account Deposit Amount] ]-Table46[ [#This Row],[Account Withdrawl Amount] ], )</f>
        <v>0</v>
      </c>
      <c r="S28" s="128">
        <f>IF(Table46[[#This Row],[CODE]]=15, Table46[ [#This Row],[Account Deposit Amount] ]-Table46[ [#This Row],[Account Withdrawl Amount] ], )</f>
        <v>0</v>
      </c>
      <c r="T28" s="128">
        <f>IF(Table46[[#This Row],[CODE]]=16, Table46[ [#This Row],[Account Deposit Amount] ]-Table46[ [#This Row],[Account Withdrawl Amount] ], )</f>
        <v>0</v>
      </c>
      <c r="U28" s="127">
        <f>IF(Table46[[#This Row],[CODE]]=17, Table46[ [#This Row],[Account Deposit Amount] ]-Table46[ [#This Row],[Account Withdrawl Amount] ], )</f>
        <v>0</v>
      </c>
    </row>
    <row r="29" spans="1:21" ht="16.2" thickBot="1">
      <c r="A29" s="130"/>
      <c r="B29" s="133"/>
      <c r="C29" s="130"/>
      <c r="D29" s="132"/>
      <c r="E29" s="150"/>
      <c r="F29" s="128"/>
      <c r="G29" s="134">
        <f t="shared" si="2"/>
        <v>27476.099999999991</v>
      </c>
      <c r="H29" s="130"/>
      <c r="I29" s="127">
        <f>IF(Table46[[#This Row],[CODE]]=1, Table46[ [#This Row],[Account Deposit Amount] ]-Table46[ [#This Row],[Account Withdrawl Amount] ], )</f>
        <v>0</v>
      </c>
      <c r="J29" s="129">
        <f>IF(Table46[[#This Row],[CODE]]=2, Table46[ [#This Row],[Account Deposit Amount] ]-Table46[ [#This Row],[Account Withdrawl Amount] ], )</f>
        <v>0</v>
      </c>
      <c r="K29" s="129">
        <f>IF(Table46[[#This Row],[CODE]]=3, Table46[ [#This Row],[Account Deposit Amount] ]-Table46[ [#This Row],[Account Withdrawl Amount] ], )</f>
        <v>0</v>
      </c>
      <c r="L29" s="128">
        <f>IF(Table46[[#This Row],[CODE]]=4, Table46[ [#This Row],[Account Deposit Amount] ]-Table46[ [#This Row],[Account Withdrawl Amount] ], )</f>
        <v>0</v>
      </c>
      <c r="M29" s="128">
        <f>IF(Table46[[#This Row],[CODE]]=5, Table46[ [#This Row],[Account Deposit Amount] ]-Table46[ [#This Row],[Account Withdrawl Amount] ], )</f>
        <v>0</v>
      </c>
      <c r="N29" s="128">
        <f>IF(Table46[[#This Row],[CODE]]=6, Table46[ [#This Row],[Account Deposit Amount] ]-Table46[ [#This Row],[Account Withdrawl Amount] ], )</f>
        <v>0</v>
      </c>
      <c r="O29" s="128">
        <f>IF(Table46[[#This Row],[CODE]]=11, Table46[ [#This Row],[Account Deposit Amount] ]-Table46[ [#This Row],[Account Withdrawl Amount] ], )</f>
        <v>0</v>
      </c>
      <c r="P29" s="128">
        <f>IF(Table46[[#This Row],[CODE]]=12, Table46[ [#This Row],[Account Deposit Amount] ]-Table46[ [#This Row],[Account Withdrawl Amount] ], )</f>
        <v>0</v>
      </c>
      <c r="Q29" s="128">
        <f>IF(Table46[[#This Row],[CODE]]=13, Table46[ [#This Row],[Account Deposit Amount] ]-Table46[ [#This Row],[Account Withdrawl Amount] ], )</f>
        <v>0</v>
      </c>
      <c r="R29" s="128">
        <f>IF(Table46[[#This Row],[CODE]]=14, Table46[ [#This Row],[Account Deposit Amount] ]-Table46[ [#This Row],[Account Withdrawl Amount] ], )</f>
        <v>0</v>
      </c>
      <c r="S29" s="128">
        <f>IF(Table46[[#This Row],[CODE]]=15, Table46[ [#This Row],[Account Deposit Amount] ]-Table46[ [#This Row],[Account Withdrawl Amount] ], )</f>
        <v>0</v>
      </c>
      <c r="T29" s="128">
        <f>IF(Table46[[#This Row],[CODE]]=16, Table46[ [#This Row],[Account Deposit Amount] ]-Table46[ [#This Row],[Account Withdrawl Amount] ], )</f>
        <v>0</v>
      </c>
      <c r="U29" s="127">
        <f>IF(Table46[[#This Row],[CODE]]=17, Table46[ [#This Row],[Account Deposit Amount] ]-Table46[ [#This Row],[Account Withdrawl Amount] ], )</f>
        <v>0</v>
      </c>
    </row>
    <row r="30" spans="1:21" ht="16.2" thickBot="1">
      <c r="A30" s="130"/>
      <c r="B30" s="133"/>
      <c r="C30" s="130"/>
      <c r="D30" s="132"/>
      <c r="E30" s="150"/>
      <c r="F30" s="128"/>
      <c r="G30" s="134">
        <f t="shared" si="2"/>
        <v>27476.099999999991</v>
      </c>
      <c r="H30" s="130"/>
      <c r="I30" s="127">
        <f>IF(Table46[[#This Row],[CODE]]=1, Table46[ [#This Row],[Account Deposit Amount] ]-Table46[ [#This Row],[Account Withdrawl Amount] ], )</f>
        <v>0</v>
      </c>
      <c r="J30" s="129">
        <f>IF(Table46[[#This Row],[CODE]]=2, Table46[ [#This Row],[Account Deposit Amount] ]-Table46[ [#This Row],[Account Withdrawl Amount] ], )</f>
        <v>0</v>
      </c>
      <c r="K30" s="129">
        <f>IF(Table46[[#This Row],[CODE]]=3, Table46[ [#This Row],[Account Deposit Amount] ]-Table46[ [#This Row],[Account Withdrawl Amount] ], )</f>
        <v>0</v>
      </c>
      <c r="L30" s="128">
        <f>IF(Table46[[#This Row],[CODE]]=4, Table46[ [#This Row],[Account Deposit Amount] ]-Table46[ [#This Row],[Account Withdrawl Amount] ], )</f>
        <v>0</v>
      </c>
      <c r="M30" s="128">
        <f>IF(Table46[[#This Row],[CODE]]=5, Table46[ [#This Row],[Account Deposit Amount] ]-Table46[ [#This Row],[Account Withdrawl Amount] ], )</f>
        <v>0</v>
      </c>
      <c r="N30" s="128">
        <f>IF(Table46[[#This Row],[CODE]]=6, Table46[ [#This Row],[Account Deposit Amount] ]-Table46[ [#This Row],[Account Withdrawl Amount] ], )</f>
        <v>0</v>
      </c>
      <c r="O30" s="128">
        <f>IF(Table46[[#This Row],[CODE]]=11, Table46[ [#This Row],[Account Deposit Amount] ]-Table46[ [#This Row],[Account Withdrawl Amount] ], )</f>
        <v>0</v>
      </c>
      <c r="P30" s="128">
        <f>IF(Table46[[#This Row],[CODE]]=12, Table46[ [#This Row],[Account Deposit Amount] ]-Table46[ [#This Row],[Account Withdrawl Amount] ], )</f>
        <v>0</v>
      </c>
      <c r="Q30" s="128">
        <f>IF(Table46[[#This Row],[CODE]]=13, Table46[ [#This Row],[Account Deposit Amount] ]-Table46[ [#This Row],[Account Withdrawl Amount] ], )</f>
        <v>0</v>
      </c>
      <c r="R30" s="128">
        <f>IF(Table46[[#This Row],[CODE]]=14, Table46[ [#This Row],[Account Deposit Amount] ]-Table46[ [#This Row],[Account Withdrawl Amount] ], )</f>
        <v>0</v>
      </c>
      <c r="S30" s="128">
        <f>IF(Table46[[#This Row],[CODE]]=15, Table46[ [#This Row],[Account Deposit Amount] ]-Table46[ [#This Row],[Account Withdrawl Amount] ], )</f>
        <v>0</v>
      </c>
      <c r="T30" s="128">
        <f>IF(Table46[[#This Row],[CODE]]=16, Table46[ [#This Row],[Account Deposit Amount] ]-Table46[ [#This Row],[Account Withdrawl Amount] ], )</f>
        <v>0</v>
      </c>
      <c r="U30" s="127">
        <f>IF(Table46[[#This Row],[CODE]]=17, Table46[ [#This Row],[Account Deposit Amount] ]-Table46[ [#This Row],[Account Withdrawl Amount] ], )</f>
        <v>0</v>
      </c>
    </row>
    <row r="31" spans="1:21" ht="16.2" thickBot="1">
      <c r="A31" s="130"/>
      <c r="B31" s="133"/>
      <c r="C31" s="130"/>
      <c r="D31" s="132"/>
      <c r="E31" s="150"/>
      <c r="F31" s="128"/>
      <c r="G31" s="134">
        <f t="shared" si="2"/>
        <v>27476.099999999991</v>
      </c>
      <c r="H31" s="130"/>
      <c r="I31" s="127">
        <f>IF(Table46[[#This Row],[CODE]]=1, Table46[ [#This Row],[Account Deposit Amount] ]-Table46[ [#This Row],[Account Withdrawl Amount] ], )</f>
        <v>0</v>
      </c>
      <c r="J31" s="129">
        <f>IF(Table46[[#This Row],[CODE]]=2, Table46[ [#This Row],[Account Deposit Amount] ]-Table46[ [#This Row],[Account Withdrawl Amount] ], )</f>
        <v>0</v>
      </c>
      <c r="K31" s="129">
        <f>IF(Table46[[#This Row],[CODE]]=3, Table46[ [#This Row],[Account Deposit Amount] ]-Table46[ [#This Row],[Account Withdrawl Amount] ], )</f>
        <v>0</v>
      </c>
      <c r="L31" s="128">
        <f>IF(Table46[[#This Row],[CODE]]=4, Table46[ [#This Row],[Account Deposit Amount] ]-Table46[ [#This Row],[Account Withdrawl Amount] ], )</f>
        <v>0</v>
      </c>
      <c r="M31" s="128">
        <f>IF(Table46[[#This Row],[CODE]]=5, Table46[ [#This Row],[Account Deposit Amount] ]-Table46[ [#This Row],[Account Withdrawl Amount] ], )</f>
        <v>0</v>
      </c>
      <c r="N31" s="128">
        <f>IF(Table46[[#This Row],[CODE]]=6, Table46[ [#This Row],[Account Deposit Amount] ]-Table46[ [#This Row],[Account Withdrawl Amount] ], )</f>
        <v>0</v>
      </c>
      <c r="O31" s="128">
        <f>IF(Table46[[#This Row],[CODE]]=11, Table46[ [#This Row],[Account Deposit Amount] ]-Table46[ [#This Row],[Account Withdrawl Amount] ], )</f>
        <v>0</v>
      </c>
      <c r="P31" s="128">
        <f>IF(Table46[[#This Row],[CODE]]=12, Table46[ [#This Row],[Account Deposit Amount] ]-Table46[ [#This Row],[Account Withdrawl Amount] ], )</f>
        <v>0</v>
      </c>
      <c r="Q31" s="128">
        <f>IF(Table46[[#This Row],[CODE]]=13, Table46[ [#This Row],[Account Deposit Amount] ]-Table46[ [#This Row],[Account Withdrawl Amount] ], )</f>
        <v>0</v>
      </c>
      <c r="R31" s="128">
        <f>IF(Table46[[#This Row],[CODE]]=14, Table46[ [#This Row],[Account Deposit Amount] ]-Table46[ [#This Row],[Account Withdrawl Amount] ], )</f>
        <v>0</v>
      </c>
      <c r="S31" s="128">
        <f>IF(Table46[[#This Row],[CODE]]=15, Table46[ [#This Row],[Account Deposit Amount] ]-Table46[ [#This Row],[Account Withdrawl Amount] ], )</f>
        <v>0</v>
      </c>
      <c r="T31" s="128">
        <f>IF(Table46[[#This Row],[CODE]]=16, Table46[ [#This Row],[Account Deposit Amount] ]-Table46[ [#This Row],[Account Withdrawl Amount] ], )</f>
        <v>0</v>
      </c>
      <c r="U31" s="127">
        <f>IF(Table46[[#This Row],[CODE]]=17, Table46[ [#This Row],[Account Deposit Amount] ]-Table46[ [#This Row],[Account Withdrawl Amount] ], )</f>
        <v>0</v>
      </c>
    </row>
    <row r="32" spans="1:21" ht="16.2" thickBot="1">
      <c r="A32" s="130"/>
      <c r="B32" s="133"/>
      <c r="C32" s="130"/>
      <c r="D32" s="132"/>
      <c r="E32" s="150"/>
      <c r="F32" s="128"/>
      <c r="G32" s="134">
        <f t="shared" si="2"/>
        <v>27476.099999999991</v>
      </c>
      <c r="H32" s="130"/>
      <c r="I32" s="127">
        <f>IF(Table46[[#This Row],[CODE]]=1, Table46[ [#This Row],[Account Deposit Amount] ]-Table46[ [#This Row],[Account Withdrawl Amount] ], )</f>
        <v>0</v>
      </c>
      <c r="J32" s="129">
        <f>IF(Table46[[#This Row],[CODE]]=2, Table46[ [#This Row],[Account Deposit Amount] ]-Table46[ [#This Row],[Account Withdrawl Amount] ], )</f>
        <v>0</v>
      </c>
      <c r="K32" s="129">
        <f>IF(Table46[[#This Row],[CODE]]=3, Table46[ [#This Row],[Account Deposit Amount] ]-Table46[ [#This Row],[Account Withdrawl Amount] ], )</f>
        <v>0</v>
      </c>
      <c r="L32" s="128">
        <f>IF(Table46[[#This Row],[CODE]]=4, Table46[ [#This Row],[Account Deposit Amount] ]-Table46[ [#This Row],[Account Withdrawl Amount] ], )</f>
        <v>0</v>
      </c>
      <c r="M32" s="128">
        <f>IF(Table46[[#This Row],[CODE]]=5, Table46[ [#This Row],[Account Deposit Amount] ]-Table46[ [#This Row],[Account Withdrawl Amount] ], )</f>
        <v>0</v>
      </c>
      <c r="N32" s="128">
        <f>IF(Table46[[#This Row],[CODE]]=6, Table46[ [#This Row],[Account Deposit Amount] ]-Table46[ [#This Row],[Account Withdrawl Amount] ], )</f>
        <v>0</v>
      </c>
      <c r="O32" s="128">
        <f>IF(Table46[[#This Row],[CODE]]=11, Table46[ [#This Row],[Account Deposit Amount] ]-Table46[ [#This Row],[Account Withdrawl Amount] ], )</f>
        <v>0</v>
      </c>
      <c r="P32" s="128">
        <f>IF(Table46[[#This Row],[CODE]]=12, Table46[ [#This Row],[Account Deposit Amount] ]-Table46[ [#This Row],[Account Withdrawl Amount] ], )</f>
        <v>0</v>
      </c>
      <c r="Q32" s="128">
        <f>IF(Table46[[#This Row],[CODE]]=13, Table46[ [#This Row],[Account Deposit Amount] ]-Table46[ [#This Row],[Account Withdrawl Amount] ], )</f>
        <v>0</v>
      </c>
      <c r="R32" s="128">
        <f>IF(Table46[[#This Row],[CODE]]=14, Table46[ [#This Row],[Account Deposit Amount] ]-Table46[ [#This Row],[Account Withdrawl Amount] ], )</f>
        <v>0</v>
      </c>
      <c r="S32" s="128">
        <f>IF(Table46[[#This Row],[CODE]]=15, Table46[ [#This Row],[Account Deposit Amount] ]-Table46[ [#This Row],[Account Withdrawl Amount] ], )</f>
        <v>0</v>
      </c>
      <c r="T32" s="128">
        <f>IF(Table46[[#This Row],[CODE]]=16, Table46[ [#This Row],[Account Deposit Amount] ]-Table46[ [#This Row],[Account Withdrawl Amount] ], )</f>
        <v>0</v>
      </c>
      <c r="U32" s="127">
        <f>IF(Table46[[#This Row],[CODE]]=17, Table46[ [#This Row],[Account Deposit Amount] ]-Table46[ [#This Row],[Account Withdrawl Amount] ], )</f>
        <v>0</v>
      </c>
    </row>
    <row r="33" spans="1:21" ht="16.2" thickBot="1">
      <c r="A33" s="130"/>
      <c r="B33" s="133"/>
      <c r="C33" s="130"/>
      <c r="D33" s="132"/>
      <c r="E33" s="150"/>
      <c r="F33" s="128"/>
      <c r="G33" s="134">
        <f t="shared" si="2"/>
        <v>27476.099999999991</v>
      </c>
      <c r="H33" s="130"/>
      <c r="I33" s="127">
        <f>IF(Table46[[#This Row],[CODE]]=1, Table46[ [#This Row],[Account Deposit Amount] ]-Table46[ [#This Row],[Account Withdrawl Amount] ], )</f>
        <v>0</v>
      </c>
      <c r="J33" s="129">
        <f>IF(Table46[[#This Row],[CODE]]=2, Table46[ [#This Row],[Account Deposit Amount] ]-Table46[ [#This Row],[Account Withdrawl Amount] ], )</f>
        <v>0</v>
      </c>
      <c r="K33" s="129">
        <f>IF(Table46[[#This Row],[CODE]]=3, Table46[ [#This Row],[Account Deposit Amount] ]-Table46[ [#This Row],[Account Withdrawl Amount] ], )</f>
        <v>0</v>
      </c>
      <c r="L33" s="128">
        <f>IF(Table46[[#This Row],[CODE]]=4, Table46[ [#This Row],[Account Deposit Amount] ]-Table46[ [#This Row],[Account Withdrawl Amount] ], )</f>
        <v>0</v>
      </c>
      <c r="M33" s="128">
        <f>IF(Table46[[#This Row],[CODE]]=5, Table46[ [#This Row],[Account Deposit Amount] ]-Table46[ [#This Row],[Account Withdrawl Amount] ], )</f>
        <v>0</v>
      </c>
      <c r="N33" s="128">
        <f>IF(Table46[[#This Row],[CODE]]=6, Table46[ [#This Row],[Account Deposit Amount] ]-Table46[ [#This Row],[Account Withdrawl Amount] ], )</f>
        <v>0</v>
      </c>
      <c r="O33" s="128">
        <f>IF(Table46[[#This Row],[CODE]]=11, Table46[ [#This Row],[Account Deposit Amount] ]-Table46[ [#This Row],[Account Withdrawl Amount] ], )</f>
        <v>0</v>
      </c>
      <c r="P33" s="128">
        <f>IF(Table46[[#This Row],[CODE]]=12, Table46[ [#This Row],[Account Deposit Amount] ]-Table46[ [#This Row],[Account Withdrawl Amount] ], )</f>
        <v>0</v>
      </c>
      <c r="Q33" s="128">
        <f>IF(Table46[[#This Row],[CODE]]=13, Table46[ [#This Row],[Account Deposit Amount] ]-Table46[ [#This Row],[Account Withdrawl Amount] ], )</f>
        <v>0</v>
      </c>
      <c r="R33" s="128">
        <f>IF(Table46[[#This Row],[CODE]]=14, Table46[ [#This Row],[Account Deposit Amount] ]-Table46[ [#This Row],[Account Withdrawl Amount] ], )</f>
        <v>0</v>
      </c>
      <c r="S33" s="128">
        <f>IF(Table46[[#This Row],[CODE]]=15, Table46[ [#This Row],[Account Deposit Amount] ]-Table46[ [#This Row],[Account Withdrawl Amount] ], )</f>
        <v>0</v>
      </c>
      <c r="T33" s="128">
        <f>IF(Table46[[#This Row],[CODE]]=16, Table46[ [#This Row],[Account Deposit Amount] ]-Table46[ [#This Row],[Account Withdrawl Amount] ], )</f>
        <v>0</v>
      </c>
      <c r="U33" s="127">
        <f>IF(Table46[[#This Row],[CODE]]=17, Table46[ [#This Row],[Account Deposit Amount] ]-Table46[ [#This Row],[Account Withdrawl Amount] ], )</f>
        <v>0</v>
      </c>
    </row>
    <row r="34" spans="1:21" ht="16.2" thickBot="1">
      <c r="A34" s="130"/>
      <c r="B34" s="133"/>
      <c r="C34" s="130"/>
      <c r="D34" s="132"/>
      <c r="E34" s="150"/>
      <c r="F34" s="128"/>
      <c r="G34" s="134">
        <f t="shared" si="2"/>
        <v>27476.099999999991</v>
      </c>
      <c r="H34" s="130"/>
      <c r="I34" s="127">
        <f>IF(Table46[[#This Row],[CODE]]=1, Table46[ [#This Row],[Account Deposit Amount] ]-Table46[ [#This Row],[Account Withdrawl Amount] ], )</f>
        <v>0</v>
      </c>
      <c r="J34" s="129">
        <f>IF(Table46[[#This Row],[CODE]]=2, Table46[ [#This Row],[Account Deposit Amount] ]-Table46[ [#This Row],[Account Withdrawl Amount] ], )</f>
        <v>0</v>
      </c>
      <c r="K34" s="129">
        <f>IF(Table46[[#This Row],[CODE]]=3, Table46[ [#This Row],[Account Deposit Amount] ]-Table46[ [#This Row],[Account Withdrawl Amount] ], )</f>
        <v>0</v>
      </c>
      <c r="L34" s="128">
        <f>IF(Table46[[#This Row],[CODE]]=4, Table46[ [#This Row],[Account Deposit Amount] ]-Table46[ [#This Row],[Account Withdrawl Amount] ], )</f>
        <v>0</v>
      </c>
      <c r="M34" s="128">
        <f>IF(Table46[[#This Row],[CODE]]=5, Table46[ [#This Row],[Account Deposit Amount] ]-Table46[ [#This Row],[Account Withdrawl Amount] ], )</f>
        <v>0</v>
      </c>
      <c r="N34" s="128">
        <f>IF(Table46[[#This Row],[CODE]]=6, Table46[ [#This Row],[Account Deposit Amount] ]-Table46[ [#This Row],[Account Withdrawl Amount] ], )</f>
        <v>0</v>
      </c>
      <c r="O34" s="128">
        <f>IF(Table46[[#This Row],[CODE]]=11, Table46[ [#This Row],[Account Deposit Amount] ]-Table46[ [#This Row],[Account Withdrawl Amount] ], )</f>
        <v>0</v>
      </c>
      <c r="P34" s="128">
        <f>IF(Table46[[#This Row],[CODE]]=12, Table46[ [#This Row],[Account Deposit Amount] ]-Table46[ [#This Row],[Account Withdrawl Amount] ], )</f>
        <v>0</v>
      </c>
      <c r="Q34" s="128">
        <f>IF(Table46[[#This Row],[CODE]]=13, Table46[ [#This Row],[Account Deposit Amount] ]-Table46[ [#This Row],[Account Withdrawl Amount] ], )</f>
        <v>0</v>
      </c>
      <c r="R34" s="128">
        <f>IF(Table46[[#This Row],[CODE]]=14, Table46[ [#This Row],[Account Deposit Amount] ]-Table46[ [#This Row],[Account Withdrawl Amount] ], )</f>
        <v>0</v>
      </c>
      <c r="S34" s="128">
        <f>IF(Table46[[#This Row],[CODE]]=15, Table46[ [#This Row],[Account Deposit Amount] ]-Table46[ [#This Row],[Account Withdrawl Amount] ], )</f>
        <v>0</v>
      </c>
      <c r="T34" s="128">
        <f>IF(Table46[[#This Row],[CODE]]=16, Table46[ [#This Row],[Account Deposit Amount] ]-Table46[ [#This Row],[Account Withdrawl Amount] ], )</f>
        <v>0</v>
      </c>
      <c r="U34" s="127">
        <f>IF(Table46[[#This Row],[CODE]]=17, Table46[ [#This Row],[Account Deposit Amount] ]-Table46[ [#This Row],[Account Withdrawl Amount] ], )</f>
        <v>0</v>
      </c>
    </row>
    <row r="35" spans="1:21" ht="16.2" thickBot="1">
      <c r="A35" s="130"/>
      <c r="B35" s="133"/>
      <c r="C35" s="130"/>
      <c r="D35" s="132"/>
      <c r="E35" s="150"/>
      <c r="F35" s="128"/>
      <c r="G35" s="134">
        <f t="shared" si="2"/>
        <v>27476.099999999991</v>
      </c>
      <c r="H35" s="130"/>
      <c r="I35" s="127">
        <f>IF(Table46[[#This Row],[CODE]]=1, Table46[ [#This Row],[Account Deposit Amount] ]-Table46[ [#This Row],[Account Withdrawl Amount] ], )</f>
        <v>0</v>
      </c>
      <c r="J35" s="129">
        <f>IF(Table46[[#This Row],[CODE]]=2, Table46[ [#This Row],[Account Deposit Amount] ]-Table46[ [#This Row],[Account Withdrawl Amount] ], )</f>
        <v>0</v>
      </c>
      <c r="K35" s="129">
        <f>IF(Table46[[#This Row],[CODE]]=3, Table46[ [#This Row],[Account Deposit Amount] ]-Table46[ [#This Row],[Account Withdrawl Amount] ], )</f>
        <v>0</v>
      </c>
      <c r="L35" s="128">
        <f>IF(Table46[[#This Row],[CODE]]=4, Table46[ [#This Row],[Account Deposit Amount] ]-Table46[ [#This Row],[Account Withdrawl Amount] ], )</f>
        <v>0</v>
      </c>
      <c r="M35" s="128">
        <f>IF(Table46[[#This Row],[CODE]]=5, Table46[ [#This Row],[Account Deposit Amount] ]-Table46[ [#This Row],[Account Withdrawl Amount] ], )</f>
        <v>0</v>
      </c>
      <c r="N35" s="128">
        <f>IF(Table46[[#This Row],[CODE]]=6, Table46[ [#This Row],[Account Deposit Amount] ]-Table46[ [#This Row],[Account Withdrawl Amount] ], )</f>
        <v>0</v>
      </c>
      <c r="O35" s="128">
        <f>IF(Table46[[#This Row],[CODE]]=11, Table46[ [#This Row],[Account Deposit Amount] ]-Table46[ [#This Row],[Account Withdrawl Amount] ], )</f>
        <v>0</v>
      </c>
      <c r="P35" s="128">
        <f>IF(Table46[[#This Row],[CODE]]=12, Table46[ [#This Row],[Account Deposit Amount] ]-Table46[ [#This Row],[Account Withdrawl Amount] ], )</f>
        <v>0</v>
      </c>
      <c r="Q35" s="128">
        <f>IF(Table46[[#This Row],[CODE]]=13, Table46[ [#This Row],[Account Deposit Amount] ]-Table46[ [#This Row],[Account Withdrawl Amount] ], )</f>
        <v>0</v>
      </c>
      <c r="R35" s="128">
        <f>IF(Table46[[#This Row],[CODE]]=14, Table46[ [#This Row],[Account Deposit Amount] ]-Table46[ [#This Row],[Account Withdrawl Amount] ], )</f>
        <v>0</v>
      </c>
      <c r="S35" s="128">
        <f>IF(Table46[[#This Row],[CODE]]=15, Table46[ [#This Row],[Account Deposit Amount] ]-Table46[ [#This Row],[Account Withdrawl Amount] ], )</f>
        <v>0</v>
      </c>
      <c r="T35" s="128">
        <f>IF(Table46[[#This Row],[CODE]]=16, Table46[ [#This Row],[Account Deposit Amount] ]-Table46[ [#This Row],[Account Withdrawl Amount] ], )</f>
        <v>0</v>
      </c>
      <c r="U35" s="127">
        <f>IF(Table46[[#This Row],[CODE]]=17, Table46[ [#This Row],[Account Deposit Amount] ]-Table46[ [#This Row],[Account Withdrawl Amount] ], )</f>
        <v>0</v>
      </c>
    </row>
    <row r="36" spans="1:21" ht="16.2" thickBot="1">
      <c r="A36" s="130"/>
      <c r="B36" s="133"/>
      <c r="C36" s="130"/>
      <c r="D36" s="132"/>
      <c r="E36" s="150"/>
      <c r="F36" s="128"/>
      <c r="G36" s="134">
        <f t="shared" si="2"/>
        <v>27476.099999999991</v>
      </c>
      <c r="H36" s="130"/>
      <c r="I36" s="127">
        <f>IF(Table46[[#This Row],[CODE]]=1, Table46[ [#This Row],[Account Deposit Amount] ]-Table46[ [#This Row],[Account Withdrawl Amount] ], )</f>
        <v>0</v>
      </c>
      <c r="J36" s="129">
        <f>IF(Table46[[#This Row],[CODE]]=2, Table46[ [#This Row],[Account Deposit Amount] ]-Table46[ [#This Row],[Account Withdrawl Amount] ], )</f>
        <v>0</v>
      </c>
      <c r="K36" s="129">
        <f>IF(Table46[[#This Row],[CODE]]=3, Table46[ [#This Row],[Account Deposit Amount] ]-Table46[ [#This Row],[Account Withdrawl Amount] ], )</f>
        <v>0</v>
      </c>
      <c r="L36" s="128">
        <f>IF(Table46[[#This Row],[CODE]]=4, Table46[ [#This Row],[Account Deposit Amount] ]-Table46[ [#This Row],[Account Withdrawl Amount] ], )</f>
        <v>0</v>
      </c>
      <c r="M36" s="128">
        <f>IF(Table46[[#This Row],[CODE]]=5, Table46[ [#This Row],[Account Deposit Amount] ]-Table46[ [#This Row],[Account Withdrawl Amount] ], )</f>
        <v>0</v>
      </c>
      <c r="N36" s="128">
        <f>IF(Table46[[#This Row],[CODE]]=6, Table46[ [#This Row],[Account Deposit Amount] ]-Table46[ [#This Row],[Account Withdrawl Amount] ], )</f>
        <v>0</v>
      </c>
      <c r="O36" s="128">
        <f>IF(Table46[[#This Row],[CODE]]=11, Table46[ [#This Row],[Account Deposit Amount] ]-Table46[ [#This Row],[Account Withdrawl Amount] ], )</f>
        <v>0</v>
      </c>
      <c r="P36" s="128">
        <f>IF(Table46[[#This Row],[CODE]]=12, Table46[ [#This Row],[Account Deposit Amount] ]-Table46[ [#This Row],[Account Withdrawl Amount] ], )</f>
        <v>0</v>
      </c>
      <c r="Q36" s="128">
        <f>IF(Table46[[#This Row],[CODE]]=13, Table46[ [#This Row],[Account Deposit Amount] ]-Table46[ [#This Row],[Account Withdrawl Amount] ], )</f>
        <v>0</v>
      </c>
      <c r="R36" s="128">
        <f>IF(Table46[[#This Row],[CODE]]=14, Table46[ [#This Row],[Account Deposit Amount] ]-Table46[ [#This Row],[Account Withdrawl Amount] ], )</f>
        <v>0</v>
      </c>
      <c r="S36" s="128">
        <f>IF(Table46[[#This Row],[CODE]]=15, Table46[ [#This Row],[Account Deposit Amount] ]-Table46[ [#This Row],[Account Withdrawl Amount] ], )</f>
        <v>0</v>
      </c>
      <c r="T36" s="128">
        <f>IF(Table46[[#This Row],[CODE]]=16, Table46[ [#This Row],[Account Deposit Amount] ]-Table46[ [#This Row],[Account Withdrawl Amount] ], )</f>
        <v>0</v>
      </c>
      <c r="U36" s="127">
        <f>IF(Table46[[#This Row],[CODE]]=17, Table46[ [#This Row],[Account Deposit Amount] ]-Table46[ [#This Row],[Account Withdrawl Amount] ], )</f>
        <v>0</v>
      </c>
    </row>
    <row r="37" spans="1:21" ht="16.2" thickBot="1">
      <c r="A37" s="130"/>
      <c r="B37" s="133"/>
      <c r="C37" s="130"/>
      <c r="D37" s="132"/>
      <c r="E37" s="150"/>
      <c r="F37" s="128"/>
      <c r="G37" s="134">
        <f t="shared" ref="G37:G68" si="3">G36+E37-F37</f>
        <v>27476.099999999991</v>
      </c>
      <c r="H37" s="130"/>
      <c r="I37" s="127">
        <f>IF(Table46[[#This Row],[CODE]]=1, Table46[ [#This Row],[Account Deposit Amount] ]-Table46[ [#This Row],[Account Withdrawl Amount] ], )</f>
        <v>0</v>
      </c>
      <c r="J37" s="129">
        <f>IF(Table46[[#This Row],[CODE]]=2, Table46[ [#This Row],[Account Deposit Amount] ]-Table46[ [#This Row],[Account Withdrawl Amount] ], )</f>
        <v>0</v>
      </c>
      <c r="K37" s="129">
        <f>IF(Table46[[#This Row],[CODE]]=3, Table46[ [#This Row],[Account Deposit Amount] ]-Table46[ [#This Row],[Account Withdrawl Amount] ], )</f>
        <v>0</v>
      </c>
      <c r="L37" s="128">
        <f>IF(Table46[[#This Row],[CODE]]=4, Table46[ [#This Row],[Account Deposit Amount] ]-Table46[ [#This Row],[Account Withdrawl Amount] ], )</f>
        <v>0</v>
      </c>
      <c r="M37" s="128">
        <f>IF(Table46[[#This Row],[CODE]]=5, Table46[ [#This Row],[Account Deposit Amount] ]-Table46[ [#This Row],[Account Withdrawl Amount] ], )</f>
        <v>0</v>
      </c>
      <c r="N37" s="128">
        <f>IF(Table46[[#This Row],[CODE]]=6, Table46[ [#This Row],[Account Deposit Amount] ]-Table46[ [#This Row],[Account Withdrawl Amount] ], )</f>
        <v>0</v>
      </c>
      <c r="O37" s="128">
        <f>IF(Table46[[#This Row],[CODE]]=11, Table46[ [#This Row],[Account Deposit Amount] ]-Table46[ [#This Row],[Account Withdrawl Amount] ], )</f>
        <v>0</v>
      </c>
      <c r="P37" s="128">
        <f>IF(Table46[[#This Row],[CODE]]=12, Table46[ [#This Row],[Account Deposit Amount] ]-Table46[ [#This Row],[Account Withdrawl Amount] ], )</f>
        <v>0</v>
      </c>
      <c r="Q37" s="128">
        <f>IF(Table46[[#This Row],[CODE]]=13, Table46[ [#This Row],[Account Deposit Amount] ]-Table46[ [#This Row],[Account Withdrawl Amount] ], )</f>
        <v>0</v>
      </c>
      <c r="R37" s="128">
        <f>IF(Table46[[#This Row],[CODE]]=14, Table46[ [#This Row],[Account Deposit Amount] ]-Table46[ [#This Row],[Account Withdrawl Amount] ], )</f>
        <v>0</v>
      </c>
      <c r="S37" s="128">
        <f>IF(Table46[[#This Row],[CODE]]=15, Table46[ [#This Row],[Account Deposit Amount] ]-Table46[ [#This Row],[Account Withdrawl Amount] ], )</f>
        <v>0</v>
      </c>
      <c r="T37" s="128">
        <f>IF(Table46[[#This Row],[CODE]]=16, Table46[ [#This Row],[Account Deposit Amount] ]-Table46[ [#This Row],[Account Withdrawl Amount] ], )</f>
        <v>0</v>
      </c>
      <c r="U37" s="127">
        <f>IF(Table46[[#This Row],[CODE]]=17, Table46[ [#This Row],[Account Deposit Amount] ]-Table46[ [#This Row],[Account Withdrawl Amount] ], )</f>
        <v>0</v>
      </c>
    </row>
    <row r="38" spans="1:21" ht="16.2" thickBot="1">
      <c r="A38" s="130"/>
      <c r="B38" s="133"/>
      <c r="C38" s="130"/>
      <c r="D38" s="132"/>
      <c r="E38" s="150"/>
      <c r="F38" s="128"/>
      <c r="G38" s="134">
        <f t="shared" si="3"/>
        <v>27476.099999999991</v>
      </c>
      <c r="H38" s="130"/>
      <c r="I38" s="127">
        <f>IF(Table46[[#This Row],[CODE]]=1, Table46[ [#This Row],[Account Deposit Amount] ]-Table46[ [#This Row],[Account Withdrawl Amount] ], )</f>
        <v>0</v>
      </c>
      <c r="J38" s="129">
        <f>IF(Table46[[#This Row],[CODE]]=2, Table46[ [#This Row],[Account Deposit Amount] ]-Table46[ [#This Row],[Account Withdrawl Amount] ], )</f>
        <v>0</v>
      </c>
      <c r="K38" s="129">
        <f>IF(Table46[[#This Row],[CODE]]=3, Table46[ [#This Row],[Account Deposit Amount] ]-Table46[ [#This Row],[Account Withdrawl Amount] ], )</f>
        <v>0</v>
      </c>
      <c r="L38" s="128">
        <f>IF(Table46[[#This Row],[CODE]]=4, Table46[ [#This Row],[Account Deposit Amount] ]-Table46[ [#This Row],[Account Withdrawl Amount] ], )</f>
        <v>0</v>
      </c>
      <c r="M38" s="128">
        <f>IF(Table46[[#This Row],[CODE]]=5, Table46[ [#This Row],[Account Deposit Amount] ]-Table46[ [#This Row],[Account Withdrawl Amount] ], )</f>
        <v>0</v>
      </c>
      <c r="N38" s="128">
        <f>IF(Table46[[#This Row],[CODE]]=6, Table46[ [#This Row],[Account Deposit Amount] ]-Table46[ [#This Row],[Account Withdrawl Amount] ], )</f>
        <v>0</v>
      </c>
      <c r="O38" s="128">
        <f>IF(Table46[[#This Row],[CODE]]=11, Table46[ [#This Row],[Account Deposit Amount] ]-Table46[ [#This Row],[Account Withdrawl Amount] ], )</f>
        <v>0</v>
      </c>
      <c r="P38" s="128">
        <f>IF(Table46[[#This Row],[CODE]]=12, Table46[ [#This Row],[Account Deposit Amount] ]-Table46[ [#This Row],[Account Withdrawl Amount] ], )</f>
        <v>0</v>
      </c>
      <c r="Q38" s="128">
        <f>IF(Table46[[#This Row],[CODE]]=13, Table46[ [#This Row],[Account Deposit Amount] ]-Table46[ [#This Row],[Account Withdrawl Amount] ], )</f>
        <v>0</v>
      </c>
      <c r="R38" s="128">
        <f>IF(Table46[[#This Row],[CODE]]=14, Table46[ [#This Row],[Account Deposit Amount] ]-Table46[ [#This Row],[Account Withdrawl Amount] ], )</f>
        <v>0</v>
      </c>
      <c r="S38" s="128">
        <f>IF(Table46[[#This Row],[CODE]]=15, Table46[ [#This Row],[Account Deposit Amount] ]-Table46[ [#This Row],[Account Withdrawl Amount] ], )</f>
        <v>0</v>
      </c>
      <c r="T38" s="128">
        <f>IF(Table46[[#This Row],[CODE]]=16, Table46[ [#This Row],[Account Deposit Amount] ]-Table46[ [#This Row],[Account Withdrawl Amount] ], )</f>
        <v>0</v>
      </c>
      <c r="U38" s="127">
        <f>IF(Table46[[#This Row],[CODE]]=17, Table46[ [#This Row],[Account Deposit Amount] ]-Table46[ [#This Row],[Account Withdrawl Amount] ], )</f>
        <v>0</v>
      </c>
    </row>
    <row r="39" spans="1:21" ht="16.2" thickBot="1">
      <c r="A39" s="130"/>
      <c r="B39" s="133"/>
      <c r="C39" s="130"/>
      <c r="D39" s="132"/>
      <c r="E39" s="150"/>
      <c r="F39" s="128"/>
      <c r="G39" s="134">
        <f t="shared" si="3"/>
        <v>27476.099999999991</v>
      </c>
      <c r="H39" s="130"/>
      <c r="I39" s="127">
        <f>IF(Table46[[#This Row],[CODE]]=1, Table46[ [#This Row],[Account Deposit Amount] ]-Table46[ [#This Row],[Account Withdrawl Amount] ], )</f>
        <v>0</v>
      </c>
      <c r="J39" s="129">
        <f>IF(Table46[[#This Row],[CODE]]=2, Table46[ [#This Row],[Account Deposit Amount] ]-Table46[ [#This Row],[Account Withdrawl Amount] ], )</f>
        <v>0</v>
      </c>
      <c r="K39" s="129">
        <f>IF(Table46[[#This Row],[CODE]]=3, Table46[ [#This Row],[Account Deposit Amount] ]-Table46[ [#This Row],[Account Withdrawl Amount] ], )</f>
        <v>0</v>
      </c>
      <c r="L39" s="128">
        <f>IF(Table46[[#This Row],[CODE]]=4, Table46[ [#This Row],[Account Deposit Amount] ]-Table46[ [#This Row],[Account Withdrawl Amount] ], )</f>
        <v>0</v>
      </c>
      <c r="M39" s="128">
        <f>IF(Table46[[#This Row],[CODE]]=5, Table46[ [#This Row],[Account Deposit Amount] ]-Table46[ [#This Row],[Account Withdrawl Amount] ], )</f>
        <v>0</v>
      </c>
      <c r="N39" s="128">
        <f>IF(Table46[[#This Row],[CODE]]=6, Table46[ [#This Row],[Account Deposit Amount] ]-Table46[ [#This Row],[Account Withdrawl Amount] ], )</f>
        <v>0</v>
      </c>
      <c r="O39" s="128">
        <f>IF(Table46[[#This Row],[CODE]]=11, Table46[ [#This Row],[Account Deposit Amount] ]-Table46[ [#This Row],[Account Withdrawl Amount] ], )</f>
        <v>0</v>
      </c>
      <c r="P39" s="128">
        <f>IF(Table46[[#This Row],[CODE]]=12, Table46[ [#This Row],[Account Deposit Amount] ]-Table46[ [#This Row],[Account Withdrawl Amount] ], )</f>
        <v>0</v>
      </c>
      <c r="Q39" s="128">
        <f>IF(Table46[[#This Row],[CODE]]=13, Table46[ [#This Row],[Account Deposit Amount] ]-Table46[ [#This Row],[Account Withdrawl Amount] ], )</f>
        <v>0</v>
      </c>
      <c r="R39" s="128">
        <f>IF(Table46[[#This Row],[CODE]]=14, Table46[ [#This Row],[Account Deposit Amount] ]-Table46[ [#This Row],[Account Withdrawl Amount] ], )</f>
        <v>0</v>
      </c>
      <c r="S39" s="128">
        <f>IF(Table46[[#This Row],[CODE]]=15, Table46[ [#This Row],[Account Deposit Amount] ]-Table46[ [#This Row],[Account Withdrawl Amount] ], )</f>
        <v>0</v>
      </c>
      <c r="T39" s="128">
        <f>IF(Table46[[#This Row],[CODE]]=16, Table46[ [#This Row],[Account Deposit Amount] ]-Table46[ [#This Row],[Account Withdrawl Amount] ], )</f>
        <v>0</v>
      </c>
      <c r="U39" s="127">
        <f>IF(Table46[[#This Row],[CODE]]=17, Table46[ [#This Row],[Account Deposit Amount] ]-Table46[ [#This Row],[Account Withdrawl Amount] ], )</f>
        <v>0</v>
      </c>
    </row>
    <row r="40" spans="1:21" ht="16.2" thickBot="1">
      <c r="A40" s="130"/>
      <c r="B40" s="133"/>
      <c r="C40" s="130"/>
      <c r="D40" s="132"/>
      <c r="E40" s="128"/>
      <c r="F40" s="128"/>
      <c r="G40" s="134">
        <f t="shared" si="3"/>
        <v>27476.099999999991</v>
      </c>
      <c r="H40" s="130"/>
      <c r="I40" s="127">
        <f>IF(Table46[[#This Row],[CODE]]=1, Table46[ [#This Row],[Account Deposit Amount] ]-Table46[ [#This Row],[Account Withdrawl Amount] ], )</f>
        <v>0</v>
      </c>
      <c r="J40" s="129">
        <f>IF(Table46[[#This Row],[CODE]]=2, Table46[ [#This Row],[Account Deposit Amount] ]-Table46[ [#This Row],[Account Withdrawl Amount] ], )</f>
        <v>0</v>
      </c>
      <c r="K40" s="129">
        <f>IF(Table46[[#This Row],[CODE]]=3, Table46[ [#This Row],[Account Deposit Amount] ]-Table46[ [#This Row],[Account Withdrawl Amount] ], )</f>
        <v>0</v>
      </c>
      <c r="L40" s="128">
        <f>IF(Table46[[#This Row],[CODE]]=4, Table46[ [#This Row],[Account Deposit Amount] ]-Table46[ [#This Row],[Account Withdrawl Amount] ], )</f>
        <v>0</v>
      </c>
      <c r="M40" s="128">
        <f>IF(Table46[[#This Row],[CODE]]=5, Table46[ [#This Row],[Account Deposit Amount] ]-Table46[ [#This Row],[Account Withdrawl Amount] ], )</f>
        <v>0</v>
      </c>
      <c r="N40" s="128">
        <f>IF(Table46[[#This Row],[CODE]]=6, Table46[ [#This Row],[Account Deposit Amount] ]-Table46[ [#This Row],[Account Withdrawl Amount] ], )</f>
        <v>0</v>
      </c>
      <c r="O40" s="128">
        <f>IF(Table46[[#This Row],[CODE]]=11, Table46[ [#This Row],[Account Deposit Amount] ]-Table46[ [#This Row],[Account Withdrawl Amount] ], )</f>
        <v>0</v>
      </c>
      <c r="P40" s="128">
        <f>IF(Table46[[#This Row],[CODE]]=12, Table46[ [#This Row],[Account Deposit Amount] ]-Table46[ [#This Row],[Account Withdrawl Amount] ], )</f>
        <v>0</v>
      </c>
      <c r="Q40" s="128">
        <f>IF(Table46[[#This Row],[CODE]]=13, Table46[ [#This Row],[Account Deposit Amount] ]-Table46[ [#This Row],[Account Withdrawl Amount] ], )</f>
        <v>0</v>
      </c>
      <c r="R40" s="128">
        <f>IF(Table46[[#This Row],[CODE]]=14, Table46[ [#This Row],[Account Deposit Amount] ]-Table46[ [#This Row],[Account Withdrawl Amount] ], )</f>
        <v>0</v>
      </c>
      <c r="S40" s="128">
        <f>IF(Table46[[#This Row],[CODE]]=15, Table46[ [#This Row],[Account Deposit Amount] ]-Table46[ [#This Row],[Account Withdrawl Amount] ], )</f>
        <v>0</v>
      </c>
      <c r="T40" s="128">
        <f>IF(Table46[[#This Row],[CODE]]=16, Table46[ [#This Row],[Account Deposit Amount] ]-Table46[ [#This Row],[Account Withdrawl Amount] ], )</f>
        <v>0</v>
      </c>
      <c r="U40" s="127">
        <f>IF(Table46[[#This Row],[CODE]]=17, Table46[ [#This Row],[Account Deposit Amount] ]-Table46[ [#This Row],[Account Withdrawl Amount] ], )</f>
        <v>0</v>
      </c>
    </row>
    <row r="41" spans="1:21" ht="16.2" thickBot="1">
      <c r="A41" s="130"/>
      <c r="B41" s="133"/>
      <c r="C41" s="130"/>
      <c r="D41" s="132"/>
      <c r="E41" s="128"/>
      <c r="F41" s="128"/>
      <c r="G41" s="134">
        <f t="shared" si="3"/>
        <v>27476.099999999991</v>
      </c>
      <c r="H41" s="130"/>
      <c r="I41" s="127">
        <f>IF(Table46[[#This Row],[CODE]]=1, Table46[ [#This Row],[Account Deposit Amount] ]-Table46[ [#This Row],[Account Withdrawl Amount] ], )</f>
        <v>0</v>
      </c>
      <c r="J41" s="129">
        <f>IF(Table46[[#This Row],[CODE]]=2, Table46[ [#This Row],[Account Deposit Amount] ]-Table46[ [#This Row],[Account Withdrawl Amount] ], )</f>
        <v>0</v>
      </c>
      <c r="K41" s="129">
        <f>IF(Table46[[#This Row],[CODE]]=3, Table46[ [#This Row],[Account Deposit Amount] ]-Table46[ [#This Row],[Account Withdrawl Amount] ], )</f>
        <v>0</v>
      </c>
      <c r="L41" s="128">
        <f>IF(Table46[[#This Row],[CODE]]=4, Table46[ [#This Row],[Account Deposit Amount] ]-Table46[ [#This Row],[Account Withdrawl Amount] ], )</f>
        <v>0</v>
      </c>
      <c r="M41" s="128">
        <f>IF(Table46[[#This Row],[CODE]]=5, Table46[ [#This Row],[Account Deposit Amount] ]-Table46[ [#This Row],[Account Withdrawl Amount] ], )</f>
        <v>0</v>
      </c>
      <c r="N41" s="128">
        <f>IF(Table46[[#This Row],[CODE]]=6, Table46[ [#This Row],[Account Deposit Amount] ]-Table46[ [#This Row],[Account Withdrawl Amount] ], )</f>
        <v>0</v>
      </c>
      <c r="O41" s="128">
        <f>IF(Table46[[#This Row],[CODE]]=11, Table46[ [#This Row],[Account Deposit Amount] ]-Table46[ [#This Row],[Account Withdrawl Amount] ], )</f>
        <v>0</v>
      </c>
      <c r="P41" s="128">
        <f>IF(Table46[[#This Row],[CODE]]=12, Table46[ [#This Row],[Account Deposit Amount] ]-Table46[ [#This Row],[Account Withdrawl Amount] ], )</f>
        <v>0</v>
      </c>
      <c r="Q41" s="128">
        <f>IF(Table46[[#This Row],[CODE]]=13, Table46[ [#This Row],[Account Deposit Amount] ]-Table46[ [#This Row],[Account Withdrawl Amount] ], )</f>
        <v>0</v>
      </c>
      <c r="R41" s="128">
        <f>IF(Table46[[#This Row],[CODE]]=14, Table46[ [#This Row],[Account Deposit Amount] ]-Table46[ [#This Row],[Account Withdrawl Amount] ], )</f>
        <v>0</v>
      </c>
      <c r="S41" s="128">
        <f>IF(Table46[[#This Row],[CODE]]=15, Table46[ [#This Row],[Account Deposit Amount] ]-Table46[ [#This Row],[Account Withdrawl Amount] ], )</f>
        <v>0</v>
      </c>
      <c r="T41" s="128">
        <f>IF(Table46[[#This Row],[CODE]]=16, Table46[ [#This Row],[Account Deposit Amount] ]-Table46[ [#This Row],[Account Withdrawl Amount] ], )</f>
        <v>0</v>
      </c>
      <c r="U41" s="127">
        <f>IF(Table46[[#This Row],[CODE]]=17, Table46[ [#This Row],[Account Deposit Amount] ]-Table46[ [#This Row],[Account Withdrawl Amount] ], )</f>
        <v>0</v>
      </c>
    </row>
    <row r="42" spans="1:21" ht="16.2" thickBot="1">
      <c r="A42" s="130"/>
      <c r="B42" s="133"/>
      <c r="C42" s="130"/>
      <c r="D42" s="132"/>
      <c r="E42" s="128"/>
      <c r="F42" s="128"/>
      <c r="G42" s="134">
        <f t="shared" si="3"/>
        <v>27476.099999999991</v>
      </c>
      <c r="H42" s="130"/>
      <c r="I42" s="127">
        <f>IF(Table46[[#This Row],[CODE]]=1, Table46[ [#This Row],[Account Deposit Amount] ]-Table46[ [#This Row],[Account Withdrawl Amount] ], )</f>
        <v>0</v>
      </c>
      <c r="J42" s="129">
        <f>IF(Table46[[#This Row],[CODE]]=2, Table46[ [#This Row],[Account Deposit Amount] ]-Table46[ [#This Row],[Account Withdrawl Amount] ], )</f>
        <v>0</v>
      </c>
      <c r="K42" s="129">
        <f>IF(Table46[[#This Row],[CODE]]=3, Table46[ [#This Row],[Account Deposit Amount] ]-Table46[ [#This Row],[Account Withdrawl Amount] ], )</f>
        <v>0</v>
      </c>
      <c r="L42" s="128">
        <f>IF(Table46[[#This Row],[CODE]]=4, Table46[ [#This Row],[Account Deposit Amount] ]-Table46[ [#This Row],[Account Withdrawl Amount] ], )</f>
        <v>0</v>
      </c>
      <c r="M42" s="128">
        <f>IF(Table46[[#This Row],[CODE]]=5, Table46[ [#This Row],[Account Deposit Amount] ]-Table46[ [#This Row],[Account Withdrawl Amount] ], )</f>
        <v>0</v>
      </c>
      <c r="N42" s="128">
        <f>IF(Table46[[#This Row],[CODE]]=6, Table46[ [#This Row],[Account Deposit Amount] ]-Table46[ [#This Row],[Account Withdrawl Amount] ], )</f>
        <v>0</v>
      </c>
      <c r="O42" s="128">
        <f>IF(Table46[[#This Row],[CODE]]=11, Table46[ [#This Row],[Account Deposit Amount] ]-Table46[ [#This Row],[Account Withdrawl Amount] ], )</f>
        <v>0</v>
      </c>
      <c r="P42" s="128">
        <f>IF(Table46[[#This Row],[CODE]]=12, Table46[ [#This Row],[Account Deposit Amount] ]-Table46[ [#This Row],[Account Withdrawl Amount] ], )</f>
        <v>0</v>
      </c>
      <c r="Q42" s="128">
        <f>IF(Table46[[#This Row],[CODE]]=13, Table46[ [#This Row],[Account Deposit Amount] ]-Table46[ [#This Row],[Account Withdrawl Amount] ], )</f>
        <v>0</v>
      </c>
      <c r="R42" s="128">
        <f>IF(Table46[[#This Row],[CODE]]=14, Table46[ [#This Row],[Account Deposit Amount] ]-Table46[ [#This Row],[Account Withdrawl Amount] ], )</f>
        <v>0</v>
      </c>
      <c r="S42" s="128">
        <f>IF(Table46[[#This Row],[CODE]]=15, Table46[ [#This Row],[Account Deposit Amount] ]-Table46[ [#This Row],[Account Withdrawl Amount] ], )</f>
        <v>0</v>
      </c>
      <c r="T42" s="128">
        <f>IF(Table46[[#This Row],[CODE]]=16, Table46[ [#This Row],[Account Deposit Amount] ]-Table46[ [#This Row],[Account Withdrawl Amount] ], )</f>
        <v>0</v>
      </c>
      <c r="U42" s="127">
        <f>IF(Table46[[#This Row],[CODE]]=17, Table46[ [#This Row],[Account Deposit Amount] ]-Table46[ [#This Row],[Account Withdrawl Amount] ], )</f>
        <v>0</v>
      </c>
    </row>
    <row r="43" spans="1:21" ht="16.2" thickBot="1">
      <c r="A43" s="130"/>
      <c r="B43" s="133"/>
      <c r="C43" s="130"/>
      <c r="D43" s="132"/>
      <c r="E43" s="128"/>
      <c r="F43" s="128"/>
      <c r="G43" s="134">
        <f t="shared" si="3"/>
        <v>27476.099999999991</v>
      </c>
      <c r="H43" s="130"/>
      <c r="I43" s="127">
        <f>IF(Table46[[#This Row],[CODE]]=1, Table46[ [#This Row],[Account Deposit Amount] ]-Table46[ [#This Row],[Account Withdrawl Amount] ], )</f>
        <v>0</v>
      </c>
      <c r="J43" s="129">
        <f>IF(Table46[[#This Row],[CODE]]=2, Table46[ [#This Row],[Account Deposit Amount] ]-Table46[ [#This Row],[Account Withdrawl Amount] ], )</f>
        <v>0</v>
      </c>
      <c r="K43" s="129">
        <f>IF(Table46[[#This Row],[CODE]]=3, Table46[ [#This Row],[Account Deposit Amount] ]-Table46[ [#This Row],[Account Withdrawl Amount] ], )</f>
        <v>0</v>
      </c>
      <c r="L43" s="128">
        <f>IF(Table46[[#This Row],[CODE]]=4, Table46[ [#This Row],[Account Deposit Amount] ]-Table46[ [#This Row],[Account Withdrawl Amount] ], )</f>
        <v>0</v>
      </c>
      <c r="M43" s="128">
        <f>IF(Table46[[#This Row],[CODE]]=5, Table46[ [#This Row],[Account Deposit Amount] ]-Table46[ [#This Row],[Account Withdrawl Amount] ], )</f>
        <v>0</v>
      </c>
      <c r="N43" s="128">
        <f>IF(Table46[[#This Row],[CODE]]=6, Table46[ [#This Row],[Account Deposit Amount] ]-Table46[ [#This Row],[Account Withdrawl Amount] ], )</f>
        <v>0</v>
      </c>
      <c r="O43" s="128">
        <f>IF(Table46[[#This Row],[CODE]]=11, Table46[ [#This Row],[Account Deposit Amount] ]-Table46[ [#This Row],[Account Withdrawl Amount] ], )</f>
        <v>0</v>
      </c>
      <c r="P43" s="128">
        <f>IF(Table46[[#This Row],[CODE]]=12, Table46[ [#This Row],[Account Deposit Amount] ]-Table46[ [#This Row],[Account Withdrawl Amount] ], )</f>
        <v>0</v>
      </c>
      <c r="Q43" s="128">
        <f>IF(Table46[[#This Row],[CODE]]=13, Table46[ [#This Row],[Account Deposit Amount] ]-Table46[ [#This Row],[Account Withdrawl Amount] ], )</f>
        <v>0</v>
      </c>
      <c r="R43" s="128">
        <f>IF(Table46[[#This Row],[CODE]]=14, Table46[ [#This Row],[Account Deposit Amount] ]-Table46[ [#This Row],[Account Withdrawl Amount] ], )</f>
        <v>0</v>
      </c>
      <c r="S43" s="128">
        <f>IF(Table46[[#This Row],[CODE]]=15, Table46[ [#This Row],[Account Deposit Amount] ]-Table46[ [#This Row],[Account Withdrawl Amount] ], )</f>
        <v>0</v>
      </c>
      <c r="T43" s="128">
        <f>IF(Table46[[#This Row],[CODE]]=16, Table46[ [#This Row],[Account Deposit Amount] ]-Table46[ [#This Row],[Account Withdrawl Amount] ], )</f>
        <v>0</v>
      </c>
      <c r="U43" s="127">
        <f>IF(Table46[[#This Row],[CODE]]=17, Table46[ [#This Row],[Account Deposit Amount] ]-Table46[ [#This Row],[Account Withdrawl Amount] ], )</f>
        <v>0</v>
      </c>
    </row>
    <row r="44" spans="1:21" ht="16.2" thickBot="1">
      <c r="A44" s="130"/>
      <c r="B44" s="133"/>
      <c r="C44" s="130"/>
      <c r="D44" s="132"/>
      <c r="E44" s="128"/>
      <c r="F44" s="128"/>
      <c r="G44" s="134">
        <f t="shared" si="3"/>
        <v>27476.099999999991</v>
      </c>
      <c r="H44" s="130"/>
      <c r="I44" s="127">
        <f>IF(Table46[[#This Row],[CODE]]=1, Table46[ [#This Row],[Account Deposit Amount] ]-Table46[ [#This Row],[Account Withdrawl Amount] ], )</f>
        <v>0</v>
      </c>
      <c r="J44" s="129">
        <f>IF(Table46[[#This Row],[CODE]]=2, Table46[ [#This Row],[Account Deposit Amount] ]-Table46[ [#This Row],[Account Withdrawl Amount] ], )</f>
        <v>0</v>
      </c>
      <c r="K44" s="129">
        <f>IF(Table46[[#This Row],[CODE]]=3, Table46[ [#This Row],[Account Deposit Amount] ]-Table46[ [#This Row],[Account Withdrawl Amount] ], )</f>
        <v>0</v>
      </c>
      <c r="L44" s="128">
        <f>IF(Table46[[#This Row],[CODE]]=4, Table46[ [#This Row],[Account Deposit Amount] ]-Table46[ [#This Row],[Account Withdrawl Amount] ], )</f>
        <v>0</v>
      </c>
      <c r="M44" s="128">
        <f>IF(Table46[[#This Row],[CODE]]=5, Table46[ [#This Row],[Account Deposit Amount] ]-Table46[ [#This Row],[Account Withdrawl Amount] ], )</f>
        <v>0</v>
      </c>
      <c r="N44" s="128">
        <f>IF(Table46[[#This Row],[CODE]]=6, Table46[ [#This Row],[Account Deposit Amount] ]-Table46[ [#This Row],[Account Withdrawl Amount] ], )</f>
        <v>0</v>
      </c>
      <c r="O44" s="128">
        <f>IF(Table46[[#This Row],[CODE]]=11, Table46[ [#This Row],[Account Deposit Amount] ]-Table46[ [#This Row],[Account Withdrawl Amount] ], )</f>
        <v>0</v>
      </c>
      <c r="P44" s="128">
        <f>IF(Table46[[#This Row],[CODE]]=12, Table46[ [#This Row],[Account Deposit Amount] ]-Table46[ [#This Row],[Account Withdrawl Amount] ], )</f>
        <v>0</v>
      </c>
      <c r="Q44" s="128">
        <f>IF(Table46[[#This Row],[CODE]]=13, Table46[ [#This Row],[Account Deposit Amount] ]-Table46[ [#This Row],[Account Withdrawl Amount] ], )</f>
        <v>0</v>
      </c>
      <c r="R44" s="128">
        <f>IF(Table46[[#This Row],[CODE]]=14, Table46[ [#This Row],[Account Deposit Amount] ]-Table46[ [#This Row],[Account Withdrawl Amount] ], )</f>
        <v>0</v>
      </c>
      <c r="S44" s="128">
        <f>IF(Table46[[#This Row],[CODE]]=15, Table46[ [#This Row],[Account Deposit Amount] ]-Table46[ [#This Row],[Account Withdrawl Amount] ], )</f>
        <v>0</v>
      </c>
      <c r="T44" s="128">
        <f>IF(Table46[[#This Row],[CODE]]=16, Table46[ [#This Row],[Account Deposit Amount] ]-Table46[ [#This Row],[Account Withdrawl Amount] ], )</f>
        <v>0</v>
      </c>
      <c r="U44" s="127">
        <f>IF(Table46[[#This Row],[CODE]]=17, Table46[ [#This Row],[Account Deposit Amount] ]-Table46[ [#This Row],[Account Withdrawl Amount] ], )</f>
        <v>0</v>
      </c>
    </row>
    <row r="45" spans="1:21" ht="16.2" thickBot="1">
      <c r="A45" s="130"/>
      <c r="B45" s="133"/>
      <c r="C45" s="130"/>
      <c r="D45" s="132"/>
      <c r="E45" s="128"/>
      <c r="F45" s="128"/>
      <c r="G45" s="134">
        <f t="shared" si="3"/>
        <v>27476.099999999991</v>
      </c>
      <c r="H45" s="130"/>
      <c r="I45" s="127">
        <f>IF(Table46[[#This Row],[CODE]]=1, Table46[ [#This Row],[Account Deposit Amount] ]-Table46[ [#This Row],[Account Withdrawl Amount] ], )</f>
        <v>0</v>
      </c>
      <c r="J45" s="129">
        <f>IF(Table46[[#This Row],[CODE]]=2, Table46[ [#This Row],[Account Deposit Amount] ]-Table46[ [#This Row],[Account Withdrawl Amount] ], )</f>
        <v>0</v>
      </c>
      <c r="K45" s="129">
        <f>IF(Table46[[#This Row],[CODE]]=3, Table46[ [#This Row],[Account Deposit Amount] ]-Table46[ [#This Row],[Account Withdrawl Amount] ], )</f>
        <v>0</v>
      </c>
      <c r="L45" s="128">
        <f>IF(Table46[[#This Row],[CODE]]=4, Table46[ [#This Row],[Account Deposit Amount] ]-Table46[ [#This Row],[Account Withdrawl Amount] ], )</f>
        <v>0</v>
      </c>
      <c r="M45" s="128">
        <f>IF(Table46[[#This Row],[CODE]]=5, Table46[ [#This Row],[Account Deposit Amount] ]-Table46[ [#This Row],[Account Withdrawl Amount] ], )</f>
        <v>0</v>
      </c>
      <c r="N45" s="128">
        <f>IF(Table46[[#This Row],[CODE]]=6, Table46[ [#This Row],[Account Deposit Amount] ]-Table46[ [#This Row],[Account Withdrawl Amount] ], )</f>
        <v>0</v>
      </c>
      <c r="O45" s="128">
        <f>IF(Table46[[#This Row],[CODE]]=11, Table46[ [#This Row],[Account Deposit Amount] ]-Table46[ [#This Row],[Account Withdrawl Amount] ], )</f>
        <v>0</v>
      </c>
      <c r="P45" s="128">
        <f>IF(Table46[[#This Row],[CODE]]=12, Table46[ [#This Row],[Account Deposit Amount] ]-Table46[ [#This Row],[Account Withdrawl Amount] ], )</f>
        <v>0</v>
      </c>
      <c r="Q45" s="128">
        <f>IF(Table46[[#This Row],[CODE]]=13, Table46[ [#This Row],[Account Deposit Amount] ]-Table46[ [#This Row],[Account Withdrawl Amount] ], )</f>
        <v>0</v>
      </c>
      <c r="R45" s="128">
        <f>IF(Table46[[#This Row],[CODE]]=14, Table46[ [#This Row],[Account Deposit Amount] ]-Table46[ [#This Row],[Account Withdrawl Amount] ], )</f>
        <v>0</v>
      </c>
      <c r="S45" s="128">
        <f>IF(Table46[[#This Row],[CODE]]=15, Table46[ [#This Row],[Account Deposit Amount] ]-Table46[ [#This Row],[Account Withdrawl Amount] ], )</f>
        <v>0</v>
      </c>
      <c r="T45" s="128">
        <f>IF(Table46[[#This Row],[CODE]]=16, Table46[ [#This Row],[Account Deposit Amount] ]-Table46[ [#This Row],[Account Withdrawl Amount] ], )</f>
        <v>0</v>
      </c>
      <c r="U45" s="127">
        <f>IF(Table46[[#This Row],[CODE]]=17, Table46[ [#This Row],[Account Deposit Amount] ]-Table46[ [#This Row],[Account Withdrawl Amount] ], )</f>
        <v>0</v>
      </c>
    </row>
    <row r="46" spans="1:21" ht="16.2" thickBot="1">
      <c r="A46" s="130"/>
      <c r="B46" s="133"/>
      <c r="C46" s="130"/>
      <c r="D46" s="132"/>
      <c r="E46" s="128"/>
      <c r="F46" s="128"/>
      <c r="G46" s="134">
        <f t="shared" si="3"/>
        <v>27476.099999999991</v>
      </c>
      <c r="H46" s="130"/>
      <c r="I46" s="127">
        <f>IF(Table46[[#This Row],[CODE]]=1, Table46[ [#This Row],[Account Deposit Amount] ]-Table46[ [#This Row],[Account Withdrawl Amount] ], )</f>
        <v>0</v>
      </c>
      <c r="J46" s="129">
        <f>IF(Table46[[#This Row],[CODE]]=2, Table46[ [#This Row],[Account Deposit Amount] ]-Table46[ [#This Row],[Account Withdrawl Amount] ], )</f>
        <v>0</v>
      </c>
      <c r="K46" s="129">
        <f>IF(Table46[[#This Row],[CODE]]=3, Table46[ [#This Row],[Account Deposit Amount] ]-Table46[ [#This Row],[Account Withdrawl Amount] ], )</f>
        <v>0</v>
      </c>
      <c r="L46" s="128">
        <f>IF(Table46[[#This Row],[CODE]]=4, Table46[ [#This Row],[Account Deposit Amount] ]-Table46[ [#This Row],[Account Withdrawl Amount] ], )</f>
        <v>0</v>
      </c>
      <c r="M46" s="128">
        <f>IF(Table46[[#This Row],[CODE]]=5, Table46[ [#This Row],[Account Deposit Amount] ]-Table46[ [#This Row],[Account Withdrawl Amount] ], )</f>
        <v>0</v>
      </c>
      <c r="N46" s="128">
        <f>IF(Table46[[#This Row],[CODE]]=6, Table46[ [#This Row],[Account Deposit Amount] ]-Table46[ [#This Row],[Account Withdrawl Amount] ], )</f>
        <v>0</v>
      </c>
      <c r="O46" s="128">
        <f>IF(Table46[[#This Row],[CODE]]=11, Table46[ [#This Row],[Account Deposit Amount] ]-Table46[ [#This Row],[Account Withdrawl Amount] ], )</f>
        <v>0</v>
      </c>
      <c r="P46" s="128">
        <f>IF(Table46[[#This Row],[CODE]]=12, Table46[ [#This Row],[Account Deposit Amount] ]-Table46[ [#This Row],[Account Withdrawl Amount] ], )</f>
        <v>0</v>
      </c>
      <c r="Q46" s="128">
        <f>IF(Table46[[#This Row],[CODE]]=13, Table46[ [#This Row],[Account Deposit Amount] ]-Table46[ [#This Row],[Account Withdrawl Amount] ], )</f>
        <v>0</v>
      </c>
      <c r="R46" s="128">
        <f>IF(Table46[[#This Row],[CODE]]=14, Table46[ [#This Row],[Account Deposit Amount] ]-Table46[ [#This Row],[Account Withdrawl Amount] ], )</f>
        <v>0</v>
      </c>
      <c r="S46" s="128">
        <f>IF(Table46[[#This Row],[CODE]]=15, Table46[ [#This Row],[Account Deposit Amount] ]-Table46[ [#This Row],[Account Withdrawl Amount] ], )</f>
        <v>0</v>
      </c>
      <c r="T46" s="128">
        <f>IF(Table46[[#This Row],[CODE]]=16, Table46[ [#This Row],[Account Deposit Amount] ]-Table46[ [#This Row],[Account Withdrawl Amount] ], )</f>
        <v>0</v>
      </c>
      <c r="U46" s="127">
        <f>IF(Table46[[#This Row],[CODE]]=17, Table46[ [#This Row],[Account Deposit Amount] ]-Table46[ [#This Row],[Account Withdrawl Amount] ], )</f>
        <v>0</v>
      </c>
    </row>
    <row r="47" spans="1:21" ht="16.2" thickBot="1">
      <c r="A47" s="130"/>
      <c r="B47" s="133"/>
      <c r="C47" s="130"/>
      <c r="D47" s="132"/>
      <c r="E47" s="128"/>
      <c r="F47" s="128"/>
      <c r="G47" s="134">
        <f t="shared" si="3"/>
        <v>27476.099999999991</v>
      </c>
      <c r="H47" s="130"/>
      <c r="I47" s="127">
        <f>IF(Table46[[#This Row],[CODE]]=1, Table46[ [#This Row],[Account Deposit Amount] ]-Table46[ [#This Row],[Account Withdrawl Amount] ], )</f>
        <v>0</v>
      </c>
      <c r="J47" s="129">
        <f>IF(Table46[[#This Row],[CODE]]=2, Table46[ [#This Row],[Account Deposit Amount] ]-Table46[ [#This Row],[Account Withdrawl Amount] ], )</f>
        <v>0</v>
      </c>
      <c r="K47" s="129">
        <f>IF(Table46[[#This Row],[CODE]]=3, Table46[ [#This Row],[Account Deposit Amount] ]-Table46[ [#This Row],[Account Withdrawl Amount] ], )</f>
        <v>0</v>
      </c>
      <c r="L47" s="128">
        <f>IF(Table46[[#This Row],[CODE]]=4, Table46[ [#This Row],[Account Deposit Amount] ]-Table46[ [#This Row],[Account Withdrawl Amount] ], )</f>
        <v>0</v>
      </c>
      <c r="M47" s="128">
        <f>IF(Table46[[#This Row],[CODE]]=5, Table46[ [#This Row],[Account Deposit Amount] ]-Table46[ [#This Row],[Account Withdrawl Amount] ], )</f>
        <v>0</v>
      </c>
      <c r="N47" s="128">
        <f>IF(Table46[[#This Row],[CODE]]=6, Table46[ [#This Row],[Account Deposit Amount] ]-Table46[ [#This Row],[Account Withdrawl Amount] ], )</f>
        <v>0</v>
      </c>
      <c r="O47" s="128">
        <f>IF(Table46[[#This Row],[CODE]]=11, Table46[ [#This Row],[Account Deposit Amount] ]-Table46[ [#This Row],[Account Withdrawl Amount] ], )</f>
        <v>0</v>
      </c>
      <c r="P47" s="128">
        <f>IF(Table46[[#This Row],[CODE]]=12, Table46[ [#This Row],[Account Deposit Amount] ]-Table46[ [#This Row],[Account Withdrawl Amount] ], )</f>
        <v>0</v>
      </c>
      <c r="Q47" s="128">
        <f>IF(Table46[[#This Row],[CODE]]=13, Table46[ [#This Row],[Account Deposit Amount] ]-Table46[ [#This Row],[Account Withdrawl Amount] ], )</f>
        <v>0</v>
      </c>
      <c r="R47" s="128">
        <f>IF(Table46[[#This Row],[CODE]]=14, Table46[ [#This Row],[Account Deposit Amount] ]-Table46[ [#This Row],[Account Withdrawl Amount] ], )</f>
        <v>0</v>
      </c>
      <c r="S47" s="128">
        <f>IF(Table46[[#This Row],[CODE]]=15, Table46[ [#This Row],[Account Deposit Amount] ]-Table46[ [#This Row],[Account Withdrawl Amount] ], )</f>
        <v>0</v>
      </c>
      <c r="T47" s="128">
        <f>IF(Table46[[#This Row],[CODE]]=16, Table46[ [#This Row],[Account Deposit Amount] ]-Table46[ [#This Row],[Account Withdrawl Amount] ], )</f>
        <v>0</v>
      </c>
      <c r="U47" s="127">
        <f>IF(Table46[[#This Row],[CODE]]=17, Table46[ [#This Row],[Account Deposit Amount] ]-Table46[ [#This Row],[Account Withdrawl Amount] ], )</f>
        <v>0</v>
      </c>
    </row>
    <row r="48" spans="1:21" ht="16.2" thickBot="1">
      <c r="A48" s="130"/>
      <c r="B48" s="133"/>
      <c r="C48" s="130"/>
      <c r="D48" s="132"/>
      <c r="E48" s="128"/>
      <c r="F48" s="128"/>
      <c r="G48" s="134">
        <f t="shared" si="3"/>
        <v>27476.099999999991</v>
      </c>
      <c r="H48" s="130"/>
      <c r="I48" s="127">
        <f>IF(Table46[[#This Row],[CODE]]=1, Table46[ [#This Row],[Account Deposit Amount] ]-Table46[ [#This Row],[Account Withdrawl Amount] ], )</f>
        <v>0</v>
      </c>
      <c r="J48" s="129">
        <f>IF(Table46[[#This Row],[CODE]]=2, Table46[ [#This Row],[Account Deposit Amount] ]-Table46[ [#This Row],[Account Withdrawl Amount] ], )</f>
        <v>0</v>
      </c>
      <c r="K48" s="129">
        <f>IF(Table46[[#This Row],[CODE]]=3, Table46[ [#This Row],[Account Deposit Amount] ]-Table46[ [#This Row],[Account Withdrawl Amount] ], )</f>
        <v>0</v>
      </c>
      <c r="L48" s="128">
        <f>IF(Table46[[#This Row],[CODE]]=4, Table46[ [#This Row],[Account Deposit Amount] ]-Table46[ [#This Row],[Account Withdrawl Amount] ], )</f>
        <v>0</v>
      </c>
      <c r="M48" s="128">
        <f>IF(Table46[[#This Row],[CODE]]=5, Table46[ [#This Row],[Account Deposit Amount] ]-Table46[ [#This Row],[Account Withdrawl Amount] ], )</f>
        <v>0</v>
      </c>
      <c r="N48" s="128">
        <f>IF(Table46[[#This Row],[CODE]]=6, Table46[ [#This Row],[Account Deposit Amount] ]-Table46[ [#This Row],[Account Withdrawl Amount] ], )</f>
        <v>0</v>
      </c>
      <c r="O48" s="128">
        <f>IF(Table46[[#This Row],[CODE]]=11, Table46[ [#This Row],[Account Deposit Amount] ]-Table46[ [#This Row],[Account Withdrawl Amount] ], )</f>
        <v>0</v>
      </c>
      <c r="P48" s="128">
        <f>IF(Table46[[#This Row],[CODE]]=12, Table46[ [#This Row],[Account Deposit Amount] ]-Table46[ [#This Row],[Account Withdrawl Amount] ], )</f>
        <v>0</v>
      </c>
      <c r="Q48" s="128">
        <f>IF(Table46[[#This Row],[CODE]]=13, Table46[ [#This Row],[Account Deposit Amount] ]-Table46[ [#This Row],[Account Withdrawl Amount] ], )</f>
        <v>0</v>
      </c>
      <c r="R48" s="128">
        <f>IF(Table46[[#This Row],[CODE]]=14, Table46[ [#This Row],[Account Deposit Amount] ]-Table46[ [#This Row],[Account Withdrawl Amount] ], )</f>
        <v>0</v>
      </c>
      <c r="S48" s="128">
        <f>IF(Table46[[#This Row],[CODE]]=15, Table46[ [#This Row],[Account Deposit Amount] ]-Table46[ [#This Row],[Account Withdrawl Amount] ], )</f>
        <v>0</v>
      </c>
      <c r="T48" s="128">
        <f>IF(Table46[[#This Row],[CODE]]=16, Table46[ [#This Row],[Account Deposit Amount] ]-Table46[ [#This Row],[Account Withdrawl Amount] ], )</f>
        <v>0</v>
      </c>
      <c r="U48" s="127">
        <f>IF(Table46[[#This Row],[CODE]]=17, Table46[ [#This Row],[Account Deposit Amount] ]-Table46[ [#This Row],[Account Withdrawl Amount] ], )</f>
        <v>0</v>
      </c>
    </row>
    <row r="49" spans="1:21" ht="16.2" thickBot="1">
      <c r="A49" s="130"/>
      <c r="B49" s="133"/>
      <c r="C49" s="130"/>
      <c r="D49" s="132"/>
      <c r="E49" s="128"/>
      <c r="F49" s="128"/>
      <c r="G49" s="134">
        <f t="shared" si="3"/>
        <v>27476.099999999991</v>
      </c>
      <c r="H49" s="130"/>
      <c r="I49" s="127">
        <f>IF(Table46[[#This Row],[CODE]]=1, Table46[ [#This Row],[Account Deposit Amount] ]-Table46[ [#This Row],[Account Withdrawl Amount] ], )</f>
        <v>0</v>
      </c>
      <c r="J49" s="129">
        <f>IF(Table46[[#This Row],[CODE]]=2, Table46[ [#This Row],[Account Deposit Amount] ]-Table46[ [#This Row],[Account Withdrawl Amount] ], )</f>
        <v>0</v>
      </c>
      <c r="K49" s="129">
        <f>IF(Table46[[#This Row],[CODE]]=3, Table46[ [#This Row],[Account Deposit Amount] ]-Table46[ [#This Row],[Account Withdrawl Amount] ], )</f>
        <v>0</v>
      </c>
      <c r="L49" s="128">
        <f>IF(Table46[[#This Row],[CODE]]=4, Table46[ [#This Row],[Account Deposit Amount] ]-Table46[ [#This Row],[Account Withdrawl Amount] ], )</f>
        <v>0</v>
      </c>
      <c r="M49" s="128">
        <f>IF(Table46[[#This Row],[CODE]]=5, Table46[ [#This Row],[Account Deposit Amount] ]-Table46[ [#This Row],[Account Withdrawl Amount] ], )</f>
        <v>0</v>
      </c>
      <c r="N49" s="128">
        <f>IF(Table46[[#This Row],[CODE]]=6, Table46[ [#This Row],[Account Deposit Amount] ]-Table46[ [#This Row],[Account Withdrawl Amount] ], )</f>
        <v>0</v>
      </c>
      <c r="O49" s="128">
        <f>IF(Table46[[#This Row],[CODE]]=11, Table46[ [#This Row],[Account Deposit Amount] ]-Table46[ [#This Row],[Account Withdrawl Amount] ], )</f>
        <v>0</v>
      </c>
      <c r="P49" s="128">
        <f>IF(Table46[[#This Row],[CODE]]=12, Table46[ [#This Row],[Account Deposit Amount] ]-Table46[ [#This Row],[Account Withdrawl Amount] ], )</f>
        <v>0</v>
      </c>
      <c r="Q49" s="128">
        <f>IF(Table46[[#This Row],[CODE]]=13, Table46[ [#This Row],[Account Deposit Amount] ]-Table46[ [#This Row],[Account Withdrawl Amount] ], )</f>
        <v>0</v>
      </c>
      <c r="R49" s="128">
        <f>IF(Table46[[#This Row],[CODE]]=14, Table46[ [#This Row],[Account Deposit Amount] ]-Table46[ [#This Row],[Account Withdrawl Amount] ], )</f>
        <v>0</v>
      </c>
      <c r="S49" s="128">
        <f>IF(Table46[[#This Row],[CODE]]=15, Table46[ [#This Row],[Account Deposit Amount] ]-Table46[ [#This Row],[Account Withdrawl Amount] ], )</f>
        <v>0</v>
      </c>
      <c r="T49" s="128">
        <f>IF(Table46[[#This Row],[CODE]]=16, Table46[ [#This Row],[Account Deposit Amount] ]-Table46[ [#This Row],[Account Withdrawl Amount] ], )</f>
        <v>0</v>
      </c>
      <c r="U49" s="127">
        <f>IF(Table46[[#This Row],[CODE]]=17, Table46[ [#This Row],[Account Deposit Amount] ]-Table46[ [#This Row],[Account Withdrawl Amount] ], )</f>
        <v>0</v>
      </c>
    </row>
    <row r="50" spans="1:21" ht="16.2" thickBot="1">
      <c r="A50" s="130"/>
      <c r="B50" s="133"/>
      <c r="C50" s="130"/>
      <c r="D50" s="132"/>
      <c r="E50" s="128"/>
      <c r="F50" s="128"/>
      <c r="G50" s="131">
        <f t="shared" si="3"/>
        <v>27476.099999999991</v>
      </c>
      <c r="H50" s="130"/>
      <c r="I50" s="127">
        <f>IF(Table46[[#This Row],[CODE]]=1, Table46[ [#This Row],[Account Deposit Amount] ]-Table46[ [#This Row],[Account Withdrawl Amount] ], )</f>
        <v>0</v>
      </c>
      <c r="J50" s="129">
        <f>IF(Table46[[#This Row],[CODE]]=2, Table46[ [#This Row],[Account Deposit Amount] ]-Table46[ [#This Row],[Account Withdrawl Amount] ], )</f>
        <v>0</v>
      </c>
      <c r="K50" s="129">
        <f>IF(Table46[[#This Row],[CODE]]=3, Table46[ [#This Row],[Account Deposit Amount] ]-Table46[ [#This Row],[Account Withdrawl Amount] ], )</f>
        <v>0</v>
      </c>
      <c r="L50" s="128">
        <f>IF(Table46[[#This Row],[CODE]]=4, Table46[ [#This Row],[Account Deposit Amount] ]-Table46[ [#This Row],[Account Withdrawl Amount] ], )</f>
        <v>0</v>
      </c>
      <c r="M50" s="128">
        <f>IF(Table46[[#This Row],[CODE]]=5, Table46[ [#This Row],[Account Deposit Amount] ]-Table46[ [#This Row],[Account Withdrawl Amount] ], )</f>
        <v>0</v>
      </c>
      <c r="N50" s="128">
        <f>IF(Table46[[#This Row],[CODE]]=6, Table46[ [#This Row],[Account Deposit Amount] ]-Table46[ [#This Row],[Account Withdrawl Amount] ], )</f>
        <v>0</v>
      </c>
      <c r="O50" s="128">
        <f>IF(Table46[[#This Row],[CODE]]=11, Table46[ [#This Row],[Account Deposit Amount] ]-Table46[ [#This Row],[Account Withdrawl Amount] ], )</f>
        <v>0</v>
      </c>
      <c r="P50" s="128">
        <f>IF(Table46[[#This Row],[CODE]]=12, Table46[ [#This Row],[Account Deposit Amount] ]-Table46[ [#This Row],[Account Withdrawl Amount] ], )</f>
        <v>0</v>
      </c>
      <c r="Q50" s="128">
        <f>IF(Table46[[#This Row],[CODE]]=13, Table46[ [#This Row],[Account Deposit Amount] ]-Table46[ [#This Row],[Account Withdrawl Amount] ], )</f>
        <v>0</v>
      </c>
      <c r="R50" s="128">
        <f>IF(Table46[[#This Row],[CODE]]=14, Table46[ [#This Row],[Account Deposit Amount] ]-Table46[ [#This Row],[Account Withdrawl Amount] ], )</f>
        <v>0</v>
      </c>
      <c r="S50" s="128">
        <f>IF(Table46[[#This Row],[CODE]]=15, Table46[ [#This Row],[Account Deposit Amount] ]-Table46[ [#This Row],[Account Withdrawl Amount] ], )</f>
        <v>0</v>
      </c>
      <c r="T50" s="128">
        <f>IF(Table46[[#This Row],[CODE]]=16, Table46[ [#This Row],[Account Deposit Amount] ]-Table46[ [#This Row],[Account Withdrawl Amount] ], )</f>
        <v>0</v>
      </c>
      <c r="U50" s="127">
        <f>IF(Table46[[#This Row],[CODE]]=17, Table46[ [#This Row],[Account Deposit Amount] ]-Table46[ [#This Row],[Account Withdrawl Amount] ], )</f>
        <v>0</v>
      </c>
    </row>
    <row r="51" spans="1:21" ht="16.2" thickBot="1">
      <c r="A51" s="130"/>
      <c r="B51" s="133"/>
      <c r="C51" s="130"/>
      <c r="D51" s="132"/>
      <c r="E51" s="128"/>
      <c r="F51" s="128"/>
      <c r="G51" s="131">
        <f t="shared" si="3"/>
        <v>27476.099999999991</v>
      </c>
      <c r="H51" s="130"/>
      <c r="I51" s="127">
        <f>IF(Table46[[#This Row],[CODE]]=1, Table46[ [#This Row],[Account Deposit Amount] ]-Table46[ [#This Row],[Account Withdrawl Amount] ], )</f>
        <v>0</v>
      </c>
      <c r="J51" s="129">
        <f>IF(Table46[[#This Row],[CODE]]=2, Table46[ [#This Row],[Account Deposit Amount] ]-Table46[ [#This Row],[Account Withdrawl Amount] ], )</f>
        <v>0</v>
      </c>
      <c r="K51" s="129">
        <f>IF(Table46[[#This Row],[CODE]]=3, Table46[ [#This Row],[Account Deposit Amount] ]-Table46[ [#This Row],[Account Withdrawl Amount] ], )</f>
        <v>0</v>
      </c>
      <c r="L51" s="128">
        <f>IF(Table46[[#This Row],[CODE]]=4, Table46[ [#This Row],[Account Deposit Amount] ]-Table46[ [#This Row],[Account Withdrawl Amount] ], )</f>
        <v>0</v>
      </c>
      <c r="M51" s="128">
        <f>IF(Table46[[#This Row],[CODE]]=5, Table46[ [#This Row],[Account Deposit Amount] ]-Table46[ [#This Row],[Account Withdrawl Amount] ], )</f>
        <v>0</v>
      </c>
      <c r="N51" s="128">
        <f>IF(Table46[[#This Row],[CODE]]=6, Table46[ [#This Row],[Account Deposit Amount] ]-Table46[ [#This Row],[Account Withdrawl Amount] ], )</f>
        <v>0</v>
      </c>
      <c r="O51" s="128">
        <f>IF(Table46[[#This Row],[CODE]]=11, Table46[ [#This Row],[Account Deposit Amount] ]-Table46[ [#This Row],[Account Withdrawl Amount] ], )</f>
        <v>0</v>
      </c>
      <c r="P51" s="128">
        <f>IF(Table46[[#This Row],[CODE]]=12, Table46[ [#This Row],[Account Deposit Amount] ]-Table46[ [#This Row],[Account Withdrawl Amount] ], )</f>
        <v>0</v>
      </c>
      <c r="Q51" s="128">
        <f>IF(Table46[[#This Row],[CODE]]=13, Table46[ [#This Row],[Account Deposit Amount] ]-Table46[ [#This Row],[Account Withdrawl Amount] ], )</f>
        <v>0</v>
      </c>
      <c r="R51" s="128">
        <f>IF(Table46[[#This Row],[CODE]]=14, Table46[ [#This Row],[Account Deposit Amount] ]-Table46[ [#This Row],[Account Withdrawl Amount] ], )</f>
        <v>0</v>
      </c>
      <c r="S51" s="128">
        <f>IF(Table46[[#This Row],[CODE]]=15, Table46[ [#This Row],[Account Deposit Amount] ]-Table46[ [#This Row],[Account Withdrawl Amount] ], )</f>
        <v>0</v>
      </c>
      <c r="T51" s="128">
        <f>IF(Table46[[#This Row],[CODE]]=16, Table46[ [#This Row],[Account Deposit Amount] ]-Table46[ [#This Row],[Account Withdrawl Amount] ], )</f>
        <v>0</v>
      </c>
      <c r="U51" s="127">
        <f>IF(Table46[[#This Row],[CODE]]=17, Table46[ [#This Row],[Account Deposit Amount] ]-Table46[ [#This Row],[Account Withdrawl Amount] ], )</f>
        <v>0</v>
      </c>
    </row>
    <row r="52" spans="1:21" ht="16.2" thickBot="1">
      <c r="A52" s="130"/>
      <c r="B52" s="133"/>
      <c r="C52" s="130"/>
      <c r="D52" s="132"/>
      <c r="E52" s="128"/>
      <c r="F52" s="128"/>
      <c r="G52" s="131">
        <f t="shared" si="3"/>
        <v>27476.099999999991</v>
      </c>
      <c r="H52" s="130"/>
      <c r="I52" s="127">
        <f>IF(Table46[[#This Row],[CODE]]=1, Table46[ [#This Row],[Account Deposit Amount] ]-Table46[ [#This Row],[Account Withdrawl Amount] ], )</f>
        <v>0</v>
      </c>
      <c r="J52" s="129">
        <f>IF(Table46[[#This Row],[CODE]]=2, Table46[ [#This Row],[Account Deposit Amount] ]-Table46[ [#This Row],[Account Withdrawl Amount] ], )</f>
        <v>0</v>
      </c>
      <c r="K52" s="129">
        <f>IF(Table46[[#This Row],[CODE]]=3, Table46[ [#This Row],[Account Deposit Amount] ]-Table46[ [#This Row],[Account Withdrawl Amount] ], )</f>
        <v>0</v>
      </c>
      <c r="L52" s="128">
        <f>IF(Table46[[#This Row],[CODE]]=4, Table46[ [#This Row],[Account Deposit Amount] ]-Table46[ [#This Row],[Account Withdrawl Amount] ], )</f>
        <v>0</v>
      </c>
      <c r="M52" s="128">
        <f>IF(Table46[[#This Row],[CODE]]=5, Table46[ [#This Row],[Account Deposit Amount] ]-Table46[ [#This Row],[Account Withdrawl Amount] ], )</f>
        <v>0</v>
      </c>
      <c r="N52" s="128">
        <f>IF(Table46[[#This Row],[CODE]]=6, Table46[ [#This Row],[Account Deposit Amount] ]-Table46[ [#This Row],[Account Withdrawl Amount] ], )</f>
        <v>0</v>
      </c>
      <c r="O52" s="128">
        <f>IF(Table46[[#This Row],[CODE]]=11, Table46[ [#This Row],[Account Deposit Amount] ]-Table46[ [#This Row],[Account Withdrawl Amount] ], )</f>
        <v>0</v>
      </c>
      <c r="P52" s="128">
        <f>IF(Table46[[#This Row],[CODE]]=12, Table46[ [#This Row],[Account Deposit Amount] ]-Table46[ [#This Row],[Account Withdrawl Amount] ], )</f>
        <v>0</v>
      </c>
      <c r="Q52" s="128">
        <f>IF(Table46[[#This Row],[CODE]]=13, Table46[ [#This Row],[Account Deposit Amount] ]-Table46[ [#This Row],[Account Withdrawl Amount] ], )</f>
        <v>0</v>
      </c>
      <c r="R52" s="128">
        <f>IF(Table46[[#This Row],[CODE]]=14, Table46[ [#This Row],[Account Deposit Amount] ]-Table46[ [#This Row],[Account Withdrawl Amount] ], )</f>
        <v>0</v>
      </c>
      <c r="S52" s="128">
        <f>IF(Table46[[#This Row],[CODE]]=15, Table46[ [#This Row],[Account Deposit Amount] ]-Table46[ [#This Row],[Account Withdrawl Amount] ], )</f>
        <v>0</v>
      </c>
      <c r="T52" s="128">
        <f>IF(Table46[[#This Row],[CODE]]=16, Table46[ [#This Row],[Account Deposit Amount] ]-Table46[ [#This Row],[Account Withdrawl Amount] ], )</f>
        <v>0</v>
      </c>
      <c r="U52" s="127">
        <f>IF(Table46[[#This Row],[CODE]]=17, Table46[ [#This Row],[Account Deposit Amount] ]-Table46[ [#This Row],[Account Withdrawl Amount] ], )</f>
        <v>0</v>
      </c>
    </row>
    <row r="53" spans="1:21" ht="16.2" thickBot="1">
      <c r="A53" s="130"/>
      <c r="B53" s="133"/>
      <c r="C53" s="130"/>
      <c r="D53" s="132"/>
      <c r="E53" s="128"/>
      <c r="F53" s="128"/>
      <c r="G53" s="131">
        <f t="shared" si="3"/>
        <v>27476.099999999991</v>
      </c>
      <c r="H53" s="130"/>
      <c r="I53" s="127">
        <f>IF(Table46[[#This Row],[CODE]]=1, Table46[ [#This Row],[Account Deposit Amount] ]-Table46[ [#This Row],[Account Withdrawl Amount] ], )</f>
        <v>0</v>
      </c>
      <c r="J53" s="129">
        <f>IF(Table46[[#This Row],[CODE]]=2, Table46[ [#This Row],[Account Deposit Amount] ]-Table46[ [#This Row],[Account Withdrawl Amount] ], )</f>
        <v>0</v>
      </c>
      <c r="K53" s="129">
        <f>IF(Table46[[#This Row],[CODE]]=3, Table46[ [#This Row],[Account Deposit Amount] ]-Table46[ [#This Row],[Account Withdrawl Amount] ], )</f>
        <v>0</v>
      </c>
      <c r="L53" s="128">
        <f>IF(Table46[[#This Row],[CODE]]=4, Table46[ [#This Row],[Account Deposit Amount] ]-Table46[ [#This Row],[Account Withdrawl Amount] ], )</f>
        <v>0</v>
      </c>
      <c r="M53" s="128">
        <f>IF(Table46[[#This Row],[CODE]]=5, Table46[ [#This Row],[Account Deposit Amount] ]-Table46[ [#This Row],[Account Withdrawl Amount] ], )</f>
        <v>0</v>
      </c>
      <c r="N53" s="128">
        <f>IF(Table46[[#This Row],[CODE]]=6, Table46[ [#This Row],[Account Deposit Amount] ]-Table46[ [#This Row],[Account Withdrawl Amount] ], )</f>
        <v>0</v>
      </c>
      <c r="O53" s="128">
        <f>IF(Table46[[#This Row],[CODE]]=11, Table46[ [#This Row],[Account Deposit Amount] ]-Table46[ [#This Row],[Account Withdrawl Amount] ], )</f>
        <v>0</v>
      </c>
      <c r="P53" s="128">
        <f>IF(Table46[[#This Row],[CODE]]=12, Table46[ [#This Row],[Account Deposit Amount] ]-Table46[ [#This Row],[Account Withdrawl Amount] ], )</f>
        <v>0</v>
      </c>
      <c r="Q53" s="128">
        <f>IF(Table46[[#This Row],[CODE]]=13, Table46[ [#This Row],[Account Deposit Amount] ]-Table46[ [#This Row],[Account Withdrawl Amount] ], )</f>
        <v>0</v>
      </c>
      <c r="R53" s="128">
        <f>IF(Table46[[#This Row],[CODE]]=14, Table46[ [#This Row],[Account Deposit Amount] ]-Table46[ [#This Row],[Account Withdrawl Amount] ], )</f>
        <v>0</v>
      </c>
      <c r="S53" s="128">
        <f>IF(Table46[[#This Row],[CODE]]=15, Table46[ [#This Row],[Account Deposit Amount] ]-Table46[ [#This Row],[Account Withdrawl Amount] ], )</f>
        <v>0</v>
      </c>
      <c r="T53" s="128">
        <f>IF(Table46[[#This Row],[CODE]]=16, Table46[ [#This Row],[Account Deposit Amount] ]-Table46[ [#This Row],[Account Withdrawl Amount] ], )</f>
        <v>0</v>
      </c>
      <c r="U53" s="127">
        <f>IF(Table46[[#This Row],[CODE]]=17, Table46[ [#This Row],[Account Deposit Amount] ]-Table46[ [#This Row],[Account Withdrawl Amount] ], )</f>
        <v>0</v>
      </c>
    </row>
    <row r="54" spans="1:21" ht="16.2" thickBot="1">
      <c r="A54" s="130"/>
      <c r="B54" s="133"/>
      <c r="C54" s="130"/>
      <c r="D54" s="132"/>
      <c r="E54" s="128"/>
      <c r="F54" s="128"/>
      <c r="G54" s="131">
        <f t="shared" si="3"/>
        <v>27476.099999999991</v>
      </c>
      <c r="H54" s="130"/>
      <c r="I54" s="127">
        <f>IF(Table46[[#This Row],[CODE]]=1, Table46[ [#This Row],[Account Deposit Amount] ]-Table46[ [#This Row],[Account Withdrawl Amount] ], )</f>
        <v>0</v>
      </c>
      <c r="J54" s="129">
        <f>IF(Table46[[#This Row],[CODE]]=2, Table46[ [#This Row],[Account Deposit Amount] ]-Table46[ [#This Row],[Account Withdrawl Amount] ], )</f>
        <v>0</v>
      </c>
      <c r="K54" s="129">
        <f>IF(Table46[[#This Row],[CODE]]=3, Table46[ [#This Row],[Account Deposit Amount] ]-Table46[ [#This Row],[Account Withdrawl Amount] ], )</f>
        <v>0</v>
      </c>
      <c r="L54" s="128">
        <f>IF(Table46[[#This Row],[CODE]]=4, Table46[ [#This Row],[Account Deposit Amount] ]-Table46[ [#This Row],[Account Withdrawl Amount] ], )</f>
        <v>0</v>
      </c>
      <c r="M54" s="128">
        <f>IF(Table46[[#This Row],[CODE]]=5, Table46[ [#This Row],[Account Deposit Amount] ]-Table46[ [#This Row],[Account Withdrawl Amount] ], )</f>
        <v>0</v>
      </c>
      <c r="N54" s="128">
        <f>IF(Table46[[#This Row],[CODE]]=6, Table46[ [#This Row],[Account Deposit Amount] ]-Table46[ [#This Row],[Account Withdrawl Amount] ], )</f>
        <v>0</v>
      </c>
      <c r="O54" s="128">
        <f>IF(Table46[[#This Row],[CODE]]=11, Table46[ [#This Row],[Account Deposit Amount] ]-Table46[ [#This Row],[Account Withdrawl Amount] ], )</f>
        <v>0</v>
      </c>
      <c r="P54" s="128">
        <f>IF(Table46[[#This Row],[CODE]]=12, Table46[ [#This Row],[Account Deposit Amount] ]-Table46[ [#This Row],[Account Withdrawl Amount] ], )</f>
        <v>0</v>
      </c>
      <c r="Q54" s="128">
        <f>IF(Table46[[#This Row],[CODE]]=13, Table46[ [#This Row],[Account Deposit Amount] ]-Table46[ [#This Row],[Account Withdrawl Amount] ], )</f>
        <v>0</v>
      </c>
      <c r="R54" s="128">
        <f>IF(Table46[[#This Row],[CODE]]=14, Table46[ [#This Row],[Account Deposit Amount] ]-Table46[ [#This Row],[Account Withdrawl Amount] ], )</f>
        <v>0</v>
      </c>
      <c r="S54" s="128">
        <f>IF(Table46[[#This Row],[CODE]]=15, Table46[ [#This Row],[Account Deposit Amount] ]-Table46[ [#This Row],[Account Withdrawl Amount] ], )</f>
        <v>0</v>
      </c>
      <c r="T54" s="128">
        <f>IF(Table46[[#This Row],[CODE]]=16, Table46[ [#This Row],[Account Deposit Amount] ]-Table46[ [#This Row],[Account Withdrawl Amount] ], )</f>
        <v>0</v>
      </c>
      <c r="U54" s="127">
        <f>IF(Table46[[#This Row],[CODE]]=17, Table46[ [#This Row],[Account Deposit Amount] ]-Table46[ [#This Row],[Account Withdrawl Amount] ], )</f>
        <v>0</v>
      </c>
    </row>
    <row r="55" spans="1:21" ht="16.2" thickBot="1">
      <c r="A55" s="130"/>
      <c r="B55" s="133"/>
      <c r="C55" s="130"/>
      <c r="D55" s="132"/>
      <c r="E55" s="128"/>
      <c r="F55" s="128"/>
      <c r="G55" s="131">
        <f t="shared" si="3"/>
        <v>27476.099999999991</v>
      </c>
      <c r="H55" s="130"/>
      <c r="I55" s="127">
        <f>IF(Table46[[#This Row],[CODE]]=1, Table46[ [#This Row],[Account Deposit Amount] ]-Table46[ [#This Row],[Account Withdrawl Amount] ], )</f>
        <v>0</v>
      </c>
      <c r="J55" s="129">
        <f>IF(Table46[[#This Row],[CODE]]=2, Table46[ [#This Row],[Account Deposit Amount] ]-Table46[ [#This Row],[Account Withdrawl Amount] ], )</f>
        <v>0</v>
      </c>
      <c r="K55" s="129">
        <f>IF(Table46[[#This Row],[CODE]]=3, Table46[ [#This Row],[Account Deposit Amount] ]-Table46[ [#This Row],[Account Withdrawl Amount] ], )</f>
        <v>0</v>
      </c>
      <c r="L55" s="128">
        <f>IF(Table46[[#This Row],[CODE]]=4, Table46[ [#This Row],[Account Deposit Amount] ]-Table46[ [#This Row],[Account Withdrawl Amount] ], )</f>
        <v>0</v>
      </c>
      <c r="M55" s="128">
        <f>IF(Table46[[#This Row],[CODE]]=5, Table46[ [#This Row],[Account Deposit Amount] ]-Table46[ [#This Row],[Account Withdrawl Amount] ], )</f>
        <v>0</v>
      </c>
      <c r="N55" s="128">
        <f>IF(Table46[[#This Row],[CODE]]=6, Table46[ [#This Row],[Account Deposit Amount] ]-Table46[ [#This Row],[Account Withdrawl Amount] ], )</f>
        <v>0</v>
      </c>
      <c r="O55" s="128">
        <f>IF(Table46[[#This Row],[CODE]]=11, Table46[ [#This Row],[Account Deposit Amount] ]-Table46[ [#This Row],[Account Withdrawl Amount] ], )</f>
        <v>0</v>
      </c>
      <c r="P55" s="128">
        <f>IF(Table46[[#This Row],[CODE]]=12, Table46[ [#This Row],[Account Deposit Amount] ]-Table46[ [#This Row],[Account Withdrawl Amount] ], )</f>
        <v>0</v>
      </c>
      <c r="Q55" s="128">
        <f>IF(Table46[[#This Row],[CODE]]=13, Table46[ [#This Row],[Account Deposit Amount] ]-Table46[ [#This Row],[Account Withdrawl Amount] ], )</f>
        <v>0</v>
      </c>
      <c r="R55" s="128">
        <f>IF(Table46[[#This Row],[CODE]]=14, Table46[ [#This Row],[Account Deposit Amount] ]-Table46[ [#This Row],[Account Withdrawl Amount] ], )</f>
        <v>0</v>
      </c>
      <c r="S55" s="128">
        <f>IF(Table46[[#This Row],[CODE]]=15, Table46[ [#This Row],[Account Deposit Amount] ]-Table46[ [#This Row],[Account Withdrawl Amount] ], )</f>
        <v>0</v>
      </c>
      <c r="T55" s="128">
        <f>IF(Table46[[#This Row],[CODE]]=16, Table46[ [#This Row],[Account Deposit Amount] ]-Table46[ [#This Row],[Account Withdrawl Amount] ], )</f>
        <v>0</v>
      </c>
      <c r="U55" s="127">
        <f>IF(Table46[[#This Row],[CODE]]=17, Table46[ [#This Row],[Account Deposit Amount] ]-Table46[ [#This Row],[Account Withdrawl Amount] ], )</f>
        <v>0</v>
      </c>
    </row>
    <row r="56" spans="1:21" ht="16.2" thickBot="1">
      <c r="A56" s="130"/>
      <c r="B56" s="133"/>
      <c r="C56" s="130"/>
      <c r="D56" s="132"/>
      <c r="E56" s="128"/>
      <c r="F56" s="128"/>
      <c r="G56" s="131">
        <f t="shared" si="3"/>
        <v>27476.099999999991</v>
      </c>
      <c r="H56" s="130"/>
      <c r="I56" s="127">
        <f>IF(Table46[[#This Row],[CODE]]=1, Table46[ [#This Row],[Account Deposit Amount] ]-Table46[ [#This Row],[Account Withdrawl Amount] ], )</f>
        <v>0</v>
      </c>
      <c r="J56" s="129">
        <f>IF(Table46[[#This Row],[CODE]]=2, Table46[ [#This Row],[Account Deposit Amount] ]-Table46[ [#This Row],[Account Withdrawl Amount] ], )</f>
        <v>0</v>
      </c>
      <c r="K56" s="129">
        <f>IF(Table46[[#This Row],[CODE]]=3, Table46[ [#This Row],[Account Deposit Amount] ]-Table46[ [#This Row],[Account Withdrawl Amount] ], )</f>
        <v>0</v>
      </c>
      <c r="L56" s="128">
        <f>IF(Table46[[#This Row],[CODE]]=4, Table46[ [#This Row],[Account Deposit Amount] ]-Table46[ [#This Row],[Account Withdrawl Amount] ], )</f>
        <v>0</v>
      </c>
      <c r="M56" s="128">
        <f>IF(Table46[[#This Row],[CODE]]=5, Table46[ [#This Row],[Account Deposit Amount] ]-Table46[ [#This Row],[Account Withdrawl Amount] ], )</f>
        <v>0</v>
      </c>
      <c r="N56" s="128">
        <f>IF(Table46[[#This Row],[CODE]]=6, Table46[ [#This Row],[Account Deposit Amount] ]-Table46[ [#This Row],[Account Withdrawl Amount] ], )</f>
        <v>0</v>
      </c>
      <c r="O56" s="128">
        <f>IF(Table46[[#This Row],[CODE]]=11, Table46[ [#This Row],[Account Deposit Amount] ]-Table46[ [#This Row],[Account Withdrawl Amount] ], )</f>
        <v>0</v>
      </c>
      <c r="P56" s="128">
        <f>IF(Table46[[#This Row],[CODE]]=12, Table46[ [#This Row],[Account Deposit Amount] ]-Table46[ [#This Row],[Account Withdrawl Amount] ], )</f>
        <v>0</v>
      </c>
      <c r="Q56" s="128">
        <f>IF(Table46[[#This Row],[CODE]]=13, Table46[ [#This Row],[Account Deposit Amount] ]-Table46[ [#This Row],[Account Withdrawl Amount] ], )</f>
        <v>0</v>
      </c>
      <c r="R56" s="128">
        <f>IF(Table46[[#This Row],[CODE]]=14, Table46[ [#This Row],[Account Deposit Amount] ]-Table46[ [#This Row],[Account Withdrawl Amount] ], )</f>
        <v>0</v>
      </c>
      <c r="S56" s="128">
        <f>IF(Table46[[#This Row],[CODE]]=15, Table46[ [#This Row],[Account Deposit Amount] ]-Table46[ [#This Row],[Account Withdrawl Amount] ], )</f>
        <v>0</v>
      </c>
      <c r="T56" s="128">
        <f>IF(Table46[[#This Row],[CODE]]=16, Table46[ [#This Row],[Account Deposit Amount] ]-Table46[ [#This Row],[Account Withdrawl Amount] ], )</f>
        <v>0</v>
      </c>
      <c r="U56" s="127">
        <f>IF(Table46[[#This Row],[CODE]]=17, Table46[ [#This Row],[Account Deposit Amount] ]-Table46[ [#This Row],[Account Withdrawl Amount] ], )</f>
        <v>0</v>
      </c>
    </row>
    <row r="57" spans="1:21" ht="16.2" thickBot="1">
      <c r="A57" s="130"/>
      <c r="B57" s="133"/>
      <c r="C57" s="130"/>
      <c r="D57" s="132"/>
      <c r="E57" s="128"/>
      <c r="F57" s="128"/>
      <c r="G57" s="131">
        <f t="shared" si="3"/>
        <v>27476.099999999991</v>
      </c>
      <c r="H57" s="130"/>
      <c r="I57" s="127">
        <f>IF(Table46[[#This Row],[CODE]]=1, Table46[ [#This Row],[Account Deposit Amount] ]-Table46[ [#This Row],[Account Withdrawl Amount] ], )</f>
        <v>0</v>
      </c>
      <c r="J57" s="129">
        <f>IF(Table46[[#This Row],[CODE]]=2, Table46[ [#This Row],[Account Deposit Amount] ]-Table46[ [#This Row],[Account Withdrawl Amount] ], )</f>
        <v>0</v>
      </c>
      <c r="K57" s="129">
        <f>IF(Table46[[#This Row],[CODE]]=3, Table46[ [#This Row],[Account Deposit Amount] ]-Table46[ [#This Row],[Account Withdrawl Amount] ], )</f>
        <v>0</v>
      </c>
      <c r="L57" s="128">
        <f>IF(Table46[[#This Row],[CODE]]=4, Table46[ [#This Row],[Account Deposit Amount] ]-Table46[ [#This Row],[Account Withdrawl Amount] ], )</f>
        <v>0</v>
      </c>
      <c r="M57" s="128">
        <f>IF(Table46[[#This Row],[CODE]]=5, Table46[ [#This Row],[Account Deposit Amount] ]-Table46[ [#This Row],[Account Withdrawl Amount] ], )</f>
        <v>0</v>
      </c>
      <c r="N57" s="128">
        <f>IF(Table46[[#This Row],[CODE]]=6, Table46[ [#This Row],[Account Deposit Amount] ]-Table46[ [#This Row],[Account Withdrawl Amount] ], )</f>
        <v>0</v>
      </c>
      <c r="O57" s="128">
        <f>IF(Table46[[#This Row],[CODE]]=11, Table46[ [#This Row],[Account Deposit Amount] ]-Table46[ [#This Row],[Account Withdrawl Amount] ], )</f>
        <v>0</v>
      </c>
      <c r="P57" s="128">
        <f>IF(Table46[[#This Row],[CODE]]=12, Table46[ [#This Row],[Account Deposit Amount] ]-Table46[ [#This Row],[Account Withdrawl Amount] ], )</f>
        <v>0</v>
      </c>
      <c r="Q57" s="128">
        <f>IF(Table46[[#This Row],[CODE]]=13, Table46[ [#This Row],[Account Deposit Amount] ]-Table46[ [#This Row],[Account Withdrawl Amount] ], )</f>
        <v>0</v>
      </c>
      <c r="R57" s="128">
        <f>IF(Table46[[#This Row],[CODE]]=14, Table46[ [#This Row],[Account Deposit Amount] ]-Table46[ [#This Row],[Account Withdrawl Amount] ], )</f>
        <v>0</v>
      </c>
      <c r="S57" s="128">
        <f>IF(Table46[[#This Row],[CODE]]=15, Table46[ [#This Row],[Account Deposit Amount] ]-Table46[ [#This Row],[Account Withdrawl Amount] ], )</f>
        <v>0</v>
      </c>
      <c r="T57" s="128">
        <f>IF(Table46[[#This Row],[CODE]]=16, Table46[ [#This Row],[Account Deposit Amount] ]-Table46[ [#This Row],[Account Withdrawl Amount] ], )</f>
        <v>0</v>
      </c>
      <c r="U57" s="127">
        <f>IF(Table46[[#This Row],[CODE]]=17, Table46[ [#This Row],[Account Deposit Amount] ]-Table46[ [#This Row],[Account Withdrawl Amount] ], )</f>
        <v>0</v>
      </c>
    </row>
    <row r="58" spans="1:21" ht="16.2" thickBot="1">
      <c r="A58" s="130"/>
      <c r="B58" s="133"/>
      <c r="C58" s="130"/>
      <c r="D58" s="132"/>
      <c r="E58" s="128"/>
      <c r="F58" s="128"/>
      <c r="G58" s="131">
        <f t="shared" si="3"/>
        <v>27476.099999999991</v>
      </c>
      <c r="H58" s="130"/>
      <c r="I58" s="127">
        <f>IF(Table46[[#This Row],[CODE]]=1, Table46[ [#This Row],[Account Deposit Amount] ]-Table46[ [#This Row],[Account Withdrawl Amount] ], )</f>
        <v>0</v>
      </c>
      <c r="J58" s="129">
        <f>IF(Table46[[#This Row],[CODE]]=2, Table46[ [#This Row],[Account Deposit Amount] ]-Table46[ [#This Row],[Account Withdrawl Amount] ], )</f>
        <v>0</v>
      </c>
      <c r="K58" s="129">
        <f>IF(Table46[[#This Row],[CODE]]=3, Table46[ [#This Row],[Account Deposit Amount] ]-Table46[ [#This Row],[Account Withdrawl Amount] ], )</f>
        <v>0</v>
      </c>
      <c r="L58" s="128">
        <f>IF(Table46[[#This Row],[CODE]]=4, Table46[ [#This Row],[Account Deposit Amount] ]-Table46[ [#This Row],[Account Withdrawl Amount] ], )</f>
        <v>0</v>
      </c>
      <c r="M58" s="128">
        <f>IF(Table46[[#This Row],[CODE]]=5, Table46[ [#This Row],[Account Deposit Amount] ]-Table46[ [#This Row],[Account Withdrawl Amount] ], )</f>
        <v>0</v>
      </c>
      <c r="N58" s="128">
        <f>IF(Table46[[#This Row],[CODE]]=6, Table46[ [#This Row],[Account Deposit Amount] ]-Table46[ [#This Row],[Account Withdrawl Amount] ], )</f>
        <v>0</v>
      </c>
      <c r="O58" s="128">
        <f>IF(Table46[[#This Row],[CODE]]=11, Table46[ [#This Row],[Account Deposit Amount] ]-Table46[ [#This Row],[Account Withdrawl Amount] ], )</f>
        <v>0</v>
      </c>
      <c r="P58" s="128">
        <f>IF(Table46[[#This Row],[CODE]]=12, Table46[ [#This Row],[Account Deposit Amount] ]-Table46[ [#This Row],[Account Withdrawl Amount] ], )</f>
        <v>0</v>
      </c>
      <c r="Q58" s="128">
        <f>IF(Table46[[#This Row],[CODE]]=13, Table46[ [#This Row],[Account Deposit Amount] ]-Table46[ [#This Row],[Account Withdrawl Amount] ], )</f>
        <v>0</v>
      </c>
      <c r="R58" s="128">
        <f>IF(Table46[[#This Row],[CODE]]=14, Table46[ [#This Row],[Account Deposit Amount] ]-Table46[ [#This Row],[Account Withdrawl Amount] ], )</f>
        <v>0</v>
      </c>
      <c r="S58" s="128">
        <f>IF(Table46[[#This Row],[CODE]]=15, Table46[ [#This Row],[Account Deposit Amount] ]-Table46[ [#This Row],[Account Withdrawl Amount] ], )</f>
        <v>0</v>
      </c>
      <c r="T58" s="128">
        <f>IF(Table46[[#This Row],[CODE]]=16, Table46[ [#This Row],[Account Deposit Amount] ]-Table46[ [#This Row],[Account Withdrawl Amount] ], )</f>
        <v>0</v>
      </c>
      <c r="U58" s="127">
        <f>IF(Table46[[#This Row],[CODE]]=17, Table46[ [#This Row],[Account Deposit Amount] ]-Table46[ [#This Row],[Account Withdrawl Amount] ], )</f>
        <v>0</v>
      </c>
    </row>
    <row r="59" spans="1:21" ht="16.2" thickBot="1">
      <c r="A59" s="130"/>
      <c r="B59" s="133"/>
      <c r="C59" s="130"/>
      <c r="D59" s="132"/>
      <c r="E59" s="128"/>
      <c r="F59" s="128"/>
      <c r="G59" s="131">
        <f t="shared" si="3"/>
        <v>27476.099999999991</v>
      </c>
      <c r="H59" s="130"/>
      <c r="I59" s="127">
        <f>IF(Table46[[#This Row],[CODE]]=1, Table46[ [#This Row],[Account Deposit Amount] ]-Table46[ [#This Row],[Account Withdrawl Amount] ], )</f>
        <v>0</v>
      </c>
      <c r="J59" s="129">
        <f>IF(Table46[[#This Row],[CODE]]=2, Table46[ [#This Row],[Account Deposit Amount] ]-Table46[ [#This Row],[Account Withdrawl Amount] ], )</f>
        <v>0</v>
      </c>
      <c r="K59" s="129">
        <f>IF(Table46[[#This Row],[CODE]]=3, Table46[ [#This Row],[Account Deposit Amount] ]-Table46[ [#This Row],[Account Withdrawl Amount] ], )</f>
        <v>0</v>
      </c>
      <c r="L59" s="128">
        <f>IF(Table46[[#This Row],[CODE]]=4, Table46[ [#This Row],[Account Deposit Amount] ]-Table46[ [#This Row],[Account Withdrawl Amount] ], )</f>
        <v>0</v>
      </c>
      <c r="M59" s="128">
        <f>IF(Table46[[#This Row],[CODE]]=5, Table46[ [#This Row],[Account Deposit Amount] ]-Table46[ [#This Row],[Account Withdrawl Amount] ], )</f>
        <v>0</v>
      </c>
      <c r="N59" s="128">
        <f>IF(Table46[[#This Row],[CODE]]=6, Table46[ [#This Row],[Account Deposit Amount] ]-Table46[ [#This Row],[Account Withdrawl Amount] ], )</f>
        <v>0</v>
      </c>
      <c r="O59" s="128">
        <f>IF(Table46[[#This Row],[CODE]]=11, Table46[ [#This Row],[Account Deposit Amount] ]-Table46[ [#This Row],[Account Withdrawl Amount] ], )</f>
        <v>0</v>
      </c>
      <c r="P59" s="128">
        <f>IF(Table46[[#This Row],[CODE]]=12, Table46[ [#This Row],[Account Deposit Amount] ]-Table46[ [#This Row],[Account Withdrawl Amount] ], )</f>
        <v>0</v>
      </c>
      <c r="Q59" s="128">
        <f>IF(Table46[[#This Row],[CODE]]=13, Table46[ [#This Row],[Account Deposit Amount] ]-Table46[ [#This Row],[Account Withdrawl Amount] ], )</f>
        <v>0</v>
      </c>
      <c r="R59" s="128">
        <f>IF(Table46[[#This Row],[CODE]]=14, Table46[ [#This Row],[Account Deposit Amount] ]-Table46[ [#This Row],[Account Withdrawl Amount] ], )</f>
        <v>0</v>
      </c>
      <c r="S59" s="128">
        <f>IF(Table46[[#This Row],[CODE]]=15, Table46[ [#This Row],[Account Deposit Amount] ]-Table46[ [#This Row],[Account Withdrawl Amount] ], )</f>
        <v>0</v>
      </c>
      <c r="T59" s="128">
        <f>IF(Table46[[#This Row],[CODE]]=16, Table46[ [#This Row],[Account Deposit Amount] ]-Table46[ [#This Row],[Account Withdrawl Amount] ], )</f>
        <v>0</v>
      </c>
      <c r="U59" s="127">
        <f>IF(Table46[[#This Row],[CODE]]=17, Table46[ [#This Row],[Account Deposit Amount] ]-Table46[ [#This Row],[Account Withdrawl Amount] ], )</f>
        <v>0</v>
      </c>
    </row>
    <row r="60" spans="1:21" ht="16.2" thickBot="1">
      <c r="A60" s="130"/>
      <c r="B60" s="133"/>
      <c r="C60" s="130"/>
      <c r="D60" s="132"/>
      <c r="E60" s="128"/>
      <c r="F60" s="128"/>
      <c r="G60" s="131">
        <f t="shared" si="3"/>
        <v>27476.099999999991</v>
      </c>
      <c r="H60" s="130"/>
      <c r="I60" s="127">
        <f>IF(Table46[[#This Row],[CODE]]=1, Table46[ [#This Row],[Account Deposit Amount] ]-Table46[ [#This Row],[Account Withdrawl Amount] ], )</f>
        <v>0</v>
      </c>
      <c r="J60" s="129">
        <f>IF(Table46[[#This Row],[CODE]]=2, Table46[ [#This Row],[Account Deposit Amount] ]-Table46[ [#This Row],[Account Withdrawl Amount] ], )</f>
        <v>0</v>
      </c>
      <c r="K60" s="129">
        <f>IF(Table46[[#This Row],[CODE]]=3, Table46[ [#This Row],[Account Deposit Amount] ]-Table46[ [#This Row],[Account Withdrawl Amount] ], )</f>
        <v>0</v>
      </c>
      <c r="L60" s="128">
        <f>IF(Table46[[#This Row],[CODE]]=4, Table46[ [#This Row],[Account Deposit Amount] ]-Table46[ [#This Row],[Account Withdrawl Amount] ], )</f>
        <v>0</v>
      </c>
      <c r="M60" s="128">
        <f>IF(Table46[[#This Row],[CODE]]=5, Table46[ [#This Row],[Account Deposit Amount] ]-Table46[ [#This Row],[Account Withdrawl Amount] ], )</f>
        <v>0</v>
      </c>
      <c r="N60" s="128">
        <f>IF(Table46[[#This Row],[CODE]]=6, Table46[ [#This Row],[Account Deposit Amount] ]-Table46[ [#This Row],[Account Withdrawl Amount] ], )</f>
        <v>0</v>
      </c>
      <c r="O60" s="128">
        <f>IF(Table46[[#This Row],[CODE]]=11, Table46[ [#This Row],[Account Deposit Amount] ]-Table46[ [#This Row],[Account Withdrawl Amount] ], )</f>
        <v>0</v>
      </c>
      <c r="P60" s="128">
        <f>IF(Table46[[#This Row],[CODE]]=12, Table46[ [#This Row],[Account Deposit Amount] ]-Table46[ [#This Row],[Account Withdrawl Amount] ], )</f>
        <v>0</v>
      </c>
      <c r="Q60" s="128">
        <f>IF(Table46[[#This Row],[CODE]]=13, Table46[ [#This Row],[Account Deposit Amount] ]-Table46[ [#This Row],[Account Withdrawl Amount] ], )</f>
        <v>0</v>
      </c>
      <c r="R60" s="128">
        <f>IF(Table46[[#This Row],[CODE]]=14, Table46[ [#This Row],[Account Deposit Amount] ]-Table46[ [#This Row],[Account Withdrawl Amount] ], )</f>
        <v>0</v>
      </c>
      <c r="S60" s="128">
        <f>IF(Table46[[#This Row],[CODE]]=15, Table46[ [#This Row],[Account Deposit Amount] ]-Table46[ [#This Row],[Account Withdrawl Amount] ], )</f>
        <v>0</v>
      </c>
      <c r="T60" s="128">
        <f>IF(Table46[[#This Row],[CODE]]=16, Table46[ [#This Row],[Account Deposit Amount] ]-Table46[ [#This Row],[Account Withdrawl Amount] ], )</f>
        <v>0</v>
      </c>
      <c r="U60" s="127">
        <f>IF(Table46[[#This Row],[CODE]]=17, Table46[ [#This Row],[Account Deposit Amount] ]-Table46[ [#This Row],[Account Withdrawl Amount] ], )</f>
        <v>0</v>
      </c>
    </row>
    <row r="61" spans="1:21" ht="16.2" thickBot="1">
      <c r="A61" s="130"/>
      <c r="B61" s="133"/>
      <c r="C61" s="130"/>
      <c r="D61" s="132"/>
      <c r="E61" s="128"/>
      <c r="F61" s="128"/>
      <c r="G61" s="131">
        <f t="shared" si="3"/>
        <v>27476.099999999991</v>
      </c>
      <c r="H61" s="130"/>
      <c r="I61" s="127">
        <f>IF(Table46[[#This Row],[CODE]]=1, Table46[ [#This Row],[Account Deposit Amount] ]-Table46[ [#This Row],[Account Withdrawl Amount] ], )</f>
        <v>0</v>
      </c>
      <c r="J61" s="129">
        <f>IF(Table46[[#This Row],[CODE]]=2, Table46[ [#This Row],[Account Deposit Amount] ]-Table46[ [#This Row],[Account Withdrawl Amount] ], )</f>
        <v>0</v>
      </c>
      <c r="K61" s="129">
        <f>IF(Table46[[#This Row],[CODE]]=3, Table46[ [#This Row],[Account Deposit Amount] ]-Table46[ [#This Row],[Account Withdrawl Amount] ], )</f>
        <v>0</v>
      </c>
      <c r="L61" s="128">
        <f>IF(Table46[[#This Row],[CODE]]=4, Table46[ [#This Row],[Account Deposit Amount] ]-Table46[ [#This Row],[Account Withdrawl Amount] ], )</f>
        <v>0</v>
      </c>
      <c r="M61" s="128">
        <f>IF(Table46[[#This Row],[CODE]]=5, Table46[ [#This Row],[Account Deposit Amount] ]-Table46[ [#This Row],[Account Withdrawl Amount] ], )</f>
        <v>0</v>
      </c>
      <c r="N61" s="128">
        <f>IF(Table46[[#This Row],[CODE]]=6, Table46[ [#This Row],[Account Deposit Amount] ]-Table46[ [#This Row],[Account Withdrawl Amount] ], )</f>
        <v>0</v>
      </c>
      <c r="O61" s="128">
        <f>IF(Table46[[#This Row],[CODE]]=11, Table46[ [#This Row],[Account Deposit Amount] ]-Table46[ [#This Row],[Account Withdrawl Amount] ], )</f>
        <v>0</v>
      </c>
      <c r="P61" s="128">
        <f>IF(Table46[[#This Row],[CODE]]=12, Table46[ [#This Row],[Account Deposit Amount] ]-Table46[ [#This Row],[Account Withdrawl Amount] ], )</f>
        <v>0</v>
      </c>
      <c r="Q61" s="128">
        <f>IF(Table46[[#This Row],[CODE]]=13, Table46[ [#This Row],[Account Deposit Amount] ]-Table46[ [#This Row],[Account Withdrawl Amount] ], )</f>
        <v>0</v>
      </c>
      <c r="R61" s="128">
        <f>IF(Table46[[#This Row],[CODE]]=14, Table46[ [#This Row],[Account Deposit Amount] ]-Table46[ [#This Row],[Account Withdrawl Amount] ], )</f>
        <v>0</v>
      </c>
      <c r="S61" s="128">
        <f>IF(Table46[[#This Row],[CODE]]=15, Table46[ [#This Row],[Account Deposit Amount] ]-Table46[ [#This Row],[Account Withdrawl Amount] ], )</f>
        <v>0</v>
      </c>
      <c r="T61" s="128">
        <f>IF(Table46[[#This Row],[CODE]]=16, Table46[ [#This Row],[Account Deposit Amount] ]-Table46[ [#This Row],[Account Withdrawl Amount] ], )</f>
        <v>0</v>
      </c>
      <c r="U61" s="127">
        <f>IF(Table46[[#This Row],[CODE]]=17, Table46[ [#This Row],[Account Deposit Amount] ]-Table46[ [#This Row],[Account Withdrawl Amount] ], )</f>
        <v>0</v>
      </c>
    </row>
    <row r="62" spans="1:21" ht="16.2" thickBot="1">
      <c r="A62" s="130"/>
      <c r="B62" s="133"/>
      <c r="C62" s="130"/>
      <c r="D62" s="132"/>
      <c r="E62" s="128"/>
      <c r="F62" s="128"/>
      <c r="G62" s="131">
        <f t="shared" si="3"/>
        <v>27476.099999999991</v>
      </c>
      <c r="H62" s="130"/>
      <c r="I62" s="127">
        <f>IF(Table46[[#This Row],[CODE]]=1, Table46[ [#This Row],[Account Deposit Amount] ]-Table46[ [#This Row],[Account Withdrawl Amount] ], )</f>
        <v>0</v>
      </c>
      <c r="J62" s="129">
        <f>IF(Table46[[#This Row],[CODE]]=2, Table46[ [#This Row],[Account Deposit Amount] ]-Table46[ [#This Row],[Account Withdrawl Amount] ], )</f>
        <v>0</v>
      </c>
      <c r="K62" s="129">
        <f>IF(Table46[[#This Row],[CODE]]=3, Table46[ [#This Row],[Account Deposit Amount] ]-Table46[ [#This Row],[Account Withdrawl Amount] ], )</f>
        <v>0</v>
      </c>
      <c r="L62" s="128">
        <f>IF(Table46[[#This Row],[CODE]]=4, Table46[ [#This Row],[Account Deposit Amount] ]-Table46[ [#This Row],[Account Withdrawl Amount] ], )</f>
        <v>0</v>
      </c>
      <c r="M62" s="128">
        <f>IF(Table46[[#This Row],[CODE]]=5, Table46[ [#This Row],[Account Deposit Amount] ]-Table46[ [#This Row],[Account Withdrawl Amount] ], )</f>
        <v>0</v>
      </c>
      <c r="N62" s="128">
        <f>IF(Table46[[#This Row],[CODE]]=6, Table46[ [#This Row],[Account Deposit Amount] ]-Table46[ [#This Row],[Account Withdrawl Amount] ], )</f>
        <v>0</v>
      </c>
      <c r="O62" s="128">
        <f>IF(Table46[[#This Row],[CODE]]=11, Table46[ [#This Row],[Account Deposit Amount] ]-Table46[ [#This Row],[Account Withdrawl Amount] ], )</f>
        <v>0</v>
      </c>
      <c r="P62" s="128">
        <f>IF(Table46[[#This Row],[CODE]]=12, Table46[ [#This Row],[Account Deposit Amount] ]-Table46[ [#This Row],[Account Withdrawl Amount] ], )</f>
        <v>0</v>
      </c>
      <c r="Q62" s="128">
        <f>IF(Table46[[#This Row],[CODE]]=13, Table46[ [#This Row],[Account Deposit Amount] ]-Table46[ [#This Row],[Account Withdrawl Amount] ], )</f>
        <v>0</v>
      </c>
      <c r="R62" s="128">
        <f>IF(Table46[[#This Row],[CODE]]=14, Table46[ [#This Row],[Account Deposit Amount] ]-Table46[ [#This Row],[Account Withdrawl Amount] ], )</f>
        <v>0</v>
      </c>
      <c r="S62" s="128">
        <f>IF(Table46[[#This Row],[CODE]]=15, Table46[ [#This Row],[Account Deposit Amount] ]-Table46[ [#This Row],[Account Withdrawl Amount] ], )</f>
        <v>0</v>
      </c>
      <c r="T62" s="128">
        <f>IF(Table46[[#This Row],[CODE]]=16, Table46[ [#This Row],[Account Deposit Amount] ]-Table46[ [#This Row],[Account Withdrawl Amount] ], )</f>
        <v>0</v>
      </c>
      <c r="U62" s="127">
        <f>IF(Table46[[#This Row],[CODE]]=17, Table46[ [#This Row],[Account Deposit Amount] ]-Table46[ [#This Row],[Account Withdrawl Amount] ], )</f>
        <v>0</v>
      </c>
    </row>
    <row r="63" spans="1:21" ht="16.2" thickBot="1">
      <c r="A63" s="130"/>
      <c r="B63" s="133"/>
      <c r="C63" s="130"/>
      <c r="D63" s="132"/>
      <c r="E63" s="128"/>
      <c r="F63" s="128"/>
      <c r="G63" s="131">
        <f t="shared" si="3"/>
        <v>27476.099999999991</v>
      </c>
      <c r="H63" s="130"/>
      <c r="I63" s="127">
        <f>IF(Table46[[#This Row],[CODE]]=1, Table46[ [#This Row],[Account Deposit Amount] ]-Table46[ [#This Row],[Account Withdrawl Amount] ], )</f>
        <v>0</v>
      </c>
      <c r="J63" s="129">
        <f>IF(Table46[[#This Row],[CODE]]=2, Table46[ [#This Row],[Account Deposit Amount] ]-Table46[ [#This Row],[Account Withdrawl Amount] ], )</f>
        <v>0</v>
      </c>
      <c r="K63" s="129">
        <f>IF(Table46[[#This Row],[CODE]]=3, Table46[ [#This Row],[Account Deposit Amount] ]-Table46[ [#This Row],[Account Withdrawl Amount] ], )</f>
        <v>0</v>
      </c>
      <c r="L63" s="128">
        <f>IF(Table46[[#This Row],[CODE]]=4, Table46[ [#This Row],[Account Deposit Amount] ]-Table46[ [#This Row],[Account Withdrawl Amount] ], )</f>
        <v>0</v>
      </c>
      <c r="M63" s="128">
        <f>IF(Table46[[#This Row],[CODE]]=5, Table46[ [#This Row],[Account Deposit Amount] ]-Table46[ [#This Row],[Account Withdrawl Amount] ], )</f>
        <v>0</v>
      </c>
      <c r="N63" s="128">
        <f>IF(Table46[[#This Row],[CODE]]=6, Table46[ [#This Row],[Account Deposit Amount] ]-Table46[ [#This Row],[Account Withdrawl Amount] ], )</f>
        <v>0</v>
      </c>
      <c r="O63" s="128">
        <f>IF(Table46[[#This Row],[CODE]]=11, Table46[ [#This Row],[Account Deposit Amount] ]-Table46[ [#This Row],[Account Withdrawl Amount] ], )</f>
        <v>0</v>
      </c>
      <c r="P63" s="128">
        <f>IF(Table46[[#This Row],[CODE]]=12, Table46[ [#This Row],[Account Deposit Amount] ]-Table46[ [#This Row],[Account Withdrawl Amount] ], )</f>
        <v>0</v>
      </c>
      <c r="Q63" s="128">
        <f>IF(Table46[[#This Row],[CODE]]=13, Table46[ [#This Row],[Account Deposit Amount] ]-Table46[ [#This Row],[Account Withdrawl Amount] ], )</f>
        <v>0</v>
      </c>
      <c r="R63" s="128">
        <f>IF(Table46[[#This Row],[CODE]]=14, Table46[ [#This Row],[Account Deposit Amount] ]-Table46[ [#This Row],[Account Withdrawl Amount] ], )</f>
        <v>0</v>
      </c>
      <c r="S63" s="128">
        <f>IF(Table46[[#This Row],[CODE]]=15, Table46[ [#This Row],[Account Deposit Amount] ]-Table46[ [#This Row],[Account Withdrawl Amount] ], )</f>
        <v>0</v>
      </c>
      <c r="T63" s="128">
        <f>IF(Table46[[#This Row],[CODE]]=16, Table46[ [#This Row],[Account Deposit Amount] ]-Table46[ [#This Row],[Account Withdrawl Amount] ], )</f>
        <v>0</v>
      </c>
      <c r="U63" s="127">
        <f>IF(Table46[[#This Row],[CODE]]=17, Table46[ [#This Row],[Account Deposit Amount] ]-Table46[ [#This Row],[Account Withdrawl Amount] ], )</f>
        <v>0</v>
      </c>
    </row>
    <row r="64" spans="1:21" ht="16.2" thickBot="1">
      <c r="A64" s="130"/>
      <c r="B64" s="133"/>
      <c r="C64" s="130"/>
      <c r="D64" s="132"/>
      <c r="E64" s="128"/>
      <c r="F64" s="128"/>
      <c r="G64" s="131">
        <f t="shared" si="3"/>
        <v>27476.099999999991</v>
      </c>
      <c r="H64" s="130"/>
      <c r="I64" s="127">
        <f>IF(Table46[[#This Row],[CODE]]=1, Table46[ [#This Row],[Account Deposit Amount] ]-Table46[ [#This Row],[Account Withdrawl Amount] ], )</f>
        <v>0</v>
      </c>
      <c r="J64" s="129">
        <f>IF(Table46[[#This Row],[CODE]]=2, Table46[ [#This Row],[Account Deposit Amount] ]-Table46[ [#This Row],[Account Withdrawl Amount] ], )</f>
        <v>0</v>
      </c>
      <c r="K64" s="129">
        <f>IF(Table46[[#This Row],[CODE]]=3, Table46[ [#This Row],[Account Deposit Amount] ]-Table46[ [#This Row],[Account Withdrawl Amount] ], )</f>
        <v>0</v>
      </c>
      <c r="L64" s="128">
        <f>IF(Table46[[#This Row],[CODE]]=4, Table46[ [#This Row],[Account Deposit Amount] ]-Table46[ [#This Row],[Account Withdrawl Amount] ], )</f>
        <v>0</v>
      </c>
      <c r="M64" s="128">
        <f>IF(Table46[[#This Row],[CODE]]=5, Table46[ [#This Row],[Account Deposit Amount] ]-Table46[ [#This Row],[Account Withdrawl Amount] ], )</f>
        <v>0</v>
      </c>
      <c r="N64" s="128">
        <f>IF(Table46[[#This Row],[CODE]]=6, Table46[ [#This Row],[Account Deposit Amount] ]-Table46[ [#This Row],[Account Withdrawl Amount] ], )</f>
        <v>0</v>
      </c>
      <c r="O64" s="128">
        <f>IF(Table46[[#This Row],[CODE]]=11, Table46[ [#This Row],[Account Deposit Amount] ]-Table46[ [#This Row],[Account Withdrawl Amount] ], )</f>
        <v>0</v>
      </c>
      <c r="P64" s="128">
        <f>IF(Table46[[#This Row],[CODE]]=12, Table46[ [#This Row],[Account Deposit Amount] ]-Table46[ [#This Row],[Account Withdrawl Amount] ], )</f>
        <v>0</v>
      </c>
      <c r="Q64" s="128">
        <f>IF(Table46[[#This Row],[CODE]]=13, Table46[ [#This Row],[Account Deposit Amount] ]-Table46[ [#This Row],[Account Withdrawl Amount] ], )</f>
        <v>0</v>
      </c>
      <c r="R64" s="128">
        <f>IF(Table46[[#This Row],[CODE]]=14, Table46[ [#This Row],[Account Deposit Amount] ]-Table46[ [#This Row],[Account Withdrawl Amount] ], )</f>
        <v>0</v>
      </c>
      <c r="S64" s="128">
        <f>IF(Table46[[#This Row],[CODE]]=15, Table46[ [#This Row],[Account Deposit Amount] ]-Table46[ [#This Row],[Account Withdrawl Amount] ], )</f>
        <v>0</v>
      </c>
      <c r="T64" s="128">
        <f>IF(Table46[[#This Row],[CODE]]=16, Table46[ [#This Row],[Account Deposit Amount] ]-Table46[ [#This Row],[Account Withdrawl Amount] ], )</f>
        <v>0</v>
      </c>
      <c r="U64" s="127">
        <f>IF(Table46[[#This Row],[CODE]]=17, Table46[ [#This Row],[Account Deposit Amount] ]-Table46[ [#This Row],[Account Withdrawl Amount] ], )</f>
        <v>0</v>
      </c>
    </row>
    <row r="65" spans="1:21" ht="16.2" thickBot="1">
      <c r="A65" s="130"/>
      <c r="B65" s="133"/>
      <c r="C65" s="130"/>
      <c r="D65" s="132"/>
      <c r="E65" s="128"/>
      <c r="F65" s="128"/>
      <c r="G65" s="131">
        <f t="shared" si="3"/>
        <v>27476.099999999991</v>
      </c>
      <c r="H65" s="130"/>
      <c r="I65" s="127">
        <f>IF(Table46[[#This Row],[CODE]]=1, Table46[ [#This Row],[Account Deposit Amount] ]-Table46[ [#This Row],[Account Withdrawl Amount] ], )</f>
        <v>0</v>
      </c>
      <c r="J65" s="129">
        <f>IF(Table46[[#This Row],[CODE]]=2, Table46[ [#This Row],[Account Deposit Amount] ]-Table46[ [#This Row],[Account Withdrawl Amount] ], )</f>
        <v>0</v>
      </c>
      <c r="K65" s="129">
        <f>IF(Table46[[#This Row],[CODE]]=3, Table46[ [#This Row],[Account Deposit Amount] ]-Table46[ [#This Row],[Account Withdrawl Amount] ], )</f>
        <v>0</v>
      </c>
      <c r="L65" s="128">
        <f>IF(Table46[[#This Row],[CODE]]=4, Table46[ [#This Row],[Account Deposit Amount] ]-Table46[ [#This Row],[Account Withdrawl Amount] ], )</f>
        <v>0</v>
      </c>
      <c r="M65" s="128">
        <f>IF(Table46[[#This Row],[CODE]]=5, Table46[ [#This Row],[Account Deposit Amount] ]-Table46[ [#This Row],[Account Withdrawl Amount] ], )</f>
        <v>0</v>
      </c>
      <c r="N65" s="128">
        <f>IF(Table46[[#This Row],[CODE]]=6, Table46[ [#This Row],[Account Deposit Amount] ]-Table46[ [#This Row],[Account Withdrawl Amount] ], )</f>
        <v>0</v>
      </c>
      <c r="O65" s="128">
        <f>IF(Table46[[#This Row],[CODE]]=11, Table46[ [#This Row],[Account Deposit Amount] ]-Table46[ [#This Row],[Account Withdrawl Amount] ], )</f>
        <v>0</v>
      </c>
      <c r="P65" s="128">
        <f>IF(Table46[[#This Row],[CODE]]=12, Table46[ [#This Row],[Account Deposit Amount] ]-Table46[ [#This Row],[Account Withdrawl Amount] ], )</f>
        <v>0</v>
      </c>
      <c r="Q65" s="128">
        <f>IF(Table46[[#This Row],[CODE]]=13, Table46[ [#This Row],[Account Deposit Amount] ]-Table46[ [#This Row],[Account Withdrawl Amount] ], )</f>
        <v>0</v>
      </c>
      <c r="R65" s="128">
        <f>IF(Table46[[#This Row],[CODE]]=14, Table46[ [#This Row],[Account Deposit Amount] ]-Table46[ [#This Row],[Account Withdrawl Amount] ], )</f>
        <v>0</v>
      </c>
      <c r="S65" s="128">
        <f>IF(Table46[[#This Row],[CODE]]=15, Table46[ [#This Row],[Account Deposit Amount] ]-Table46[ [#This Row],[Account Withdrawl Amount] ], )</f>
        <v>0</v>
      </c>
      <c r="T65" s="128">
        <f>IF(Table46[[#This Row],[CODE]]=16, Table46[ [#This Row],[Account Deposit Amount] ]-Table46[ [#This Row],[Account Withdrawl Amount] ], )</f>
        <v>0</v>
      </c>
      <c r="U65" s="127">
        <f>IF(Table46[[#This Row],[CODE]]=17, Table46[ [#This Row],[Account Deposit Amount] ]-Table46[ [#This Row],[Account Withdrawl Amount] ], )</f>
        <v>0</v>
      </c>
    </row>
    <row r="66" spans="1:21" ht="16.2" thickBot="1">
      <c r="A66" s="130"/>
      <c r="B66" s="133"/>
      <c r="C66" s="130"/>
      <c r="D66" s="132"/>
      <c r="E66" s="128"/>
      <c r="F66" s="128"/>
      <c r="G66" s="131">
        <f t="shared" si="3"/>
        <v>27476.099999999991</v>
      </c>
      <c r="H66" s="130"/>
      <c r="I66" s="127">
        <f>IF(Table46[[#This Row],[CODE]]=1, Table46[ [#This Row],[Account Deposit Amount] ]-Table46[ [#This Row],[Account Withdrawl Amount] ], )</f>
        <v>0</v>
      </c>
      <c r="J66" s="129">
        <f>IF(Table46[[#This Row],[CODE]]=2, Table46[ [#This Row],[Account Deposit Amount] ]-Table46[ [#This Row],[Account Withdrawl Amount] ], )</f>
        <v>0</v>
      </c>
      <c r="K66" s="129">
        <f>IF(Table46[[#This Row],[CODE]]=3, Table46[ [#This Row],[Account Deposit Amount] ]-Table46[ [#This Row],[Account Withdrawl Amount] ], )</f>
        <v>0</v>
      </c>
      <c r="L66" s="128">
        <f>IF(Table46[[#This Row],[CODE]]=4, Table46[ [#This Row],[Account Deposit Amount] ]-Table46[ [#This Row],[Account Withdrawl Amount] ], )</f>
        <v>0</v>
      </c>
      <c r="M66" s="128">
        <f>IF(Table46[[#This Row],[CODE]]=5, Table46[ [#This Row],[Account Deposit Amount] ]-Table46[ [#This Row],[Account Withdrawl Amount] ], )</f>
        <v>0</v>
      </c>
      <c r="N66" s="128">
        <f>IF(Table46[[#This Row],[CODE]]=6, Table46[ [#This Row],[Account Deposit Amount] ]-Table46[ [#This Row],[Account Withdrawl Amount] ], )</f>
        <v>0</v>
      </c>
      <c r="O66" s="128">
        <f>IF(Table46[[#This Row],[CODE]]=11, Table46[ [#This Row],[Account Deposit Amount] ]-Table46[ [#This Row],[Account Withdrawl Amount] ], )</f>
        <v>0</v>
      </c>
      <c r="P66" s="128">
        <f>IF(Table46[[#This Row],[CODE]]=12, Table46[ [#This Row],[Account Deposit Amount] ]-Table46[ [#This Row],[Account Withdrawl Amount] ], )</f>
        <v>0</v>
      </c>
      <c r="Q66" s="128">
        <f>IF(Table46[[#This Row],[CODE]]=13, Table46[ [#This Row],[Account Deposit Amount] ]-Table46[ [#This Row],[Account Withdrawl Amount] ], )</f>
        <v>0</v>
      </c>
      <c r="R66" s="128">
        <f>IF(Table46[[#This Row],[CODE]]=14, Table46[ [#This Row],[Account Deposit Amount] ]-Table46[ [#This Row],[Account Withdrawl Amount] ], )</f>
        <v>0</v>
      </c>
      <c r="S66" s="128">
        <f>IF(Table46[[#This Row],[CODE]]=15, Table46[ [#This Row],[Account Deposit Amount] ]-Table46[ [#This Row],[Account Withdrawl Amount] ], )</f>
        <v>0</v>
      </c>
      <c r="T66" s="128">
        <f>IF(Table46[[#This Row],[CODE]]=16, Table46[ [#This Row],[Account Deposit Amount] ]-Table46[ [#This Row],[Account Withdrawl Amount] ], )</f>
        <v>0</v>
      </c>
      <c r="U66" s="127">
        <f>IF(Table46[[#This Row],[CODE]]=17, Table46[ [#This Row],[Account Deposit Amount] ]-Table46[ [#This Row],[Account Withdrawl Amount] ], )</f>
        <v>0</v>
      </c>
    </row>
    <row r="67" spans="1:21" ht="16.2" thickBot="1">
      <c r="A67" s="130"/>
      <c r="B67" s="133"/>
      <c r="C67" s="130"/>
      <c r="D67" s="132"/>
      <c r="E67" s="128"/>
      <c r="F67" s="128"/>
      <c r="G67" s="131">
        <f t="shared" si="3"/>
        <v>27476.099999999991</v>
      </c>
      <c r="H67" s="130"/>
      <c r="I67" s="127">
        <f>IF(Table46[[#This Row],[CODE]]=1, Table46[ [#This Row],[Account Deposit Amount] ]-Table46[ [#This Row],[Account Withdrawl Amount] ], )</f>
        <v>0</v>
      </c>
      <c r="J67" s="129">
        <f>IF(Table46[[#This Row],[CODE]]=2, Table46[ [#This Row],[Account Deposit Amount] ]-Table46[ [#This Row],[Account Withdrawl Amount] ], )</f>
        <v>0</v>
      </c>
      <c r="K67" s="129">
        <f>IF(Table46[[#This Row],[CODE]]=3, Table46[ [#This Row],[Account Deposit Amount] ]-Table46[ [#This Row],[Account Withdrawl Amount] ], )</f>
        <v>0</v>
      </c>
      <c r="L67" s="128">
        <f>IF(Table46[[#This Row],[CODE]]=4, Table46[ [#This Row],[Account Deposit Amount] ]-Table46[ [#This Row],[Account Withdrawl Amount] ], )</f>
        <v>0</v>
      </c>
      <c r="M67" s="128">
        <f>IF(Table46[[#This Row],[CODE]]=5, Table46[ [#This Row],[Account Deposit Amount] ]-Table46[ [#This Row],[Account Withdrawl Amount] ], )</f>
        <v>0</v>
      </c>
      <c r="N67" s="128">
        <f>IF(Table46[[#This Row],[CODE]]=6, Table46[ [#This Row],[Account Deposit Amount] ]-Table46[ [#This Row],[Account Withdrawl Amount] ], )</f>
        <v>0</v>
      </c>
      <c r="O67" s="128">
        <f>IF(Table46[[#This Row],[CODE]]=11, Table46[ [#This Row],[Account Deposit Amount] ]-Table46[ [#This Row],[Account Withdrawl Amount] ], )</f>
        <v>0</v>
      </c>
      <c r="P67" s="128">
        <f>IF(Table46[[#This Row],[CODE]]=12, Table46[ [#This Row],[Account Deposit Amount] ]-Table46[ [#This Row],[Account Withdrawl Amount] ], )</f>
        <v>0</v>
      </c>
      <c r="Q67" s="128">
        <f>IF(Table46[[#This Row],[CODE]]=13, Table46[ [#This Row],[Account Deposit Amount] ]-Table46[ [#This Row],[Account Withdrawl Amount] ], )</f>
        <v>0</v>
      </c>
      <c r="R67" s="128">
        <f>IF(Table46[[#This Row],[CODE]]=14, Table46[ [#This Row],[Account Deposit Amount] ]-Table46[ [#This Row],[Account Withdrawl Amount] ], )</f>
        <v>0</v>
      </c>
      <c r="S67" s="128">
        <f>IF(Table46[[#This Row],[CODE]]=15, Table46[ [#This Row],[Account Deposit Amount] ]-Table46[ [#This Row],[Account Withdrawl Amount] ], )</f>
        <v>0</v>
      </c>
      <c r="T67" s="128">
        <f>IF(Table46[[#This Row],[CODE]]=16, Table46[ [#This Row],[Account Deposit Amount] ]-Table46[ [#This Row],[Account Withdrawl Amount] ], )</f>
        <v>0</v>
      </c>
      <c r="U67" s="127">
        <f>IF(Table46[[#This Row],[CODE]]=17, Table46[ [#This Row],[Account Deposit Amount] ]-Table46[ [#This Row],[Account Withdrawl Amount] ], )</f>
        <v>0</v>
      </c>
    </row>
    <row r="68" spans="1:21" ht="16.2" thickBot="1">
      <c r="A68" s="130"/>
      <c r="B68" s="133"/>
      <c r="C68" s="130"/>
      <c r="D68" s="132"/>
      <c r="E68" s="128"/>
      <c r="F68" s="128"/>
      <c r="G68" s="131">
        <f t="shared" si="3"/>
        <v>27476.099999999991</v>
      </c>
      <c r="H68" s="130"/>
      <c r="I68" s="127">
        <f>IF(Table46[[#This Row],[CODE]]=1, Table46[ [#This Row],[Account Deposit Amount] ]-Table46[ [#This Row],[Account Withdrawl Amount] ], )</f>
        <v>0</v>
      </c>
      <c r="J68" s="129">
        <f>IF(Table46[[#This Row],[CODE]]=2, Table46[ [#This Row],[Account Deposit Amount] ]-Table46[ [#This Row],[Account Withdrawl Amount] ], )</f>
        <v>0</v>
      </c>
      <c r="K68" s="129">
        <f>IF(Table46[[#This Row],[CODE]]=3, Table46[ [#This Row],[Account Deposit Amount] ]-Table46[ [#This Row],[Account Withdrawl Amount] ], )</f>
        <v>0</v>
      </c>
      <c r="L68" s="128">
        <f>IF(Table46[[#This Row],[CODE]]=4, Table46[ [#This Row],[Account Deposit Amount] ]-Table46[ [#This Row],[Account Withdrawl Amount] ], )</f>
        <v>0</v>
      </c>
      <c r="M68" s="128">
        <f>IF(Table46[[#This Row],[CODE]]=5, Table46[ [#This Row],[Account Deposit Amount] ]-Table46[ [#This Row],[Account Withdrawl Amount] ], )</f>
        <v>0</v>
      </c>
      <c r="N68" s="128">
        <f>IF(Table46[[#This Row],[CODE]]=6, Table46[ [#This Row],[Account Deposit Amount] ]-Table46[ [#This Row],[Account Withdrawl Amount] ], )</f>
        <v>0</v>
      </c>
      <c r="O68" s="128">
        <f>IF(Table46[[#This Row],[CODE]]=11, Table46[ [#This Row],[Account Deposit Amount] ]-Table46[ [#This Row],[Account Withdrawl Amount] ], )</f>
        <v>0</v>
      </c>
      <c r="P68" s="128">
        <f>IF(Table46[[#This Row],[CODE]]=12, Table46[ [#This Row],[Account Deposit Amount] ]-Table46[ [#This Row],[Account Withdrawl Amount] ], )</f>
        <v>0</v>
      </c>
      <c r="Q68" s="128">
        <f>IF(Table46[[#This Row],[CODE]]=13, Table46[ [#This Row],[Account Deposit Amount] ]-Table46[ [#This Row],[Account Withdrawl Amount] ], )</f>
        <v>0</v>
      </c>
      <c r="R68" s="128">
        <f>IF(Table46[[#This Row],[CODE]]=14, Table46[ [#This Row],[Account Deposit Amount] ]-Table46[ [#This Row],[Account Withdrawl Amount] ], )</f>
        <v>0</v>
      </c>
      <c r="S68" s="128">
        <f>IF(Table46[[#This Row],[CODE]]=15, Table46[ [#This Row],[Account Deposit Amount] ]-Table46[ [#This Row],[Account Withdrawl Amount] ], )</f>
        <v>0</v>
      </c>
      <c r="T68" s="128">
        <f>IF(Table46[[#This Row],[CODE]]=16, Table46[ [#This Row],[Account Deposit Amount] ]-Table46[ [#This Row],[Account Withdrawl Amount] ], )</f>
        <v>0</v>
      </c>
      <c r="U68" s="127">
        <f>IF(Table46[[#This Row],[CODE]]=17, Table46[ [#This Row],[Account Deposit Amount] ]-Table46[ [#This Row],[Account Withdrawl Amount] ], )</f>
        <v>0</v>
      </c>
    </row>
    <row r="69" spans="1:21" ht="16.2" thickBot="1">
      <c r="A69" s="130"/>
      <c r="B69" s="133"/>
      <c r="C69" s="130"/>
      <c r="D69" s="132"/>
      <c r="E69" s="128"/>
      <c r="F69" s="128"/>
      <c r="G69" s="131">
        <f t="shared" ref="G69:G100" si="4">G68+E69-F69</f>
        <v>27476.099999999991</v>
      </c>
      <c r="H69" s="130"/>
      <c r="I69" s="127">
        <f>IF(Table46[[#This Row],[CODE]]=1, Table46[ [#This Row],[Account Deposit Amount] ]-Table46[ [#This Row],[Account Withdrawl Amount] ], )</f>
        <v>0</v>
      </c>
      <c r="J69" s="129">
        <f>IF(Table46[[#This Row],[CODE]]=2, Table46[ [#This Row],[Account Deposit Amount] ]-Table46[ [#This Row],[Account Withdrawl Amount] ], )</f>
        <v>0</v>
      </c>
      <c r="K69" s="129">
        <f>IF(Table46[[#This Row],[CODE]]=3, Table46[ [#This Row],[Account Deposit Amount] ]-Table46[ [#This Row],[Account Withdrawl Amount] ], )</f>
        <v>0</v>
      </c>
      <c r="L69" s="128">
        <f>IF(Table46[[#This Row],[CODE]]=4, Table46[ [#This Row],[Account Deposit Amount] ]-Table46[ [#This Row],[Account Withdrawl Amount] ], )</f>
        <v>0</v>
      </c>
      <c r="M69" s="128">
        <f>IF(Table46[[#This Row],[CODE]]=5, Table46[ [#This Row],[Account Deposit Amount] ]-Table46[ [#This Row],[Account Withdrawl Amount] ], )</f>
        <v>0</v>
      </c>
      <c r="N69" s="128">
        <f>IF(Table46[[#This Row],[CODE]]=6, Table46[ [#This Row],[Account Deposit Amount] ]-Table46[ [#This Row],[Account Withdrawl Amount] ], )</f>
        <v>0</v>
      </c>
      <c r="O69" s="128">
        <f>IF(Table46[[#This Row],[CODE]]=11, Table46[ [#This Row],[Account Deposit Amount] ]-Table46[ [#This Row],[Account Withdrawl Amount] ], )</f>
        <v>0</v>
      </c>
      <c r="P69" s="128">
        <f>IF(Table46[[#This Row],[CODE]]=12, Table46[ [#This Row],[Account Deposit Amount] ]-Table46[ [#This Row],[Account Withdrawl Amount] ], )</f>
        <v>0</v>
      </c>
      <c r="Q69" s="128">
        <f>IF(Table46[[#This Row],[CODE]]=13, Table46[ [#This Row],[Account Deposit Amount] ]-Table46[ [#This Row],[Account Withdrawl Amount] ], )</f>
        <v>0</v>
      </c>
      <c r="R69" s="128">
        <f>IF(Table46[[#This Row],[CODE]]=14, Table46[ [#This Row],[Account Deposit Amount] ]-Table46[ [#This Row],[Account Withdrawl Amount] ], )</f>
        <v>0</v>
      </c>
      <c r="S69" s="128">
        <f>IF(Table46[[#This Row],[CODE]]=15, Table46[ [#This Row],[Account Deposit Amount] ]-Table46[ [#This Row],[Account Withdrawl Amount] ], )</f>
        <v>0</v>
      </c>
      <c r="T69" s="128">
        <f>IF(Table46[[#This Row],[CODE]]=16, Table46[ [#This Row],[Account Deposit Amount] ]-Table46[ [#This Row],[Account Withdrawl Amount] ], )</f>
        <v>0</v>
      </c>
      <c r="U69" s="127">
        <f>IF(Table46[[#This Row],[CODE]]=17, Table46[ [#This Row],[Account Deposit Amount] ]-Table46[ [#This Row],[Account Withdrawl Amount] ], )</f>
        <v>0</v>
      </c>
    </row>
    <row r="70" spans="1:21" ht="16.2" thickBot="1">
      <c r="A70" s="130"/>
      <c r="B70" s="133"/>
      <c r="C70" s="130"/>
      <c r="D70" s="132"/>
      <c r="E70" s="128"/>
      <c r="F70" s="128"/>
      <c r="G70" s="131">
        <f t="shared" si="4"/>
        <v>27476.099999999991</v>
      </c>
      <c r="H70" s="130"/>
      <c r="I70" s="127">
        <f>IF(Table46[[#This Row],[CODE]]=1, Table46[ [#This Row],[Account Deposit Amount] ]-Table46[ [#This Row],[Account Withdrawl Amount] ], )</f>
        <v>0</v>
      </c>
      <c r="J70" s="129">
        <f>IF(Table46[[#This Row],[CODE]]=2, Table46[ [#This Row],[Account Deposit Amount] ]-Table46[ [#This Row],[Account Withdrawl Amount] ], )</f>
        <v>0</v>
      </c>
      <c r="K70" s="129">
        <f>IF(Table46[[#This Row],[CODE]]=3, Table46[ [#This Row],[Account Deposit Amount] ]-Table46[ [#This Row],[Account Withdrawl Amount] ], )</f>
        <v>0</v>
      </c>
      <c r="L70" s="128">
        <f>IF(Table46[[#This Row],[CODE]]=4, Table46[ [#This Row],[Account Deposit Amount] ]-Table46[ [#This Row],[Account Withdrawl Amount] ], )</f>
        <v>0</v>
      </c>
      <c r="M70" s="128">
        <f>IF(Table46[[#This Row],[CODE]]=5, Table46[ [#This Row],[Account Deposit Amount] ]-Table46[ [#This Row],[Account Withdrawl Amount] ], )</f>
        <v>0</v>
      </c>
      <c r="N70" s="128">
        <f>IF(Table46[[#This Row],[CODE]]=6, Table46[ [#This Row],[Account Deposit Amount] ]-Table46[ [#This Row],[Account Withdrawl Amount] ], )</f>
        <v>0</v>
      </c>
      <c r="O70" s="128">
        <f>IF(Table46[[#This Row],[CODE]]=11, Table46[ [#This Row],[Account Deposit Amount] ]-Table46[ [#This Row],[Account Withdrawl Amount] ], )</f>
        <v>0</v>
      </c>
      <c r="P70" s="128">
        <f>IF(Table46[[#This Row],[CODE]]=12, Table46[ [#This Row],[Account Deposit Amount] ]-Table46[ [#This Row],[Account Withdrawl Amount] ], )</f>
        <v>0</v>
      </c>
      <c r="Q70" s="128">
        <f>IF(Table46[[#This Row],[CODE]]=13, Table46[ [#This Row],[Account Deposit Amount] ]-Table46[ [#This Row],[Account Withdrawl Amount] ], )</f>
        <v>0</v>
      </c>
      <c r="R70" s="128">
        <f>IF(Table46[[#This Row],[CODE]]=14, Table46[ [#This Row],[Account Deposit Amount] ]-Table46[ [#This Row],[Account Withdrawl Amount] ], )</f>
        <v>0</v>
      </c>
      <c r="S70" s="128">
        <f>IF(Table46[[#This Row],[CODE]]=15, Table46[ [#This Row],[Account Deposit Amount] ]-Table46[ [#This Row],[Account Withdrawl Amount] ], )</f>
        <v>0</v>
      </c>
      <c r="T70" s="128">
        <f>IF(Table46[[#This Row],[CODE]]=16, Table46[ [#This Row],[Account Deposit Amount] ]-Table46[ [#This Row],[Account Withdrawl Amount] ], )</f>
        <v>0</v>
      </c>
      <c r="U70" s="127">
        <f>IF(Table46[[#This Row],[CODE]]=17, Table46[ [#This Row],[Account Deposit Amount] ]-Table46[ [#This Row],[Account Withdrawl Amount] ], )</f>
        <v>0</v>
      </c>
    </row>
    <row r="71" spans="1:21" ht="16.2" thickBot="1">
      <c r="A71" s="130"/>
      <c r="B71" s="133"/>
      <c r="C71" s="130"/>
      <c r="D71" s="132"/>
      <c r="E71" s="128"/>
      <c r="F71" s="128"/>
      <c r="G71" s="131">
        <f t="shared" si="4"/>
        <v>27476.099999999991</v>
      </c>
      <c r="H71" s="130"/>
      <c r="I71" s="127">
        <f>IF(Table46[[#This Row],[CODE]]=1, Table46[ [#This Row],[Account Deposit Amount] ]-Table46[ [#This Row],[Account Withdrawl Amount] ], )</f>
        <v>0</v>
      </c>
      <c r="J71" s="129">
        <f>IF(Table46[[#This Row],[CODE]]=2, Table46[ [#This Row],[Account Deposit Amount] ]-Table46[ [#This Row],[Account Withdrawl Amount] ], )</f>
        <v>0</v>
      </c>
      <c r="K71" s="129">
        <f>IF(Table46[[#This Row],[CODE]]=3, Table46[ [#This Row],[Account Deposit Amount] ]-Table46[ [#This Row],[Account Withdrawl Amount] ], )</f>
        <v>0</v>
      </c>
      <c r="L71" s="128">
        <f>IF(Table46[[#This Row],[CODE]]=4, Table46[ [#This Row],[Account Deposit Amount] ]-Table46[ [#This Row],[Account Withdrawl Amount] ], )</f>
        <v>0</v>
      </c>
      <c r="M71" s="128">
        <f>IF(Table46[[#This Row],[CODE]]=5, Table46[ [#This Row],[Account Deposit Amount] ]-Table46[ [#This Row],[Account Withdrawl Amount] ], )</f>
        <v>0</v>
      </c>
      <c r="N71" s="128">
        <f>IF(Table46[[#This Row],[CODE]]=6, Table46[ [#This Row],[Account Deposit Amount] ]-Table46[ [#This Row],[Account Withdrawl Amount] ], )</f>
        <v>0</v>
      </c>
      <c r="O71" s="128">
        <f>IF(Table46[[#This Row],[CODE]]=11, Table46[ [#This Row],[Account Deposit Amount] ]-Table46[ [#This Row],[Account Withdrawl Amount] ], )</f>
        <v>0</v>
      </c>
      <c r="P71" s="128">
        <f>IF(Table46[[#This Row],[CODE]]=12, Table46[ [#This Row],[Account Deposit Amount] ]-Table46[ [#This Row],[Account Withdrawl Amount] ], )</f>
        <v>0</v>
      </c>
      <c r="Q71" s="128">
        <f>IF(Table46[[#This Row],[CODE]]=13, Table46[ [#This Row],[Account Deposit Amount] ]-Table46[ [#This Row],[Account Withdrawl Amount] ], )</f>
        <v>0</v>
      </c>
      <c r="R71" s="128">
        <f>IF(Table46[[#This Row],[CODE]]=14, Table46[ [#This Row],[Account Deposit Amount] ]-Table46[ [#This Row],[Account Withdrawl Amount] ], )</f>
        <v>0</v>
      </c>
      <c r="S71" s="128">
        <f>IF(Table46[[#This Row],[CODE]]=15, Table46[ [#This Row],[Account Deposit Amount] ]-Table46[ [#This Row],[Account Withdrawl Amount] ], )</f>
        <v>0</v>
      </c>
      <c r="T71" s="128">
        <f>IF(Table46[[#This Row],[CODE]]=16, Table46[ [#This Row],[Account Deposit Amount] ]-Table46[ [#This Row],[Account Withdrawl Amount] ], )</f>
        <v>0</v>
      </c>
      <c r="U71" s="127">
        <f>IF(Table46[[#This Row],[CODE]]=17, Table46[ [#This Row],[Account Deposit Amount] ]-Table46[ [#This Row],[Account Withdrawl Amount] ], )</f>
        <v>0</v>
      </c>
    </row>
    <row r="72" spans="1:21" ht="16.2" thickBot="1">
      <c r="A72" s="130"/>
      <c r="B72" s="133"/>
      <c r="C72" s="130"/>
      <c r="D72" s="132"/>
      <c r="E72" s="128"/>
      <c r="F72" s="128"/>
      <c r="G72" s="131">
        <f t="shared" si="4"/>
        <v>27476.099999999991</v>
      </c>
      <c r="H72" s="130"/>
      <c r="I72" s="127">
        <f>IF(Table46[[#This Row],[CODE]]=1, Table46[ [#This Row],[Account Deposit Amount] ]-Table46[ [#This Row],[Account Withdrawl Amount] ], )</f>
        <v>0</v>
      </c>
      <c r="J72" s="129">
        <f>IF(Table46[[#This Row],[CODE]]=2, Table46[ [#This Row],[Account Deposit Amount] ]-Table46[ [#This Row],[Account Withdrawl Amount] ], )</f>
        <v>0</v>
      </c>
      <c r="K72" s="129">
        <f>IF(Table46[[#This Row],[CODE]]=3, Table46[ [#This Row],[Account Deposit Amount] ]-Table46[ [#This Row],[Account Withdrawl Amount] ], )</f>
        <v>0</v>
      </c>
      <c r="L72" s="128">
        <f>IF(Table46[[#This Row],[CODE]]=4, Table46[ [#This Row],[Account Deposit Amount] ]-Table46[ [#This Row],[Account Withdrawl Amount] ], )</f>
        <v>0</v>
      </c>
      <c r="M72" s="128">
        <f>IF(Table46[[#This Row],[CODE]]=5, Table46[ [#This Row],[Account Deposit Amount] ]-Table46[ [#This Row],[Account Withdrawl Amount] ], )</f>
        <v>0</v>
      </c>
      <c r="N72" s="128">
        <f>IF(Table46[[#This Row],[CODE]]=6, Table46[ [#This Row],[Account Deposit Amount] ]-Table46[ [#This Row],[Account Withdrawl Amount] ], )</f>
        <v>0</v>
      </c>
      <c r="O72" s="128">
        <f>IF(Table46[[#This Row],[CODE]]=11, Table46[ [#This Row],[Account Deposit Amount] ]-Table46[ [#This Row],[Account Withdrawl Amount] ], )</f>
        <v>0</v>
      </c>
      <c r="P72" s="128">
        <f>IF(Table46[[#This Row],[CODE]]=12, Table46[ [#This Row],[Account Deposit Amount] ]-Table46[ [#This Row],[Account Withdrawl Amount] ], )</f>
        <v>0</v>
      </c>
      <c r="Q72" s="128">
        <f>IF(Table46[[#This Row],[CODE]]=13, Table46[ [#This Row],[Account Deposit Amount] ]-Table46[ [#This Row],[Account Withdrawl Amount] ], )</f>
        <v>0</v>
      </c>
      <c r="R72" s="128">
        <f>IF(Table46[[#This Row],[CODE]]=14, Table46[ [#This Row],[Account Deposit Amount] ]-Table46[ [#This Row],[Account Withdrawl Amount] ], )</f>
        <v>0</v>
      </c>
      <c r="S72" s="128">
        <f>IF(Table46[[#This Row],[CODE]]=15, Table46[ [#This Row],[Account Deposit Amount] ]-Table46[ [#This Row],[Account Withdrawl Amount] ], )</f>
        <v>0</v>
      </c>
      <c r="T72" s="128">
        <f>IF(Table46[[#This Row],[CODE]]=16, Table46[ [#This Row],[Account Deposit Amount] ]-Table46[ [#This Row],[Account Withdrawl Amount] ], )</f>
        <v>0</v>
      </c>
      <c r="U72" s="127">
        <f>IF(Table46[[#This Row],[CODE]]=17, Table46[ [#This Row],[Account Deposit Amount] ]-Table46[ [#This Row],[Account Withdrawl Amount] ], )</f>
        <v>0</v>
      </c>
    </row>
    <row r="73" spans="1:21" ht="16.2" thickBot="1">
      <c r="A73" s="130"/>
      <c r="B73" s="133"/>
      <c r="C73" s="130"/>
      <c r="D73" s="132"/>
      <c r="E73" s="128"/>
      <c r="F73" s="128"/>
      <c r="G73" s="131">
        <f t="shared" si="4"/>
        <v>27476.099999999991</v>
      </c>
      <c r="H73" s="130"/>
      <c r="I73" s="127">
        <f>IF(Table46[[#This Row],[CODE]]=1, Table46[ [#This Row],[Account Deposit Amount] ]-Table46[ [#This Row],[Account Withdrawl Amount] ], )</f>
        <v>0</v>
      </c>
      <c r="J73" s="129">
        <f>IF(Table46[[#This Row],[CODE]]=2, Table46[ [#This Row],[Account Deposit Amount] ]-Table46[ [#This Row],[Account Withdrawl Amount] ], )</f>
        <v>0</v>
      </c>
      <c r="K73" s="129">
        <f>IF(Table46[[#This Row],[CODE]]=3, Table46[ [#This Row],[Account Deposit Amount] ]-Table46[ [#This Row],[Account Withdrawl Amount] ], )</f>
        <v>0</v>
      </c>
      <c r="L73" s="128">
        <f>IF(Table46[[#This Row],[CODE]]=4, Table46[ [#This Row],[Account Deposit Amount] ]-Table46[ [#This Row],[Account Withdrawl Amount] ], )</f>
        <v>0</v>
      </c>
      <c r="M73" s="128">
        <f>IF(Table46[[#This Row],[CODE]]=5, Table46[ [#This Row],[Account Deposit Amount] ]-Table46[ [#This Row],[Account Withdrawl Amount] ], )</f>
        <v>0</v>
      </c>
      <c r="N73" s="128">
        <f>IF(Table46[[#This Row],[CODE]]=6, Table46[ [#This Row],[Account Deposit Amount] ]-Table46[ [#This Row],[Account Withdrawl Amount] ], )</f>
        <v>0</v>
      </c>
      <c r="O73" s="128">
        <f>IF(Table46[[#This Row],[CODE]]=11, Table46[ [#This Row],[Account Deposit Amount] ]-Table46[ [#This Row],[Account Withdrawl Amount] ], )</f>
        <v>0</v>
      </c>
      <c r="P73" s="128">
        <f>IF(Table46[[#This Row],[CODE]]=12, Table46[ [#This Row],[Account Deposit Amount] ]-Table46[ [#This Row],[Account Withdrawl Amount] ], )</f>
        <v>0</v>
      </c>
      <c r="Q73" s="128">
        <f>IF(Table46[[#This Row],[CODE]]=13, Table46[ [#This Row],[Account Deposit Amount] ]-Table46[ [#This Row],[Account Withdrawl Amount] ], )</f>
        <v>0</v>
      </c>
      <c r="R73" s="128">
        <f>IF(Table46[[#This Row],[CODE]]=14, Table46[ [#This Row],[Account Deposit Amount] ]-Table46[ [#This Row],[Account Withdrawl Amount] ], )</f>
        <v>0</v>
      </c>
      <c r="S73" s="128">
        <f>IF(Table46[[#This Row],[CODE]]=15, Table46[ [#This Row],[Account Deposit Amount] ]-Table46[ [#This Row],[Account Withdrawl Amount] ], )</f>
        <v>0</v>
      </c>
      <c r="T73" s="128">
        <f>IF(Table46[[#This Row],[CODE]]=16, Table46[ [#This Row],[Account Deposit Amount] ]-Table46[ [#This Row],[Account Withdrawl Amount] ], )</f>
        <v>0</v>
      </c>
      <c r="U73" s="127">
        <f>IF(Table46[[#This Row],[CODE]]=17, Table46[ [#This Row],[Account Deposit Amount] ]-Table46[ [#This Row],[Account Withdrawl Amount] ], )</f>
        <v>0</v>
      </c>
    </row>
    <row r="74" spans="1:21" ht="16.2" thickBot="1">
      <c r="A74" s="130"/>
      <c r="B74" s="133"/>
      <c r="C74" s="130"/>
      <c r="D74" s="132"/>
      <c r="E74" s="128"/>
      <c r="F74" s="128"/>
      <c r="G74" s="131">
        <f t="shared" si="4"/>
        <v>27476.099999999991</v>
      </c>
      <c r="H74" s="130"/>
      <c r="I74" s="127">
        <f>IF(Table46[[#This Row],[CODE]]=1, Table46[ [#This Row],[Account Deposit Amount] ]-Table46[ [#This Row],[Account Withdrawl Amount] ], )</f>
        <v>0</v>
      </c>
      <c r="J74" s="129">
        <f>IF(Table46[[#This Row],[CODE]]=2, Table46[ [#This Row],[Account Deposit Amount] ]-Table46[ [#This Row],[Account Withdrawl Amount] ], )</f>
        <v>0</v>
      </c>
      <c r="K74" s="129">
        <f>IF(Table46[[#This Row],[CODE]]=3, Table46[ [#This Row],[Account Deposit Amount] ]-Table46[ [#This Row],[Account Withdrawl Amount] ], )</f>
        <v>0</v>
      </c>
      <c r="L74" s="128">
        <f>IF(Table46[[#This Row],[CODE]]=4, Table46[ [#This Row],[Account Deposit Amount] ]-Table46[ [#This Row],[Account Withdrawl Amount] ], )</f>
        <v>0</v>
      </c>
      <c r="M74" s="128">
        <f>IF(Table46[[#This Row],[CODE]]=5, Table46[ [#This Row],[Account Deposit Amount] ]-Table46[ [#This Row],[Account Withdrawl Amount] ], )</f>
        <v>0</v>
      </c>
      <c r="N74" s="128">
        <f>IF(Table46[[#This Row],[CODE]]=6, Table46[ [#This Row],[Account Deposit Amount] ]-Table46[ [#This Row],[Account Withdrawl Amount] ], )</f>
        <v>0</v>
      </c>
      <c r="O74" s="128">
        <f>IF(Table46[[#This Row],[CODE]]=11, Table46[ [#This Row],[Account Deposit Amount] ]-Table46[ [#This Row],[Account Withdrawl Amount] ], )</f>
        <v>0</v>
      </c>
      <c r="P74" s="128">
        <f>IF(Table46[[#This Row],[CODE]]=12, Table46[ [#This Row],[Account Deposit Amount] ]-Table46[ [#This Row],[Account Withdrawl Amount] ], )</f>
        <v>0</v>
      </c>
      <c r="Q74" s="128">
        <f>IF(Table46[[#This Row],[CODE]]=13, Table46[ [#This Row],[Account Deposit Amount] ]-Table46[ [#This Row],[Account Withdrawl Amount] ], )</f>
        <v>0</v>
      </c>
      <c r="R74" s="128">
        <f>IF(Table46[[#This Row],[CODE]]=14, Table46[ [#This Row],[Account Deposit Amount] ]-Table46[ [#This Row],[Account Withdrawl Amount] ], )</f>
        <v>0</v>
      </c>
      <c r="S74" s="128">
        <f>IF(Table46[[#This Row],[CODE]]=15, Table46[ [#This Row],[Account Deposit Amount] ]-Table46[ [#This Row],[Account Withdrawl Amount] ], )</f>
        <v>0</v>
      </c>
      <c r="T74" s="128">
        <f>IF(Table46[[#This Row],[CODE]]=16, Table46[ [#This Row],[Account Deposit Amount] ]-Table46[ [#This Row],[Account Withdrawl Amount] ], )</f>
        <v>0</v>
      </c>
      <c r="U74" s="127">
        <f>IF(Table46[[#This Row],[CODE]]=17, Table46[ [#This Row],[Account Deposit Amount] ]-Table46[ [#This Row],[Account Withdrawl Amount] ], )</f>
        <v>0</v>
      </c>
    </row>
    <row r="75" spans="1:21" ht="16.2" thickBot="1">
      <c r="A75" s="130"/>
      <c r="B75" s="133"/>
      <c r="C75" s="130"/>
      <c r="D75" s="132"/>
      <c r="E75" s="128"/>
      <c r="F75" s="128"/>
      <c r="G75" s="131">
        <f t="shared" si="4"/>
        <v>27476.099999999991</v>
      </c>
      <c r="H75" s="130"/>
      <c r="I75" s="127">
        <f>IF(Table46[[#This Row],[CODE]]=1, Table46[ [#This Row],[Account Deposit Amount] ]-Table46[ [#This Row],[Account Withdrawl Amount] ], )</f>
        <v>0</v>
      </c>
      <c r="J75" s="129">
        <f>IF(Table46[[#This Row],[CODE]]=2, Table46[ [#This Row],[Account Deposit Amount] ]-Table46[ [#This Row],[Account Withdrawl Amount] ], )</f>
        <v>0</v>
      </c>
      <c r="K75" s="129">
        <f>IF(Table46[[#This Row],[CODE]]=3, Table46[ [#This Row],[Account Deposit Amount] ]-Table46[ [#This Row],[Account Withdrawl Amount] ], )</f>
        <v>0</v>
      </c>
      <c r="L75" s="128">
        <f>IF(Table46[[#This Row],[CODE]]=4, Table46[ [#This Row],[Account Deposit Amount] ]-Table46[ [#This Row],[Account Withdrawl Amount] ], )</f>
        <v>0</v>
      </c>
      <c r="M75" s="128">
        <f>IF(Table46[[#This Row],[CODE]]=5, Table46[ [#This Row],[Account Deposit Amount] ]-Table46[ [#This Row],[Account Withdrawl Amount] ], )</f>
        <v>0</v>
      </c>
      <c r="N75" s="128">
        <f>IF(Table46[[#This Row],[CODE]]=6, Table46[ [#This Row],[Account Deposit Amount] ]-Table46[ [#This Row],[Account Withdrawl Amount] ], )</f>
        <v>0</v>
      </c>
      <c r="O75" s="128">
        <f>IF(Table46[[#This Row],[CODE]]=11, Table46[ [#This Row],[Account Deposit Amount] ]-Table46[ [#This Row],[Account Withdrawl Amount] ], )</f>
        <v>0</v>
      </c>
      <c r="P75" s="128">
        <f>IF(Table46[[#This Row],[CODE]]=12, Table46[ [#This Row],[Account Deposit Amount] ]-Table46[ [#This Row],[Account Withdrawl Amount] ], )</f>
        <v>0</v>
      </c>
      <c r="Q75" s="128">
        <f>IF(Table46[[#This Row],[CODE]]=13, Table46[ [#This Row],[Account Deposit Amount] ]-Table46[ [#This Row],[Account Withdrawl Amount] ], )</f>
        <v>0</v>
      </c>
      <c r="R75" s="128">
        <f>IF(Table46[[#This Row],[CODE]]=14, Table46[ [#This Row],[Account Deposit Amount] ]-Table46[ [#This Row],[Account Withdrawl Amount] ], )</f>
        <v>0</v>
      </c>
      <c r="S75" s="128">
        <f>IF(Table46[[#This Row],[CODE]]=15, Table46[ [#This Row],[Account Deposit Amount] ]-Table46[ [#This Row],[Account Withdrawl Amount] ], )</f>
        <v>0</v>
      </c>
      <c r="T75" s="128">
        <f>IF(Table46[[#This Row],[CODE]]=16, Table46[ [#This Row],[Account Deposit Amount] ]-Table46[ [#This Row],[Account Withdrawl Amount] ], )</f>
        <v>0</v>
      </c>
      <c r="U75" s="127">
        <f>IF(Table46[[#This Row],[CODE]]=17, Table46[ [#This Row],[Account Deposit Amount] ]-Table46[ [#This Row],[Account Withdrawl Amount] ], )</f>
        <v>0</v>
      </c>
    </row>
    <row r="76" spans="1:21" ht="16.2" thickBot="1">
      <c r="A76" s="130"/>
      <c r="B76" s="133"/>
      <c r="C76" s="130"/>
      <c r="D76" s="132"/>
      <c r="E76" s="128"/>
      <c r="F76" s="128"/>
      <c r="G76" s="131">
        <f t="shared" si="4"/>
        <v>27476.099999999991</v>
      </c>
      <c r="H76" s="130"/>
      <c r="I76" s="127">
        <f>IF(Table46[[#This Row],[CODE]]=1, Table46[ [#This Row],[Account Deposit Amount] ]-Table46[ [#This Row],[Account Withdrawl Amount] ], )</f>
        <v>0</v>
      </c>
      <c r="J76" s="129">
        <f>IF(Table46[[#This Row],[CODE]]=2, Table46[ [#This Row],[Account Deposit Amount] ]-Table46[ [#This Row],[Account Withdrawl Amount] ], )</f>
        <v>0</v>
      </c>
      <c r="K76" s="129">
        <f>IF(Table46[[#This Row],[CODE]]=3, Table46[ [#This Row],[Account Deposit Amount] ]-Table46[ [#This Row],[Account Withdrawl Amount] ], )</f>
        <v>0</v>
      </c>
      <c r="L76" s="128">
        <f>IF(Table46[[#This Row],[CODE]]=4, Table46[ [#This Row],[Account Deposit Amount] ]-Table46[ [#This Row],[Account Withdrawl Amount] ], )</f>
        <v>0</v>
      </c>
      <c r="M76" s="128">
        <f>IF(Table46[[#This Row],[CODE]]=5, Table46[ [#This Row],[Account Deposit Amount] ]-Table46[ [#This Row],[Account Withdrawl Amount] ], )</f>
        <v>0</v>
      </c>
      <c r="N76" s="128">
        <f>IF(Table46[[#This Row],[CODE]]=6, Table46[ [#This Row],[Account Deposit Amount] ]-Table46[ [#This Row],[Account Withdrawl Amount] ], )</f>
        <v>0</v>
      </c>
      <c r="O76" s="128">
        <f>IF(Table46[[#This Row],[CODE]]=11, Table46[ [#This Row],[Account Deposit Amount] ]-Table46[ [#This Row],[Account Withdrawl Amount] ], )</f>
        <v>0</v>
      </c>
      <c r="P76" s="128">
        <f>IF(Table46[[#This Row],[CODE]]=12, Table46[ [#This Row],[Account Deposit Amount] ]-Table46[ [#This Row],[Account Withdrawl Amount] ], )</f>
        <v>0</v>
      </c>
      <c r="Q76" s="128">
        <f>IF(Table46[[#This Row],[CODE]]=13, Table46[ [#This Row],[Account Deposit Amount] ]-Table46[ [#This Row],[Account Withdrawl Amount] ], )</f>
        <v>0</v>
      </c>
      <c r="R76" s="128">
        <f>IF(Table46[[#This Row],[CODE]]=14, Table46[ [#This Row],[Account Deposit Amount] ]-Table46[ [#This Row],[Account Withdrawl Amount] ], )</f>
        <v>0</v>
      </c>
      <c r="S76" s="128">
        <f>IF(Table46[[#This Row],[CODE]]=15, Table46[ [#This Row],[Account Deposit Amount] ]-Table46[ [#This Row],[Account Withdrawl Amount] ], )</f>
        <v>0</v>
      </c>
      <c r="T76" s="128">
        <f>IF(Table46[[#This Row],[CODE]]=16, Table46[ [#This Row],[Account Deposit Amount] ]-Table46[ [#This Row],[Account Withdrawl Amount] ], )</f>
        <v>0</v>
      </c>
      <c r="U76" s="127">
        <f>IF(Table46[[#This Row],[CODE]]=17, Table46[ [#This Row],[Account Deposit Amount] ]-Table46[ [#This Row],[Account Withdrawl Amount] ], )</f>
        <v>0</v>
      </c>
    </row>
    <row r="77" spans="1:21" ht="16.2" thickBot="1">
      <c r="A77" s="130"/>
      <c r="B77" s="133"/>
      <c r="C77" s="130"/>
      <c r="D77" s="132"/>
      <c r="E77" s="128"/>
      <c r="F77" s="128"/>
      <c r="G77" s="131">
        <f t="shared" si="4"/>
        <v>27476.099999999991</v>
      </c>
      <c r="H77" s="130"/>
      <c r="I77" s="127">
        <f>IF(Table46[[#This Row],[CODE]]=1, Table46[ [#This Row],[Account Deposit Amount] ]-Table46[ [#This Row],[Account Withdrawl Amount] ], )</f>
        <v>0</v>
      </c>
      <c r="J77" s="129">
        <f>IF(Table46[[#This Row],[CODE]]=2, Table46[ [#This Row],[Account Deposit Amount] ]-Table46[ [#This Row],[Account Withdrawl Amount] ], )</f>
        <v>0</v>
      </c>
      <c r="K77" s="129">
        <f>IF(Table46[[#This Row],[CODE]]=3, Table46[ [#This Row],[Account Deposit Amount] ]-Table46[ [#This Row],[Account Withdrawl Amount] ], )</f>
        <v>0</v>
      </c>
      <c r="L77" s="128">
        <f>IF(Table46[[#This Row],[CODE]]=4, Table46[ [#This Row],[Account Deposit Amount] ]-Table46[ [#This Row],[Account Withdrawl Amount] ], )</f>
        <v>0</v>
      </c>
      <c r="M77" s="128">
        <f>IF(Table46[[#This Row],[CODE]]=5, Table46[ [#This Row],[Account Deposit Amount] ]-Table46[ [#This Row],[Account Withdrawl Amount] ], )</f>
        <v>0</v>
      </c>
      <c r="N77" s="128">
        <f>IF(Table46[[#This Row],[CODE]]=6, Table46[ [#This Row],[Account Deposit Amount] ]-Table46[ [#This Row],[Account Withdrawl Amount] ], )</f>
        <v>0</v>
      </c>
      <c r="O77" s="128">
        <f>IF(Table46[[#This Row],[CODE]]=11, Table46[ [#This Row],[Account Deposit Amount] ]-Table46[ [#This Row],[Account Withdrawl Amount] ], )</f>
        <v>0</v>
      </c>
      <c r="P77" s="128">
        <f>IF(Table46[[#This Row],[CODE]]=12, Table46[ [#This Row],[Account Deposit Amount] ]-Table46[ [#This Row],[Account Withdrawl Amount] ], )</f>
        <v>0</v>
      </c>
      <c r="Q77" s="128">
        <f>IF(Table46[[#This Row],[CODE]]=13, Table46[ [#This Row],[Account Deposit Amount] ]-Table46[ [#This Row],[Account Withdrawl Amount] ], )</f>
        <v>0</v>
      </c>
      <c r="R77" s="128">
        <f>IF(Table46[[#This Row],[CODE]]=14, Table46[ [#This Row],[Account Deposit Amount] ]-Table46[ [#This Row],[Account Withdrawl Amount] ], )</f>
        <v>0</v>
      </c>
      <c r="S77" s="128">
        <f>IF(Table46[[#This Row],[CODE]]=15, Table46[ [#This Row],[Account Deposit Amount] ]-Table46[ [#This Row],[Account Withdrawl Amount] ], )</f>
        <v>0</v>
      </c>
      <c r="T77" s="128">
        <f>IF(Table46[[#This Row],[CODE]]=16, Table46[ [#This Row],[Account Deposit Amount] ]-Table46[ [#This Row],[Account Withdrawl Amount] ], )</f>
        <v>0</v>
      </c>
      <c r="U77" s="127">
        <f>IF(Table46[[#This Row],[CODE]]=17, Table46[ [#This Row],[Account Deposit Amount] ]-Table46[ [#This Row],[Account Withdrawl Amount] ], )</f>
        <v>0</v>
      </c>
    </row>
    <row r="78" spans="1:21" ht="16.2" thickBot="1">
      <c r="A78" s="130"/>
      <c r="B78" s="133"/>
      <c r="C78" s="130"/>
      <c r="D78" s="132"/>
      <c r="E78" s="128"/>
      <c r="F78" s="128"/>
      <c r="G78" s="131">
        <f t="shared" si="4"/>
        <v>27476.099999999991</v>
      </c>
      <c r="H78" s="130"/>
      <c r="I78" s="127">
        <f>IF(Table46[[#This Row],[CODE]]=1, Table46[ [#This Row],[Account Deposit Amount] ]-Table46[ [#This Row],[Account Withdrawl Amount] ], )</f>
        <v>0</v>
      </c>
      <c r="J78" s="129">
        <f>IF(Table46[[#This Row],[CODE]]=2, Table46[ [#This Row],[Account Deposit Amount] ]-Table46[ [#This Row],[Account Withdrawl Amount] ], )</f>
        <v>0</v>
      </c>
      <c r="K78" s="129">
        <f>IF(Table46[[#This Row],[CODE]]=3, Table46[ [#This Row],[Account Deposit Amount] ]-Table46[ [#This Row],[Account Withdrawl Amount] ], )</f>
        <v>0</v>
      </c>
      <c r="L78" s="128">
        <f>IF(Table46[[#This Row],[CODE]]=4, Table46[ [#This Row],[Account Deposit Amount] ]-Table46[ [#This Row],[Account Withdrawl Amount] ], )</f>
        <v>0</v>
      </c>
      <c r="M78" s="128">
        <f>IF(Table46[[#This Row],[CODE]]=5, Table46[ [#This Row],[Account Deposit Amount] ]-Table46[ [#This Row],[Account Withdrawl Amount] ], )</f>
        <v>0</v>
      </c>
      <c r="N78" s="128">
        <f>IF(Table46[[#This Row],[CODE]]=6, Table46[ [#This Row],[Account Deposit Amount] ]-Table46[ [#This Row],[Account Withdrawl Amount] ], )</f>
        <v>0</v>
      </c>
      <c r="O78" s="128">
        <f>IF(Table46[[#This Row],[CODE]]=11, Table46[ [#This Row],[Account Deposit Amount] ]-Table46[ [#This Row],[Account Withdrawl Amount] ], )</f>
        <v>0</v>
      </c>
      <c r="P78" s="128">
        <f>IF(Table46[[#This Row],[CODE]]=12, Table46[ [#This Row],[Account Deposit Amount] ]-Table46[ [#This Row],[Account Withdrawl Amount] ], )</f>
        <v>0</v>
      </c>
      <c r="Q78" s="128">
        <f>IF(Table46[[#This Row],[CODE]]=13, Table46[ [#This Row],[Account Deposit Amount] ]-Table46[ [#This Row],[Account Withdrawl Amount] ], )</f>
        <v>0</v>
      </c>
      <c r="R78" s="128">
        <f>IF(Table46[[#This Row],[CODE]]=14, Table46[ [#This Row],[Account Deposit Amount] ]-Table46[ [#This Row],[Account Withdrawl Amount] ], )</f>
        <v>0</v>
      </c>
      <c r="S78" s="128">
        <f>IF(Table46[[#This Row],[CODE]]=15, Table46[ [#This Row],[Account Deposit Amount] ]-Table46[ [#This Row],[Account Withdrawl Amount] ], )</f>
        <v>0</v>
      </c>
      <c r="T78" s="128">
        <f>IF(Table46[[#This Row],[CODE]]=16, Table46[ [#This Row],[Account Deposit Amount] ]-Table46[ [#This Row],[Account Withdrawl Amount] ], )</f>
        <v>0</v>
      </c>
      <c r="U78" s="127">
        <f>IF(Table46[[#This Row],[CODE]]=17, Table46[ [#This Row],[Account Deposit Amount] ]-Table46[ [#This Row],[Account Withdrawl Amount] ], )</f>
        <v>0</v>
      </c>
    </row>
    <row r="79" spans="1:21" ht="16.2" thickBot="1">
      <c r="A79" s="130"/>
      <c r="B79" s="133"/>
      <c r="C79" s="130"/>
      <c r="D79" s="132"/>
      <c r="E79" s="128"/>
      <c r="F79" s="128"/>
      <c r="G79" s="131">
        <f t="shared" si="4"/>
        <v>27476.099999999991</v>
      </c>
      <c r="H79" s="130"/>
      <c r="I79" s="127">
        <f>IF(Table46[[#This Row],[CODE]]=1, Table46[ [#This Row],[Account Deposit Amount] ]-Table46[ [#This Row],[Account Withdrawl Amount] ], )</f>
        <v>0</v>
      </c>
      <c r="J79" s="129">
        <f>IF(Table46[[#This Row],[CODE]]=2, Table46[ [#This Row],[Account Deposit Amount] ]-Table46[ [#This Row],[Account Withdrawl Amount] ], )</f>
        <v>0</v>
      </c>
      <c r="K79" s="129">
        <f>IF(Table46[[#This Row],[CODE]]=3, Table46[ [#This Row],[Account Deposit Amount] ]-Table46[ [#This Row],[Account Withdrawl Amount] ], )</f>
        <v>0</v>
      </c>
      <c r="L79" s="128">
        <f>IF(Table46[[#This Row],[CODE]]=4, Table46[ [#This Row],[Account Deposit Amount] ]-Table46[ [#This Row],[Account Withdrawl Amount] ], )</f>
        <v>0</v>
      </c>
      <c r="M79" s="128">
        <f>IF(Table46[[#This Row],[CODE]]=5, Table46[ [#This Row],[Account Deposit Amount] ]-Table46[ [#This Row],[Account Withdrawl Amount] ], )</f>
        <v>0</v>
      </c>
      <c r="N79" s="128">
        <f>IF(Table46[[#This Row],[CODE]]=6, Table46[ [#This Row],[Account Deposit Amount] ]-Table46[ [#This Row],[Account Withdrawl Amount] ], )</f>
        <v>0</v>
      </c>
      <c r="O79" s="128">
        <f>IF(Table46[[#This Row],[CODE]]=11, Table46[ [#This Row],[Account Deposit Amount] ]-Table46[ [#This Row],[Account Withdrawl Amount] ], )</f>
        <v>0</v>
      </c>
      <c r="P79" s="128">
        <f>IF(Table46[[#This Row],[CODE]]=12, Table46[ [#This Row],[Account Deposit Amount] ]-Table46[ [#This Row],[Account Withdrawl Amount] ], )</f>
        <v>0</v>
      </c>
      <c r="Q79" s="128">
        <f>IF(Table46[[#This Row],[CODE]]=13, Table46[ [#This Row],[Account Deposit Amount] ]-Table46[ [#This Row],[Account Withdrawl Amount] ], )</f>
        <v>0</v>
      </c>
      <c r="R79" s="128">
        <f>IF(Table46[[#This Row],[CODE]]=14, Table46[ [#This Row],[Account Deposit Amount] ]-Table46[ [#This Row],[Account Withdrawl Amount] ], )</f>
        <v>0</v>
      </c>
      <c r="S79" s="128">
        <f>IF(Table46[[#This Row],[CODE]]=15, Table46[ [#This Row],[Account Deposit Amount] ]-Table46[ [#This Row],[Account Withdrawl Amount] ], )</f>
        <v>0</v>
      </c>
      <c r="T79" s="128">
        <f>IF(Table46[[#This Row],[CODE]]=16, Table46[ [#This Row],[Account Deposit Amount] ]-Table46[ [#This Row],[Account Withdrawl Amount] ], )</f>
        <v>0</v>
      </c>
      <c r="U79" s="127">
        <f>IF(Table46[[#This Row],[CODE]]=17, Table46[ [#This Row],[Account Deposit Amount] ]-Table46[ [#This Row],[Account Withdrawl Amount] ], )</f>
        <v>0</v>
      </c>
    </row>
    <row r="80" spans="1:21" ht="16.2" thickBot="1">
      <c r="A80" s="130"/>
      <c r="B80" s="133"/>
      <c r="C80" s="130"/>
      <c r="D80" s="132"/>
      <c r="E80" s="128"/>
      <c r="F80" s="128"/>
      <c r="G80" s="131">
        <f t="shared" si="4"/>
        <v>27476.099999999991</v>
      </c>
      <c r="H80" s="130"/>
      <c r="I80" s="127">
        <f>IF(Table46[[#This Row],[CODE]]=1, Table46[ [#This Row],[Account Deposit Amount] ]-Table46[ [#This Row],[Account Withdrawl Amount] ], )</f>
        <v>0</v>
      </c>
      <c r="J80" s="129">
        <f>IF(Table46[[#This Row],[CODE]]=2, Table46[ [#This Row],[Account Deposit Amount] ]-Table46[ [#This Row],[Account Withdrawl Amount] ], )</f>
        <v>0</v>
      </c>
      <c r="K80" s="129">
        <f>IF(Table46[[#This Row],[CODE]]=3, Table46[ [#This Row],[Account Deposit Amount] ]-Table46[ [#This Row],[Account Withdrawl Amount] ], )</f>
        <v>0</v>
      </c>
      <c r="L80" s="128">
        <f>IF(Table46[[#This Row],[CODE]]=4, Table46[ [#This Row],[Account Deposit Amount] ]-Table46[ [#This Row],[Account Withdrawl Amount] ], )</f>
        <v>0</v>
      </c>
      <c r="M80" s="128">
        <f>IF(Table46[[#This Row],[CODE]]=5, Table46[ [#This Row],[Account Deposit Amount] ]-Table46[ [#This Row],[Account Withdrawl Amount] ], )</f>
        <v>0</v>
      </c>
      <c r="N80" s="128">
        <f>IF(Table46[[#This Row],[CODE]]=6, Table46[ [#This Row],[Account Deposit Amount] ]-Table46[ [#This Row],[Account Withdrawl Amount] ], )</f>
        <v>0</v>
      </c>
      <c r="O80" s="128">
        <f>IF(Table46[[#This Row],[CODE]]=11, Table46[ [#This Row],[Account Deposit Amount] ]-Table46[ [#This Row],[Account Withdrawl Amount] ], )</f>
        <v>0</v>
      </c>
      <c r="P80" s="128">
        <f>IF(Table46[[#This Row],[CODE]]=12, Table46[ [#This Row],[Account Deposit Amount] ]-Table46[ [#This Row],[Account Withdrawl Amount] ], )</f>
        <v>0</v>
      </c>
      <c r="Q80" s="128">
        <f>IF(Table46[[#This Row],[CODE]]=13, Table46[ [#This Row],[Account Deposit Amount] ]-Table46[ [#This Row],[Account Withdrawl Amount] ], )</f>
        <v>0</v>
      </c>
      <c r="R80" s="128">
        <f>IF(Table46[[#This Row],[CODE]]=14, Table46[ [#This Row],[Account Deposit Amount] ]-Table46[ [#This Row],[Account Withdrawl Amount] ], )</f>
        <v>0</v>
      </c>
      <c r="S80" s="128">
        <f>IF(Table46[[#This Row],[CODE]]=15, Table46[ [#This Row],[Account Deposit Amount] ]-Table46[ [#This Row],[Account Withdrawl Amount] ], )</f>
        <v>0</v>
      </c>
      <c r="T80" s="128">
        <f>IF(Table46[[#This Row],[CODE]]=16, Table46[ [#This Row],[Account Deposit Amount] ]-Table46[ [#This Row],[Account Withdrawl Amount] ], )</f>
        <v>0</v>
      </c>
      <c r="U80" s="127">
        <f>IF(Table46[[#This Row],[CODE]]=17, Table46[ [#This Row],[Account Deposit Amount] ]-Table46[ [#This Row],[Account Withdrawl Amount] ], )</f>
        <v>0</v>
      </c>
    </row>
    <row r="81" spans="1:21" ht="16.2" thickBot="1">
      <c r="A81" s="130"/>
      <c r="B81" s="133"/>
      <c r="C81" s="130"/>
      <c r="D81" s="132"/>
      <c r="E81" s="128"/>
      <c r="F81" s="128"/>
      <c r="G81" s="131">
        <f t="shared" si="4"/>
        <v>27476.099999999991</v>
      </c>
      <c r="H81" s="130"/>
      <c r="I81" s="127">
        <f>IF(Table46[[#This Row],[CODE]]=1, Table46[ [#This Row],[Account Deposit Amount] ]-Table46[ [#This Row],[Account Withdrawl Amount] ], )</f>
        <v>0</v>
      </c>
      <c r="J81" s="129">
        <f>IF(Table46[[#This Row],[CODE]]=2, Table46[ [#This Row],[Account Deposit Amount] ]-Table46[ [#This Row],[Account Withdrawl Amount] ], )</f>
        <v>0</v>
      </c>
      <c r="K81" s="129">
        <f>IF(Table46[[#This Row],[CODE]]=3, Table46[ [#This Row],[Account Deposit Amount] ]-Table46[ [#This Row],[Account Withdrawl Amount] ], )</f>
        <v>0</v>
      </c>
      <c r="L81" s="128">
        <f>IF(Table46[[#This Row],[CODE]]=4, Table46[ [#This Row],[Account Deposit Amount] ]-Table46[ [#This Row],[Account Withdrawl Amount] ], )</f>
        <v>0</v>
      </c>
      <c r="M81" s="128">
        <f>IF(Table46[[#This Row],[CODE]]=5, Table46[ [#This Row],[Account Deposit Amount] ]-Table46[ [#This Row],[Account Withdrawl Amount] ], )</f>
        <v>0</v>
      </c>
      <c r="N81" s="128">
        <f>IF(Table46[[#This Row],[CODE]]=6, Table46[ [#This Row],[Account Deposit Amount] ]-Table46[ [#This Row],[Account Withdrawl Amount] ], )</f>
        <v>0</v>
      </c>
      <c r="O81" s="128">
        <f>IF(Table46[[#This Row],[CODE]]=11, Table46[ [#This Row],[Account Deposit Amount] ]-Table46[ [#This Row],[Account Withdrawl Amount] ], )</f>
        <v>0</v>
      </c>
      <c r="P81" s="128">
        <f>IF(Table46[[#This Row],[CODE]]=12, Table46[ [#This Row],[Account Deposit Amount] ]-Table46[ [#This Row],[Account Withdrawl Amount] ], )</f>
        <v>0</v>
      </c>
      <c r="Q81" s="128">
        <f>IF(Table46[[#This Row],[CODE]]=13, Table46[ [#This Row],[Account Deposit Amount] ]-Table46[ [#This Row],[Account Withdrawl Amount] ], )</f>
        <v>0</v>
      </c>
      <c r="R81" s="128">
        <f>IF(Table46[[#This Row],[CODE]]=14, Table46[ [#This Row],[Account Deposit Amount] ]-Table46[ [#This Row],[Account Withdrawl Amount] ], )</f>
        <v>0</v>
      </c>
      <c r="S81" s="128">
        <f>IF(Table46[[#This Row],[CODE]]=15, Table46[ [#This Row],[Account Deposit Amount] ]-Table46[ [#This Row],[Account Withdrawl Amount] ], )</f>
        <v>0</v>
      </c>
      <c r="T81" s="128">
        <f>IF(Table46[[#This Row],[CODE]]=16, Table46[ [#This Row],[Account Deposit Amount] ]-Table46[ [#This Row],[Account Withdrawl Amount] ], )</f>
        <v>0</v>
      </c>
      <c r="U81" s="127">
        <f>IF(Table46[[#This Row],[CODE]]=17, Table46[ [#This Row],[Account Deposit Amount] ]-Table46[ [#This Row],[Account Withdrawl Amount] ], )</f>
        <v>0</v>
      </c>
    </row>
    <row r="82" spans="1:21" ht="16.2" thickBot="1">
      <c r="A82" s="130"/>
      <c r="B82" s="133"/>
      <c r="C82" s="130"/>
      <c r="D82" s="132"/>
      <c r="E82" s="128"/>
      <c r="F82" s="128"/>
      <c r="G82" s="131">
        <f t="shared" si="4"/>
        <v>27476.099999999991</v>
      </c>
      <c r="H82" s="130"/>
      <c r="I82" s="127">
        <f>IF(Table46[[#This Row],[CODE]]=1, Table46[ [#This Row],[Account Deposit Amount] ]-Table46[ [#This Row],[Account Withdrawl Amount] ], )</f>
        <v>0</v>
      </c>
      <c r="J82" s="129">
        <f>IF(Table46[[#This Row],[CODE]]=2, Table46[ [#This Row],[Account Deposit Amount] ]-Table46[ [#This Row],[Account Withdrawl Amount] ], )</f>
        <v>0</v>
      </c>
      <c r="K82" s="129">
        <f>IF(Table46[[#This Row],[CODE]]=3, Table46[ [#This Row],[Account Deposit Amount] ]-Table46[ [#This Row],[Account Withdrawl Amount] ], )</f>
        <v>0</v>
      </c>
      <c r="L82" s="128">
        <f>IF(Table46[[#This Row],[CODE]]=4, Table46[ [#This Row],[Account Deposit Amount] ]-Table46[ [#This Row],[Account Withdrawl Amount] ], )</f>
        <v>0</v>
      </c>
      <c r="M82" s="128">
        <f>IF(Table46[[#This Row],[CODE]]=5, Table46[ [#This Row],[Account Deposit Amount] ]-Table46[ [#This Row],[Account Withdrawl Amount] ], )</f>
        <v>0</v>
      </c>
      <c r="N82" s="128">
        <f>IF(Table46[[#This Row],[CODE]]=6, Table46[ [#This Row],[Account Deposit Amount] ]-Table46[ [#This Row],[Account Withdrawl Amount] ], )</f>
        <v>0</v>
      </c>
      <c r="O82" s="128">
        <f>IF(Table46[[#This Row],[CODE]]=11, Table46[ [#This Row],[Account Deposit Amount] ]-Table46[ [#This Row],[Account Withdrawl Amount] ], )</f>
        <v>0</v>
      </c>
      <c r="P82" s="128">
        <f>IF(Table46[[#This Row],[CODE]]=12, Table46[ [#This Row],[Account Deposit Amount] ]-Table46[ [#This Row],[Account Withdrawl Amount] ], )</f>
        <v>0</v>
      </c>
      <c r="Q82" s="128">
        <f>IF(Table46[[#This Row],[CODE]]=13, Table46[ [#This Row],[Account Deposit Amount] ]-Table46[ [#This Row],[Account Withdrawl Amount] ], )</f>
        <v>0</v>
      </c>
      <c r="R82" s="128">
        <f>IF(Table46[[#This Row],[CODE]]=14, Table46[ [#This Row],[Account Deposit Amount] ]-Table46[ [#This Row],[Account Withdrawl Amount] ], )</f>
        <v>0</v>
      </c>
      <c r="S82" s="128">
        <f>IF(Table46[[#This Row],[CODE]]=15, Table46[ [#This Row],[Account Deposit Amount] ]-Table46[ [#This Row],[Account Withdrawl Amount] ], )</f>
        <v>0</v>
      </c>
      <c r="T82" s="128">
        <f>IF(Table46[[#This Row],[CODE]]=16, Table46[ [#This Row],[Account Deposit Amount] ]-Table46[ [#This Row],[Account Withdrawl Amount] ], )</f>
        <v>0</v>
      </c>
      <c r="U82" s="127">
        <f>IF(Table46[[#This Row],[CODE]]=17, Table46[ [#This Row],[Account Deposit Amount] ]-Table46[ [#This Row],[Account Withdrawl Amount] ], )</f>
        <v>0</v>
      </c>
    </row>
    <row r="83" spans="1:21" ht="16.2" thickBot="1">
      <c r="A83" s="130"/>
      <c r="B83" s="133"/>
      <c r="C83" s="130"/>
      <c r="D83" s="132"/>
      <c r="E83" s="128"/>
      <c r="F83" s="128"/>
      <c r="G83" s="131">
        <f t="shared" si="4"/>
        <v>27476.099999999991</v>
      </c>
      <c r="H83" s="130"/>
      <c r="I83" s="127">
        <f>IF(Table46[[#This Row],[CODE]]=1, Table46[ [#This Row],[Account Deposit Amount] ]-Table46[ [#This Row],[Account Withdrawl Amount] ], )</f>
        <v>0</v>
      </c>
      <c r="J83" s="129">
        <f>IF(Table46[[#This Row],[CODE]]=2, Table46[ [#This Row],[Account Deposit Amount] ]-Table46[ [#This Row],[Account Withdrawl Amount] ], )</f>
        <v>0</v>
      </c>
      <c r="K83" s="129">
        <f>IF(Table46[[#This Row],[CODE]]=3, Table46[ [#This Row],[Account Deposit Amount] ]-Table46[ [#This Row],[Account Withdrawl Amount] ], )</f>
        <v>0</v>
      </c>
      <c r="L83" s="128">
        <f>IF(Table46[[#This Row],[CODE]]=4, Table46[ [#This Row],[Account Deposit Amount] ]-Table46[ [#This Row],[Account Withdrawl Amount] ], )</f>
        <v>0</v>
      </c>
      <c r="M83" s="128">
        <f>IF(Table46[[#This Row],[CODE]]=5, Table46[ [#This Row],[Account Deposit Amount] ]-Table46[ [#This Row],[Account Withdrawl Amount] ], )</f>
        <v>0</v>
      </c>
      <c r="N83" s="128">
        <f>IF(Table46[[#This Row],[CODE]]=6, Table46[ [#This Row],[Account Deposit Amount] ]-Table46[ [#This Row],[Account Withdrawl Amount] ], )</f>
        <v>0</v>
      </c>
      <c r="O83" s="128">
        <f>IF(Table46[[#This Row],[CODE]]=11, Table46[ [#This Row],[Account Deposit Amount] ]-Table46[ [#This Row],[Account Withdrawl Amount] ], )</f>
        <v>0</v>
      </c>
      <c r="P83" s="128">
        <f>IF(Table46[[#This Row],[CODE]]=12, Table46[ [#This Row],[Account Deposit Amount] ]-Table46[ [#This Row],[Account Withdrawl Amount] ], )</f>
        <v>0</v>
      </c>
      <c r="Q83" s="128">
        <f>IF(Table46[[#This Row],[CODE]]=13, Table46[ [#This Row],[Account Deposit Amount] ]-Table46[ [#This Row],[Account Withdrawl Amount] ], )</f>
        <v>0</v>
      </c>
      <c r="R83" s="128">
        <f>IF(Table46[[#This Row],[CODE]]=14, Table46[ [#This Row],[Account Deposit Amount] ]-Table46[ [#This Row],[Account Withdrawl Amount] ], )</f>
        <v>0</v>
      </c>
      <c r="S83" s="128">
        <f>IF(Table46[[#This Row],[CODE]]=15, Table46[ [#This Row],[Account Deposit Amount] ]-Table46[ [#This Row],[Account Withdrawl Amount] ], )</f>
        <v>0</v>
      </c>
      <c r="T83" s="128">
        <f>IF(Table46[[#This Row],[CODE]]=16, Table46[ [#This Row],[Account Deposit Amount] ]-Table46[ [#This Row],[Account Withdrawl Amount] ], )</f>
        <v>0</v>
      </c>
      <c r="U83" s="127">
        <f>IF(Table46[[#This Row],[CODE]]=17, Table46[ [#This Row],[Account Deposit Amount] ]-Table46[ [#This Row],[Account Withdrawl Amount] ], )</f>
        <v>0</v>
      </c>
    </row>
    <row r="84" spans="1:21" ht="16.2" thickBot="1">
      <c r="A84" s="130"/>
      <c r="B84" s="133"/>
      <c r="C84" s="130"/>
      <c r="D84" s="132"/>
      <c r="E84" s="128"/>
      <c r="F84" s="128"/>
      <c r="G84" s="131">
        <f t="shared" si="4"/>
        <v>27476.099999999991</v>
      </c>
      <c r="H84" s="130"/>
      <c r="I84" s="127">
        <f>IF(Table46[[#This Row],[CODE]]=1, Table46[ [#This Row],[Account Deposit Amount] ]-Table46[ [#This Row],[Account Withdrawl Amount] ], )</f>
        <v>0</v>
      </c>
      <c r="J84" s="129">
        <f>IF(Table46[[#This Row],[CODE]]=2, Table46[ [#This Row],[Account Deposit Amount] ]-Table46[ [#This Row],[Account Withdrawl Amount] ], )</f>
        <v>0</v>
      </c>
      <c r="K84" s="129">
        <f>IF(Table46[[#This Row],[CODE]]=3, Table46[ [#This Row],[Account Deposit Amount] ]-Table46[ [#This Row],[Account Withdrawl Amount] ], )</f>
        <v>0</v>
      </c>
      <c r="L84" s="128">
        <f>IF(Table46[[#This Row],[CODE]]=4, Table46[ [#This Row],[Account Deposit Amount] ]-Table46[ [#This Row],[Account Withdrawl Amount] ], )</f>
        <v>0</v>
      </c>
      <c r="M84" s="128">
        <f>IF(Table46[[#This Row],[CODE]]=5, Table46[ [#This Row],[Account Deposit Amount] ]-Table46[ [#This Row],[Account Withdrawl Amount] ], )</f>
        <v>0</v>
      </c>
      <c r="N84" s="128">
        <f>IF(Table46[[#This Row],[CODE]]=6, Table46[ [#This Row],[Account Deposit Amount] ]-Table46[ [#This Row],[Account Withdrawl Amount] ], )</f>
        <v>0</v>
      </c>
      <c r="O84" s="128">
        <f>IF(Table46[[#This Row],[CODE]]=11, Table46[ [#This Row],[Account Deposit Amount] ]-Table46[ [#This Row],[Account Withdrawl Amount] ], )</f>
        <v>0</v>
      </c>
      <c r="P84" s="128">
        <f>IF(Table46[[#This Row],[CODE]]=12, Table46[ [#This Row],[Account Deposit Amount] ]-Table46[ [#This Row],[Account Withdrawl Amount] ], )</f>
        <v>0</v>
      </c>
      <c r="Q84" s="128">
        <f>IF(Table46[[#This Row],[CODE]]=13, Table46[ [#This Row],[Account Deposit Amount] ]-Table46[ [#This Row],[Account Withdrawl Amount] ], )</f>
        <v>0</v>
      </c>
      <c r="R84" s="128">
        <f>IF(Table46[[#This Row],[CODE]]=14, Table46[ [#This Row],[Account Deposit Amount] ]-Table46[ [#This Row],[Account Withdrawl Amount] ], )</f>
        <v>0</v>
      </c>
      <c r="S84" s="128">
        <f>IF(Table46[[#This Row],[CODE]]=15, Table46[ [#This Row],[Account Deposit Amount] ]-Table46[ [#This Row],[Account Withdrawl Amount] ], )</f>
        <v>0</v>
      </c>
      <c r="T84" s="128">
        <f>IF(Table46[[#This Row],[CODE]]=16, Table46[ [#This Row],[Account Deposit Amount] ]-Table46[ [#This Row],[Account Withdrawl Amount] ], )</f>
        <v>0</v>
      </c>
      <c r="U84" s="127">
        <f>IF(Table46[[#This Row],[CODE]]=17, Table46[ [#This Row],[Account Deposit Amount] ]-Table46[ [#This Row],[Account Withdrawl Amount] ], )</f>
        <v>0</v>
      </c>
    </row>
    <row r="85" spans="1:21" ht="16.2" thickBot="1">
      <c r="A85" s="130"/>
      <c r="B85" s="133"/>
      <c r="C85" s="130"/>
      <c r="D85" s="132"/>
      <c r="E85" s="128"/>
      <c r="F85" s="128"/>
      <c r="G85" s="131">
        <f t="shared" si="4"/>
        <v>27476.099999999991</v>
      </c>
      <c r="H85" s="130"/>
      <c r="I85" s="127">
        <f>IF(Table46[[#This Row],[CODE]]=1, Table46[ [#This Row],[Account Deposit Amount] ]-Table46[ [#This Row],[Account Withdrawl Amount] ], )</f>
        <v>0</v>
      </c>
      <c r="J85" s="129">
        <f>IF(Table46[[#This Row],[CODE]]=2, Table46[ [#This Row],[Account Deposit Amount] ]-Table46[ [#This Row],[Account Withdrawl Amount] ], )</f>
        <v>0</v>
      </c>
      <c r="K85" s="129">
        <f>IF(Table46[[#This Row],[CODE]]=3, Table46[ [#This Row],[Account Deposit Amount] ]-Table46[ [#This Row],[Account Withdrawl Amount] ], )</f>
        <v>0</v>
      </c>
      <c r="L85" s="128">
        <f>IF(Table46[[#This Row],[CODE]]=4, Table46[ [#This Row],[Account Deposit Amount] ]-Table46[ [#This Row],[Account Withdrawl Amount] ], )</f>
        <v>0</v>
      </c>
      <c r="M85" s="128">
        <f>IF(Table46[[#This Row],[CODE]]=5, Table46[ [#This Row],[Account Deposit Amount] ]-Table46[ [#This Row],[Account Withdrawl Amount] ], )</f>
        <v>0</v>
      </c>
      <c r="N85" s="128">
        <f>IF(Table46[[#This Row],[CODE]]=6, Table46[ [#This Row],[Account Deposit Amount] ]-Table46[ [#This Row],[Account Withdrawl Amount] ], )</f>
        <v>0</v>
      </c>
      <c r="O85" s="128">
        <f>IF(Table46[[#This Row],[CODE]]=11, Table46[ [#This Row],[Account Deposit Amount] ]-Table46[ [#This Row],[Account Withdrawl Amount] ], )</f>
        <v>0</v>
      </c>
      <c r="P85" s="128">
        <f>IF(Table46[[#This Row],[CODE]]=12, Table46[ [#This Row],[Account Deposit Amount] ]-Table46[ [#This Row],[Account Withdrawl Amount] ], )</f>
        <v>0</v>
      </c>
      <c r="Q85" s="128">
        <f>IF(Table46[[#This Row],[CODE]]=13, Table46[ [#This Row],[Account Deposit Amount] ]-Table46[ [#This Row],[Account Withdrawl Amount] ], )</f>
        <v>0</v>
      </c>
      <c r="R85" s="128">
        <f>IF(Table46[[#This Row],[CODE]]=14, Table46[ [#This Row],[Account Deposit Amount] ]-Table46[ [#This Row],[Account Withdrawl Amount] ], )</f>
        <v>0</v>
      </c>
      <c r="S85" s="128">
        <f>IF(Table46[[#This Row],[CODE]]=15, Table46[ [#This Row],[Account Deposit Amount] ]-Table46[ [#This Row],[Account Withdrawl Amount] ], )</f>
        <v>0</v>
      </c>
      <c r="T85" s="128">
        <f>IF(Table46[[#This Row],[CODE]]=16, Table46[ [#This Row],[Account Deposit Amount] ]-Table46[ [#This Row],[Account Withdrawl Amount] ], )</f>
        <v>0</v>
      </c>
      <c r="U85" s="127">
        <f>IF(Table46[[#This Row],[CODE]]=17, Table46[ [#This Row],[Account Deposit Amount] ]-Table46[ [#This Row],[Account Withdrawl Amount] ], )</f>
        <v>0</v>
      </c>
    </row>
    <row r="86" spans="1:21" ht="16.2" thickBot="1">
      <c r="A86" s="130"/>
      <c r="B86" s="133"/>
      <c r="C86" s="130"/>
      <c r="D86" s="132"/>
      <c r="E86" s="128"/>
      <c r="F86" s="128"/>
      <c r="G86" s="131">
        <f t="shared" si="4"/>
        <v>27476.099999999991</v>
      </c>
      <c r="H86" s="130"/>
      <c r="I86" s="127">
        <f>IF(Table46[[#This Row],[CODE]]=1, Table46[ [#This Row],[Account Deposit Amount] ]-Table46[ [#This Row],[Account Withdrawl Amount] ], )</f>
        <v>0</v>
      </c>
      <c r="J86" s="129">
        <f>IF(Table46[[#This Row],[CODE]]=2, Table46[ [#This Row],[Account Deposit Amount] ]-Table46[ [#This Row],[Account Withdrawl Amount] ], )</f>
        <v>0</v>
      </c>
      <c r="K86" s="129">
        <f>IF(Table46[[#This Row],[CODE]]=3, Table46[ [#This Row],[Account Deposit Amount] ]-Table46[ [#This Row],[Account Withdrawl Amount] ], )</f>
        <v>0</v>
      </c>
      <c r="L86" s="128">
        <f>IF(Table46[[#This Row],[CODE]]=4, Table46[ [#This Row],[Account Deposit Amount] ]-Table46[ [#This Row],[Account Withdrawl Amount] ], )</f>
        <v>0</v>
      </c>
      <c r="M86" s="128">
        <f>IF(Table46[[#This Row],[CODE]]=5, Table46[ [#This Row],[Account Deposit Amount] ]-Table46[ [#This Row],[Account Withdrawl Amount] ], )</f>
        <v>0</v>
      </c>
      <c r="N86" s="128">
        <f>IF(Table46[[#This Row],[CODE]]=6, Table46[ [#This Row],[Account Deposit Amount] ]-Table46[ [#This Row],[Account Withdrawl Amount] ], )</f>
        <v>0</v>
      </c>
      <c r="O86" s="128">
        <f>IF(Table46[[#This Row],[CODE]]=11, Table46[ [#This Row],[Account Deposit Amount] ]-Table46[ [#This Row],[Account Withdrawl Amount] ], )</f>
        <v>0</v>
      </c>
      <c r="P86" s="128">
        <f>IF(Table46[[#This Row],[CODE]]=12, Table46[ [#This Row],[Account Deposit Amount] ]-Table46[ [#This Row],[Account Withdrawl Amount] ], )</f>
        <v>0</v>
      </c>
      <c r="Q86" s="128">
        <f>IF(Table46[[#This Row],[CODE]]=13, Table46[ [#This Row],[Account Deposit Amount] ]-Table46[ [#This Row],[Account Withdrawl Amount] ], )</f>
        <v>0</v>
      </c>
      <c r="R86" s="128">
        <f>IF(Table46[[#This Row],[CODE]]=14, Table46[ [#This Row],[Account Deposit Amount] ]-Table46[ [#This Row],[Account Withdrawl Amount] ], )</f>
        <v>0</v>
      </c>
      <c r="S86" s="128">
        <f>IF(Table46[[#This Row],[CODE]]=15, Table46[ [#This Row],[Account Deposit Amount] ]-Table46[ [#This Row],[Account Withdrawl Amount] ], )</f>
        <v>0</v>
      </c>
      <c r="T86" s="128">
        <f>IF(Table46[[#This Row],[CODE]]=16, Table46[ [#This Row],[Account Deposit Amount] ]-Table46[ [#This Row],[Account Withdrawl Amount] ], )</f>
        <v>0</v>
      </c>
      <c r="U86" s="127">
        <f>IF(Table46[[#This Row],[CODE]]=17, Table46[ [#This Row],[Account Deposit Amount] ]-Table46[ [#This Row],[Account Withdrawl Amount] ], )</f>
        <v>0</v>
      </c>
    </row>
    <row r="87" spans="1:21" ht="16.2" thickBot="1">
      <c r="A87" s="130"/>
      <c r="B87" s="133"/>
      <c r="C87" s="130"/>
      <c r="D87" s="132"/>
      <c r="E87" s="128"/>
      <c r="F87" s="128"/>
      <c r="G87" s="131">
        <f t="shared" si="4"/>
        <v>27476.099999999991</v>
      </c>
      <c r="H87" s="130"/>
      <c r="I87" s="127">
        <f>IF(Table46[[#This Row],[CODE]]=1, Table46[ [#This Row],[Account Deposit Amount] ]-Table46[ [#This Row],[Account Withdrawl Amount] ], )</f>
        <v>0</v>
      </c>
      <c r="J87" s="129">
        <f>IF(Table46[[#This Row],[CODE]]=2, Table46[ [#This Row],[Account Deposit Amount] ]-Table46[ [#This Row],[Account Withdrawl Amount] ], )</f>
        <v>0</v>
      </c>
      <c r="K87" s="129">
        <f>IF(Table46[[#This Row],[CODE]]=3, Table46[ [#This Row],[Account Deposit Amount] ]-Table46[ [#This Row],[Account Withdrawl Amount] ], )</f>
        <v>0</v>
      </c>
      <c r="L87" s="128">
        <f>IF(Table46[[#This Row],[CODE]]=4, Table46[ [#This Row],[Account Deposit Amount] ]-Table46[ [#This Row],[Account Withdrawl Amount] ], )</f>
        <v>0</v>
      </c>
      <c r="M87" s="128">
        <f>IF(Table46[[#This Row],[CODE]]=5, Table46[ [#This Row],[Account Deposit Amount] ]-Table46[ [#This Row],[Account Withdrawl Amount] ], )</f>
        <v>0</v>
      </c>
      <c r="N87" s="128">
        <f>IF(Table46[[#This Row],[CODE]]=6, Table46[ [#This Row],[Account Deposit Amount] ]-Table46[ [#This Row],[Account Withdrawl Amount] ], )</f>
        <v>0</v>
      </c>
      <c r="O87" s="128">
        <f>IF(Table46[[#This Row],[CODE]]=11, Table46[ [#This Row],[Account Deposit Amount] ]-Table46[ [#This Row],[Account Withdrawl Amount] ], )</f>
        <v>0</v>
      </c>
      <c r="P87" s="128">
        <f>IF(Table46[[#This Row],[CODE]]=12, Table46[ [#This Row],[Account Deposit Amount] ]-Table46[ [#This Row],[Account Withdrawl Amount] ], )</f>
        <v>0</v>
      </c>
      <c r="Q87" s="128">
        <f>IF(Table46[[#This Row],[CODE]]=13, Table46[ [#This Row],[Account Deposit Amount] ]-Table46[ [#This Row],[Account Withdrawl Amount] ], )</f>
        <v>0</v>
      </c>
      <c r="R87" s="128">
        <f>IF(Table46[[#This Row],[CODE]]=14, Table46[ [#This Row],[Account Deposit Amount] ]-Table46[ [#This Row],[Account Withdrawl Amount] ], )</f>
        <v>0</v>
      </c>
      <c r="S87" s="128">
        <f>IF(Table46[[#This Row],[CODE]]=15, Table46[ [#This Row],[Account Deposit Amount] ]-Table46[ [#This Row],[Account Withdrawl Amount] ], )</f>
        <v>0</v>
      </c>
      <c r="T87" s="128">
        <f>IF(Table46[[#This Row],[CODE]]=16, Table46[ [#This Row],[Account Deposit Amount] ]-Table46[ [#This Row],[Account Withdrawl Amount] ], )</f>
        <v>0</v>
      </c>
      <c r="U87" s="127">
        <f>IF(Table46[[#This Row],[CODE]]=17, Table46[ [#This Row],[Account Deposit Amount] ]-Table46[ [#This Row],[Account Withdrawl Amount] ], )</f>
        <v>0</v>
      </c>
    </row>
    <row r="88" spans="1:21" ht="16.2" thickBot="1">
      <c r="A88" s="130"/>
      <c r="B88" s="133"/>
      <c r="C88" s="130"/>
      <c r="D88" s="132"/>
      <c r="E88" s="128"/>
      <c r="F88" s="128"/>
      <c r="G88" s="131">
        <f t="shared" si="4"/>
        <v>27476.099999999991</v>
      </c>
      <c r="H88" s="130"/>
      <c r="I88" s="127">
        <f>IF(Table46[[#This Row],[CODE]]=1, Table46[ [#This Row],[Account Deposit Amount] ]-Table46[ [#This Row],[Account Withdrawl Amount] ], )</f>
        <v>0</v>
      </c>
      <c r="J88" s="129">
        <f>IF(Table46[[#This Row],[CODE]]=2, Table46[ [#This Row],[Account Deposit Amount] ]-Table46[ [#This Row],[Account Withdrawl Amount] ], )</f>
        <v>0</v>
      </c>
      <c r="K88" s="129">
        <f>IF(Table46[[#This Row],[CODE]]=3, Table46[ [#This Row],[Account Deposit Amount] ]-Table46[ [#This Row],[Account Withdrawl Amount] ], )</f>
        <v>0</v>
      </c>
      <c r="L88" s="128">
        <f>IF(Table46[[#This Row],[CODE]]=4, Table46[ [#This Row],[Account Deposit Amount] ]-Table46[ [#This Row],[Account Withdrawl Amount] ], )</f>
        <v>0</v>
      </c>
      <c r="M88" s="128">
        <f>IF(Table46[[#This Row],[CODE]]=5, Table46[ [#This Row],[Account Deposit Amount] ]-Table46[ [#This Row],[Account Withdrawl Amount] ], )</f>
        <v>0</v>
      </c>
      <c r="N88" s="128">
        <f>IF(Table46[[#This Row],[CODE]]=6, Table46[ [#This Row],[Account Deposit Amount] ]-Table46[ [#This Row],[Account Withdrawl Amount] ], )</f>
        <v>0</v>
      </c>
      <c r="O88" s="128">
        <f>IF(Table46[[#This Row],[CODE]]=11, Table46[ [#This Row],[Account Deposit Amount] ]-Table46[ [#This Row],[Account Withdrawl Amount] ], )</f>
        <v>0</v>
      </c>
      <c r="P88" s="128">
        <f>IF(Table46[[#This Row],[CODE]]=12, Table46[ [#This Row],[Account Deposit Amount] ]-Table46[ [#This Row],[Account Withdrawl Amount] ], )</f>
        <v>0</v>
      </c>
      <c r="Q88" s="128">
        <f>IF(Table46[[#This Row],[CODE]]=13, Table46[ [#This Row],[Account Deposit Amount] ]-Table46[ [#This Row],[Account Withdrawl Amount] ], )</f>
        <v>0</v>
      </c>
      <c r="R88" s="128">
        <f>IF(Table46[[#This Row],[CODE]]=14, Table46[ [#This Row],[Account Deposit Amount] ]-Table46[ [#This Row],[Account Withdrawl Amount] ], )</f>
        <v>0</v>
      </c>
      <c r="S88" s="128">
        <f>IF(Table46[[#This Row],[CODE]]=15, Table46[ [#This Row],[Account Deposit Amount] ]-Table46[ [#This Row],[Account Withdrawl Amount] ], )</f>
        <v>0</v>
      </c>
      <c r="T88" s="128">
        <f>IF(Table46[[#This Row],[CODE]]=16, Table46[ [#This Row],[Account Deposit Amount] ]-Table46[ [#This Row],[Account Withdrawl Amount] ], )</f>
        <v>0</v>
      </c>
      <c r="U88" s="127">
        <f>IF(Table46[[#This Row],[CODE]]=17, Table46[ [#This Row],[Account Deposit Amount] ]-Table46[ [#This Row],[Account Withdrawl Amount] ], )</f>
        <v>0</v>
      </c>
    </row>
    <row r="89" spans="1:21" ht="16.2" thickBot="1">
      <c r="A89" s="130"/>
      <c r="B89" s="133"/>
      <c r="C89" s="130"/>
      <c r="D89" s="132"/>
      <c r="E89" s="128"/>
      <c r="F89" s="128"/>
      <c r="G89" s="131">
        <f t="shared" si="4"/>
        <v>27476.099999999991</v>
      </c>
      <c r="H89" s="130"/>
      <c r="I89" s="127">
        <f>IF(Table46[[#This Row],[CODE]]=1, Table46[ [#This Row],[Account Deposit Amount] ]-Table46[ [#This Row],[Account Withdrawl Amount] ], )</f>
        <v>0</v>
      </c>
      <c r="J89" s="129">
        <f>IF(Table46[[#This Row],[CODE]]=2, Table46[ [#This Row],[Account Deposit Amount] ]-Table46[ [#This Row],[Account Withdrawl Amount] ], )</f>
        <v>0</v>
      </c>
      <c r="K89" s="129">
        <f>IF(Table46[[#This Row],[CODE]]=3, Table46[ [#This Row],[Account Deposit Amount] ]-Table46[ [#This Row],[Account Withdrawl Amount] ], )</f>
        <v>0</v>
      </c>
      <c r="L89" s="128">
        <f>IF(Table46[[#This Row],[CODE]]=4, Table46[ [#This Row],[Account Deposit Amount] ]-Table46[ [#This Row],[Account Withdrawl Amount] ], )</f>
        <v>0</v>
      </c>
      <c r="M89" s="128">
        <f>IF(Table46[[#This Row],[CODE]]=5, Table46[ [#This Row],[Account Deposit Amount] ]-Table46[ [#This Row],[Account Withdrawl Amount] ], )</f>
        <v>0</v>
      </c>
      <c r="N89" s="128">
        <f>IF(Table46[[#This Row],[CODE]]=6, Table46[ [#This Row],[Account Deposit Amount] ]-Table46[ [#This Row],[Account Withdrawl Amount] ], )</f>
        <v>0</v>
      </c>
      <c r="O89" s="128">
        <f>IF(Table46[[#This Row],[CODE]]=11, Table46[ [#This Row],[Account Deposit Amount] ]-Table46[ [#This Row],[Account Withdrawl Amount] ], )</f>
        <v>0</v>
      </c>
      <c r="P89" s="128">
        <f>IF(Table46[[#This Row],[CODE]]=12, Table46[ [#This Row],[Account Deposit Amount] ]-Table46[ [#This Row],[Account Withdrawl Amount] ], )</f>
        <v>0</v>
      </c>
      <c r="Q89" s="128">
        <f>IF(Table46[[#This Row],[CODE]]=13, Table46[ [#This Row],[Account Deposit Amount] ]-Table46[ [#This Row],[Account Withdrawl Amount] ], )</f>
        <v>0</v>
      </c>
      <c r="R89" s="128">
        <f>IF(Table46[[#This Row],[CODE]]=14, Table46[ [#This Row],[Account Deposit Amount] ]-Table46[ [#This Row],[Account Withdrawl Amount] ], )</f>
        <v>0</v>
      </c>
      <c r="S89" s="128">
        <f>IF(Table46[[#This Row],[CODE]]=15, Table46[ [#This Row],[Account Deposit Amount] ]-Table46[ [#This Row],[Account Withdrawl Amount] ], )</f>
        <v>0</v>
      </c>
      <c r="T89" s="128">
        <f>IF(Table46[[#This Row],[CODE]]=16, Table46[ [#This Row],[Account Deposit Amount] ]-Table46[ [#This Row],[Account Withdrawl Amount] ], )</f>
        <v>0</v>
      </c>
      <c r="U89" s="127">
        <f>IF(Table46[[#This Row],[CODE]]=17, Table46[ [#This Row],[Account Deposit Amount] ]-Table46[ [#This Row],[Account Withdrawl Amount] ], )</f>
        <v>0</v>
      </c>
    </row>
    <row r="90" spans="1:21" ht="16.2" thickBot="1">
      <c r="A90" s="130"/>
      <c r="B90" s="133"/>
      <c r="C90" s="130"/>
      <c r="D90" s="132"/>
      <c r="E90" s="128"/>
      <c r="F90" s="128"/>
      <c r="G90" s="131">
        <f t="shared" si="4"/>
        <v>27476.099999999991</v>
      </c>
      <c r="H90" s="130"/>
      <c r="I90" s="127">
        <f>IF(Table46[[#This Row],[CODE]]=1, Table46[ [#This Row],[Account Deposit Amount] ]-Table46[ [#This Row],[Account Withdrawl Amount] ], )</f>
        <v>0</v>
      </c>
      <c r="J90" s="129">
        <f>IF(Table46[[#This Row],[CODE]]=2, Table46[ [#This Row],[Account Deposit Amount] ]-Table46[ [#This Row],[Account Withdrawl Amount] ], )</f>
        <v>0</v>
      </c>
      <c r="K90" s="129">
        <f>IF(Table46[[#This Row],[CODE]]=3, Table46[ [#This Row],[Account Deposit Amount] ]-Table46[ [#This Row],[Account Withdrawl Amount] ], )</f>
        <v>0</v>
      </c>
      <c r="L90" s="128">
        <f>IF(Table46[[#This Row],[CODE]]=4, Table46[ [#This Row],[Account Deposit Amount] ]-Table46[ [#This Row],[Account Withdrawl Amount] ], )</f>
        <v>0</v>
      </c>
      <c r="M90" s="128">
        <f>IF(Table46[[#This Row],[CODE]]=5, Table46[ [#This Row],[Account Deposit Amount] ]-Table46[ [#This Row],[Account Withdrawl Amount] ], )</f>
        <v>0</v>
      </c>
      <c r="N90" s="128">
        <f>IF(Table46[[#This Row],[CODE]]=6, Table46[ [#This Row],[Account Deposit Amount] ]-Table46[ [#This Row],[Account Withdrawl Amount] ], )</f>
        <v>0</v>
      </c>
      <c r="O90" s="128">
        <f>IF(Table46[[#This Row],[CODE]]=11, Table46[ [#This Row],[Account Deposit Amount] ]-Table46[ [#This Row],[Account Withdrawl Amount] ], )</f>
        <v>0</v>
      </c>
      <c r="P90" s="128">
        <f>IF(Table46[[#This Row],[CODE]]=12, Table46[ [#This Row],[Account Deposit Amount] ]-Table46[ [#This Row],[Account Withdrawl Amount] ], )</f>
        <v>0</v>
      </c>
      <c r="Q90" s="128">
        <f>IF(Table46[[#This Row],[CODE]]=13, Table46[ [#This Row],[Account Deposit Amount] ]-Table46[ [#This Row],[Account Withdrawl Amount] ], )</f>
        <v>0</v>
      </c>
      <c r="R90" s="128">
        <f>IF(Table46[[#This Row],[CODE]]=14, Table46[ [#This Row],[Account Deposit Amount] ]-Table46[ [#This Row],[Account Withdrawl Amount] ], )</f>
        <v>0</v>
      </c>
      <c r="S90" s="128">
        <f>IF(Table46[[#This Row],[CODE]]=15, Table46[ [#This Row],[Account Deposit Amount] ]-Table46[ [#This Row],[Account Withdrawl Amount] ], )</f>
        <v>0</v>
      </c>
      <c r="T90" s="128">
        <f>IF(Table46[[#This Row],[CODE]]=16, Table46[ [#This Row],[Account Deposit Amount] ]-Table46[ [#This Row],[Account Withdrawl Amount] ], )</f>
        <v>0</v>
      </c>
      <c r="U90" s="127">
        <f>IF(Table46[[#This Row],[CODE]]=17, Table46[ [#This Row],[Account Deposit Amount] ]-Table46[ [#This Row],[Account Withdrawl Amount] ], )</f>
        <v>0</v>
      </c>
    </row>
    <row r="91" spans="1:21" ht="16.2" thickBot="1">
      <c r="A91" s="130"/>
      <c r="B91" s="133"/>
      <c r="C91" s="130"/>
      <c r="D91" s="132"/>
      <c r="E91" s="128"/>
      <c r="F91" s="128"/>
      <c r="G91" s="131">
        <f t="shared" si="4"/>
        <v>27476.099999999991</v>
      </c>
      <c r="H91" s="130"/>
      <c r="I91" s="127">
        <f>IF(Table46[[#This Row],[CODE]]=1, Table46[ [#This Row],[Account Deposit Amount] ]-Table46[ [#This Row],[Account Withdrawl Amount] ], )</f>
        <v>0</v>
      </c>
      <c r="J91" s="129">
        <f>IF(Table46[[#This Row],[CODE]]=2, Table46[ [#This Row],[Account Deposit Amount] ]-Table46[ [#This Row],[Account Withdrawl Amount] ], )</f>
        <v>0</v>
      </c>
      <c r="K91" s="129">
        <f>IF(Table46[[#This Row],[CODE]]=3, Table46[ [#This Row],[Account Deposit Amount] ]-Table46[ [#This Row],[Account Withdrawl Amount] ], )</f>
        <v>0</v>
      </c>
      <c r="L91" s="128">
        <f>IF(Table46[[#This Row],[CODE]]=4, Table46[ [#This Row],[Account Deposit Amount] ]-Table46[ [#This Row],[Account Withdrawl Amount] ], )</f>
        <v>0</v>
      </c>
      <c r="M91" s="128">
        <f>IF(Table46[[#This Row],[CODE]]=5, Table46[ [#This Row],[Account Deposit Amount] ]-Table46[ [#This Row],[Account Withdrawl Amount] ], )</f>
        <v>0</v>
      </c>
      <c r="N91" s="128">
        <f>IF(Table46[[#This Row],[CODE]]=6, Table46[ [#This Row],[Account Deposit Amount] ]-Table46[ [#This Row],[Account Withdrawl Amount] ], )</f>
        <v>0</v>
      </c>
      <c r="O91" s="128">
        <f>IF(Table46[[#This Row],[CODE]]=11, Table46[ [#This Row],[Account Deposit Amount] ]-Table46[ [#This Row],[Account Withdrawl Amount] ], )</f>
        <v>0</v>
      </c>
      <c r="P91" s="128">
        <f>IF(Table46[[#This Row],[CODE]]=12, Table46[ [#This Row],[Account Deposit Amount] ]-Table46[ [#This Row],[Account Withdrawl Amount] ], )</f>
        <v>0</v>
      </c>
      <c r="Q91" s="128">
        <f>IF(Table46[[#This Row],[CODE]]=13, Table46[ [#This Row],[Account Deposit Amount] ]-Table46[ [#This Row],[Account Withdrawl Amount] ], )</f>
        <v>0</v>
      </c>
      <c r="R91" s="128">
        <f>IF(Table46[[#This Row],[CODE]]=14, Table46[ [#This Row],[Account Deposit Amount] ]-Table46[ [#This Row],[Account Withdrawl Amount] ], )</f>
        <v>0</v>
      </c>
      <c r="S91" s="128">
        <f>IF(Table46[[#This Row],[CODE]]=15, Table46[ [#This Row],[Account Deposit Amount] ]-Table46[ [#This Row],[Account Withdrawl Amount] ], )</f>
        <v>0</v>
      </c>
      <c r="T91" s="128">
        <f>IF(Table46[[#This Row],[CODE]]=16, Table46[ [#This Row],[Account Deposit Amount] ]-Table46[ [#This Row],[Account Withdrawl Amount] ], )</f>
        <v>0</v>
      </c>
      <c r="U91" s="127">
        <f>IF(Table46[[#This Row],[CODE]]=17, Table46[ [#This Row],[Account Deposit Amount] ]-Table46[ [#This Row],[Account Withdrawl Amount] ], )</f>
        <v>0</v>
      </c>
    </row>
    <row r="92" spans="1:21" ht="16.2" thickBot="1">
      <c r="A92" s="130"/>
      <c r="B92" s="133"/>
      <c r="C92" s="130"/>
      <c r="D92" s="132"/>
      <c r="E92" s="128"/>
      <c r="F92" s="128"/>
      <c r="G92" s="131">
        <f t="shared" si="4"/>
        <v>27476.099999999991</v>
      </c>
      <c r="H92" s="130"/>
      <c r="I92" s="127">
        <f>IF(Table46[[#This Row],[CODE]]=1, Table46[ [#This Row],[Account Deposit Amount] ]-Table46[ [#This Row],[Account Withdrawl Amount] ], )</f>
        <v>0</v>
      </c>
      <c r="J92" s="129">
        <f>IF(Table46[[#This Row],[CODE]]=2, Table46[ [#This Row],[Account Deposit Amount] ]-Table46[ [#This Row],[Account Withdrawl Amount] ], )</f>
        <v>0</v>
      </c>
      <c r="K92" s="129">
        <f>IF(Table46[[#This Row],[CODE]]=3, Table46[ [#This Row],[Account Deposit Amount] ]-Table46[ [#This Row],[Account Withdrawl Amount] ], )</f>
        <v>0</v>
      </c>
      <c r="L92" s="128">
        <f>IF(Table46[[#This Row],[CODE]]=4, Table46[ [#This Row],[Account Deposit Amount] ]-Table46[ [#This Row],[Account Withdrawl Amount] ], )</f>
        <v>0</v>
      </c>
      <c r="M92" s="128">
        <f>IF(Table46[[#This Row],[CODE]]=5, Table46[ [#This Row],[Account Deposit Amount] ]-Table46[ [#This Row],[Account Withdrawl Amount] ], )</f>
        <v>0</v>
      </c>
      <c r="N92" s="128">
        <f>IF(Table46[[#This Row],[CODE]]=6, Table46[ [#This Row],[Account Deposit Amount] ]-Table46[ [#This Row],[Account Withdrawl Amount] ], )</f>
        <v>0</v>
      </c>
      <c r="O92" s="128">
        <f>IF(Table46[[#This Row],[CODE]]=11, Table46[ [#This Row],[Account Deposit Amount] ]-Table46[ [#This Row],[Account Withdrawl Amount] ], )</f>
        <v>0</v>
      </c>
      <c r="P92" s="128">
        <f>IF(Table46[[#This Row],[CODE]]=12, Table46[ [#This Row],[Account Deposit Amount] ]-Table46[ [#This Row],[Account Withdrawl Amount] ], )</f>
        <v>0</v>
      </c>
      <c r="Q92" s="128">
        <f>IF(Table46[[#This Row],[CODE]]=13, Table46[ [#This Row],[Account Deposit Amount] ]-Table46[ [#This Row],[Account Withdrawl Amount] ], )</f>
        <v>0</v>
      </c>
      <c r="R92" s="128">
        <f>IF(Table46[[#This Row],[CODE]]=14, Table46[ [#This Row],[Account Deposit Amount] ]-Table46[ [#This Row],[Account Withdrawl Amount] ], )</f>
        <v>0</v>
      </c>
      <c r="S92" s="128">
        <f>IF(Table46[[#This Row],[CODE]]=15, Table46[ [#This Row],[Account Deposit Amount] ]-Table46[ [#This Row],[Account Withdrawl Amount] ], )</f>
        <v>0</v>
      </c>
      <c r="T92" s="128">
        <f>IF(Table46[[#This Row],[CODE]]=16, Table46[ [#This Row],[Account Deposit Amount] ]-Table46[ [#This Row],[Account Withdrawl Amount] ], )</f>
        <v>0</v>
      </c>
      <c r="U92" s="127">
        <f>IF(Table46[[#This Row],[CODE]]=17, Table46[ [#This Row],[Account Deposit Amount] ]-Table46[ [#This Row],[Account Withdrawl Amount] ], )</f>
        <v>0</v>
      </c>
    </row>
    <row r="93" spans="1:21" ht="16.2" thickBot="1">
      <c r="A93" s="130"/>
      <c r="B93" s="133"/>
      <c r="C93" s="130"/>
      <c r="D93" s="132"/>
      <c r="E93" s="128"/>
      <c r="F93" s="128"/>
      <c r="G93" s="131">
        <f t="shared" si="4"/>
        <v>27476.099999999991</v>
      </c>
      <c r="H93" s="130"/>
      <c r="I93" s="127">
        <f>IF(Table46[[#This Row],[CODE]]=1, Table46[ [#This Row],[Account Deposit Amount] ]-Table46[ [#This Row],[Account Withdrawl Amount] ], )</f>
        <v>0</v>
      </c>
      <c r="J93" s="129">
        <f>IF(Table46[[#This Row],[CODE]]=2, Table46[ [#This Row],[Account Deposit Amount] ]-Table46[ [#This Row],[Account Withdrawl Amount] ], )</f>
        <v>0</v>
      </c>
      <c r="K93" s="129">
        <f>IF(Table46[[#This Row],[CODE]]=3, Table46[ [#This Row],[Account Deposit Amount] ]-Table46[ [#This Row],[Account Withdrawl Amount] ], )</f>
        <v>0</v>
      </c>
      <c r="L93" s="128">
        <f>IF(Table46[[#This Row],[CODE]]=4, Table46[ [#This Row],[Account Deposit Amount] ]-Table46[ [#This Row],[Account Withdrawl Amount] ], )</f>
        <v>0</v>
      </c>
      <c r="M93" s="128">
        <f>IF(Table46[[#This Row],[CODE]]=5, Table46[ [#This Row],[Account Deposit Amount] ]-Table46[ [#This Row],[Account Withdrawl Amount] ], )</f>
        <v>0</v>
      </c>
      <c r="N93" s="128">
        <f>IF(Table46[[#This Row],[CODE]]=6, Table46[ [#This Row],[Account Deposit Amount] ]-Table46[ [#This Row],[Account Withdrawl Amount] ], )</f>
        <v>0</v>
      </c>
      <c r="O93" s="128">
        <f>IF(Table46[[#This Row],[CODE]]=11, Table46[ [#This Row],[Account Deposit Amount] ]-Table46[ [#This Row],[Account Withdrawl Amount] ], )</f>
        <v>0</v>
      </c>
      <c r="P93" s="128">
        <f>IF(Table46[[#This Row],[CODE]]=12, Table46[ [#This Row],[Account Deposit Amount] ]-Table46[ [#This Row],[Account Withdrawl Amount] ], )</f>
        <v>0</v>
      </c>
      <c r="Q93" s="128">
        <f>IF(Table46[[#This Row],[CODE]]=13, Table46[ [#This Row],[Account Deposit Amount] ]-Table46[ [#This Row],[Account Withdrawl Amount] ], )</f>
        <v>0</v>
      </c>
      <c r="R93" s="128">
        <f>IF(Table46[[#This Row],[CODE]]=14, Table46[ [#This Row],[Account Deposit Amount] ]-Table46[ [#This Row],[Account Withdrawl Amount] ], )</f>
        <v>0</v>
      </c>
      <c r="S93" s="128">
        <f>IF(Table46[[#This Row],[CODE]]=15, Table46[ [#This Row],[Account Deposit Amount] ]-Table46[ [#This Row],[Account Withdrawl Amount] ], )</f>
        <v>0</v>
      </c>
      <c r="T93" s="128">
        <f>IF(Table46[[#This Row],[CODE]]=16, Table46[ [#This Row],[Account Deposit Amount] ]-Table46[ [#This Row],[Account Withdrawl Amount] ], )</f>
        <v>0</v>
      </c>
      <c r="U93" s="127">
        <f>IF(Table46[[#This Row],[CODE]]=17, Table46[ [#This Row],[Account Deposit Amount] ]-Table46[ [#This Row],[Account Withdrawl Amount] ], )</f>
        <v>0</v>
      </c>
    </row>
    <row r="94" spans="1:21" ht="16.2" thickBot="1">
      <c r="A94" s="130"/>
      <c r="B94" s="133"/>
      <c r="C94" s="130"/>
      <c r="D94" s="132"/>
      <c r="E94" s="128"/>
      <c r="F94" s="128"/>
      <c r="G94" s="131">
        <f t="shared" si="4"/>
        <v>27476.099999999991</v>
      </c>
      <c r="H94" s="130"/>
      <c r="I94" s="127">
        <f>IF(Table46[[#This Row],[CODE]]=1, Table46[ [#This Row],[Account Deposit Amount] ]-Table46[ [#This Row],[Account Withdrawl Amount] ], )</f>
        <v>0</v>
      </c>
      <c r="J94" s="129">
        <f>IF(Table46[[#This Row],[CODE]]=2, Table46[ [#This Row],[Account Deposit Amount] ]-Table46[ [#This Row],[Account Withdrawl Amount] ], )</f>
        <v>0</v>
      </c>
      <c r="K94" s="129">
        <f>IF(Table46[[#This Row],[CODE]]=3, Table46[ [#This Row],[Account Deposit Amount] ]-Table46[ [#This Row],[Account Withdrawl Amount] ], )</f>
        <v>0</v>
      </c>
      <c r="L94" s="128">
        <f>IF(Table46[[#This Row],[CODE]]=4, Table46[ [#This Row],[Account Deposit Amount] ]-Table46[ [#This Row],[Account Withdrawl Amount] ], )</f>
        <v>0</v>
      </c>
      <c r="M94" s="128">
        <f>IF(Table46[[#This Row],[CODE]]=5, Table46[ [#This Row],[Account Deposit Amount] ]-Table46[ [#This Row],[Account Withdrawl Amount] ], )</f>
        <v>0</v>
      </c>
      <c r="N94" s="128">
        <f>IF(Table46[[#This Row],[CODE]]=6, Table46[ [#This Row],[Account Deposit Amount] ]-Table46[ [#This Row],[Account Withdrawl Amount] ], )</f>
        <v>0</v>
      </c>
      <c r="O94" s="128">
        <f>IF(Table46[[#This Row],[CODE]]=11, Table46[ [#This Row],[Account Deposit Amount] ]-Table46[ [#This Row],[Account Withdrawl Amount] ], )</f>
        <v>0</v>
      </c>
      <c r="P94" s="128">
        <f>IF(Table46[[#This Row],[CODE]]=12, Table46[ [#This Row],[Account Deposit Amount] ]-Table46[ [#This Row],[Account Withdrawl Amount] ], )</f>
        <v>0</v>
      </c>
      <c r="Q94" s="128">
        <f>IF(Table46[[#This Row],[CODE]]=13, Table46[ [#This Row],[Account Deposit Amount] ]-Table46[ [#This Row],[Account Withdrawl Amount] ], )</f>
        <v>0</v>
      </c>
      <c r="R94" s="128">
        <f>IF(Table46[[#This Row],[CODE]]=14, Table46[ [#This Row],[Account Deposit Amount] ]-Table46[ [#This Row],[Account Withdrawl Amount] ], )</f>
        <v>0</v>
      </c>
      <c r="S94" s="128">
        <f>IF(Table46[[#This Row],[CODE]]=15, Table46[ [#This Row],[Account Deposit Amount] ]-Table46[ [#This Row],[Account Withdrawl Amount] ], )</f>
        <v>0</v>
      </c>
      <c r="T94" s="128">
        <f>IF(Table46[[#This Row],[CODE]]=16, Table46[ [#This Row],[Account Deposit Amount] ]-Table46[ [#This Row],[Account Withdrawl Amount] ], )</f>
        <v>0</v>
      </c>
      <c r="U94" s="127">
        <f>IF(Table46[[#This Row],[CODE]]=17, Table46[ [#This Row],[Account Deposit Amount] ]-Table46[ [#This Row],[Account Withdrawl Amount] ], )</f>
        <v>0</v>
      </c>
    </row>
    <row r="95" spans="1:21" ht="16.2" thickBot="1">
      <c r="A95" s="130"/>
      <c r="B95" s="133"/>
      <c r="C95" s="130"/>
      <c r="D95" s="132"/>
      <c r="E95" s="128"/>
      <c r="F95" s="128"/>
      <c r="G95" s="131">
        <f t="shared" si="4"/>
        <v>27476.099999999991</v>
      </c>
      <c r="H95" s="130"/>
      <c r="I95" s="127">
        <f>IF(Table46[[#This Row],[CODE]]=1, Table46[ [#This Row],[Account Deposit Amount] ]-Table46[ [#This Row],[Account Withdrawl Amount] ], )</f>
        <v>0</v>
      </c>
      <c r="J95" s="129">
        <f>IF(Table46[[#This Row],[CODE]]=2, Table46[ [#This Row],[Account Deposit Amount] ]-Table46[ [#This Row],[Account Withdrawl Amount] ], )</f>
        <v>0</v>
      </c>
      <c r="K95" s="129">
        <f>IF(Table46[[#This Row],[CODE]]=3, Table46[ [#This Row],[Account Deposit Amount] ]-Table46[ [#This Row],[Account Withdrawl Amount] ], )</f>
        <v>0</v>
      </c>
      <c r="L95" s="128">
        <f>IF(Table46[[#This Row],[CODE]]=4, Table46[ [#This Row],[Account Deposit Amount] ]-Table46[ [#This Row],[Account Withdrawl Amount] ], )</f>
        <v>0</v>
      </c>
      <c r="M95" s="128">
        <f>IF(Table46[[#This Row],[CODE]]=5, Table46[ [#This Row],[Account Deposit Amount] ]-Table46[ [#This Row],[Account Withdrawl Amount] ], )</f>
        <v>0</v>
      </c>
      <c r="N95" s="128">
        <f>IF(Table46[[#This Row],[CODE]]=6, Table46[ [#This Row],[Account Deposit Amount] ]-Table46[ [#This Row],[Account Withdrawl Amount] ], )</f>
        <v>0</v>
      </c>
      <c r="O95" s="128">
        <f>IF(Table46[[#This Row],[CODE]]=11, Table46[ [#This Row],[Account Deposit Amount] ]-Table46[ [#This Row],[Account Withdrawl Amount] ], )</f>
        <v>0</v>
      </c>
      <c r="P95" s="128">
        <f>IF(Table46[[#This Row],[CODE]]=12, Table46[ [#This Row],[Account Deposit Amount] ]-Table46[ [#This Row],[Account Withdrawl Amount] ], )</f>
        <v>0</v>
      </c>
      <c r="Q95" s="128">
        <f>IF(Table46[[#This Row],[CODE]]=13, Table46[ [#This Row],[Account Deposit Amount] ]-Table46[ [#This Row],[Account Withdrawl Amount] ], )</f>
        <v>0</v>
      </c>
      <c r="R95" s="128">
        <f>IF(Table46[[#This Row],[CODE]]=14, Table46[ [#This Row],[Account Deposit Amount] ]-Table46[ [#This Row],[Account Withdrawl Amount] ], )</f>
        <v>0</v>
      </c>
      <c r="S95" s="128">
        <f>IF(Table46[[#This Row],[CODE]]=15, Table46[ [#This Row],[Account Deposit Amount] ]-Table46[ [#This Row],[Account Withdrawl Amount] ], )</f>
        <v>0</v>
      </c>
      <c r="T95" s="128">
        <f>IF(Table46[[#This Row],[CODE]]=16, Table46[ [#This Row],[Account Deposit Amount] ]-Table46[ [#This Row],[Account Withdrawl Amount] ], )</f>
        <v>0</v>
      </c>
      <c r="U95" s="127">
        <f>IF(Table46[[#This Row],[CODE]]=17, Table46[ [#This Row],[Account Deposit Amount] ]-Table46[ [#This Row],[Account Withdrawl Amount] ], )</f>
        <v>0</v>
      </c>
    </row>
    <row r="96" spans="1:21" ht="16.2" thickBot="1">
      <c r="A96" s="130"/>
      <c r="B96" s="133"/>
      <c r="C96" s="130"/>
      <c r="D96" s="132"/>
      <c r="E96" s="128"/>
      <c r="F96" s="128"/>
      <c r="G96" s="131">
        <f t="shared" si="4"/>
        <v>27476.099999999991</v>
      </c>
      <c r="H96" s="130"/>
      <c r="I96" s="127">
        <f>IF(Table46[[#This Row],[CODE]]=1, Table46[ [#This Row],[Account Deposit Amount] ]-Table46[ [#This Row],[Account Withdrawl Amount] ], )</f>
        <v>0</v>
      </c>
      <c r="J96" s="129">
        <f>IF(Table46[[#This Row],[CODE]]=2, Table46[ [#This Row],[Account Deposit Amount] ]-Table46[ [#This Row],[Account Withdrawl Amount] ], )</f>
        <v>0</v>
      </c>
      <c r="K96" s="129">
        <f>IF(Table46[[#This Row],[CODE]]=3, Table46[ [#This Row],[Account Deposit Amount] ]-Table46[ [#This Row],[Account Withdrawl Amount] ], )</f>
        <v>0</v>
      </c>
      <c r="L96" s="128">
        <f>IF(Table46[[#This Row],[CODE]]=4, Table46[ [#This Row],[Account Deposit Amount] ]-Table46[ [#This Row],[Account Withdrawl Amount] ], )</f>
        <v>0</v>
      </c>
      <c r="M96" s="128">
        <f>IF(Table46[[#This Row],[CODE]]=5, Table46[ [#This Row],[Account Deposit Amount] ]-Table46[ [#This Row],[Account Withdrawl Amount] ], )</f>
        <v>0</v>
      </c>
      <c r="N96" s="128">
        <f>IF(Table46[[#This Row],[CODE]]=6, Table46[ [#This Row],[Account Deposit Amount] ]-Table46[ [#This Row],[Account Withdrawl Amount] ], )</f>
        <v>0</v>
      </c>
      <c r="O96" s="128">
        <f>IF(Table46[[#This Row],[CODE]]=11, Table46[ [#This Row],[Account Deposit Amount] ]-Table46[ [#This Row],[Account Withdrawl Amount] ], )</f>
        <v>0</v>
      </c>
      <c r="P96" s="128">
        <f>IF(Table46[[#This Row],[CODE]]=12, Table46[ [#This Row],[Account Deposit Amount] ]-Table46[ [#This Row],[Account Withdrawl Amount] ], )</f>
        <v>0</v>
      </c>
      <c r="Q96" s="128">
        <f>IF(Table46[[#This Row],[CODE]]=13, Table46[ [#This Row],[Account Deposit Amount] ]-Table46[ [#This Row],[Account Withdrawl Amount] ], )</f>
        <v>0</v>
      </c>
      <c r="R96" s="128">
        <f>IF(Table46[[#This Row],[CODE]]=14, Table46[ [#This Row],[Account Deposit Amount] ]-Table46[ [#This Row],[Account Withdrawl Amount] ], )</f>
        <v>0</v>
      </c>
      <c r="S96" s="128">
        <f>IF(Table46[[#This Row],[CODE]]=15, Table46[ [#This Row],[Account Deposit Amount] ]-Table46[ [#This Row],[Account Withdrawl Amount] ], )</f>
        <v>0</v>
      </c>
      <c r="T96" s="128">
        <f>IF(Table46[[#This Row],[CODE]]=16, Table46[ [#This Row],[Account Deposit Amount] ]-Table46[ [#This Row],[Account Withdrawl Amount] ], )</f>
        <v>0</v>
      </c>
      <c r="U96" s="127">
        <f>IF(Table46[[#This Row],[CODE]]=17, Table46[ [#This Row],[Account Deposit Amount] ]-Table46[ [#This Row],[Account Withdrawl Amount] ], )</f>
        <v>0</v>
      </c>
    </row>
    <row r="97" spans="1:21" ht="16.2" thickBot="1">
      <c r="A97" s="130"/>
      <c r="B97" s="133"/>
      <c r="C97" s="130"/>
      <c r="D97" s="132"/>
      <c r="E97" s="128"/>
      <c r="F97" s="128"/>
      <c r="G97" s="131">
        <f t="shared" si="4"/>
        <v>27476.099999999991</v>
      </c>
      <c r="H97" s="130"/>
      <c r="I97" s="127">
        <f>IF(Table46[[#This Row],[CODE]]=1, Table46[ [#This Row],[Account Deposit Amount] ]-Table46[ [#This Row],[Account Withdrawl Amount] ], )</f>
        <v>0</v>
      </c>
      <c r="J97" s="129">
        <f>IF(Table46[[#This Row],[CODE]]=2, Table46[ [#This Row],[Account Deposit Amount] ]-Table46[ [#This Row],[Account Withdrawl Amount] ], )</f>
        <v>0</v>
      </c>
      <c r="K97" s="129">
        <f>IF(Table46[[#This Row],[CODE]]=3, Table46[ [#This Row],[Account Deposit Amount] ]-Table46[ [#This Row],[Account Withdrawl Amount] ], )</f>
        <v>0</v>
      </c>
      <c r="L97" s="128">
        <f>IF(Table46[[#This Row],[CODE]]=4, Table46[ [#This Row],[Account Deposit Amount] ]-Table46[ [#This Row],[Account Withdrawl Amount] ], )</f>
        <v>0</v>
      </c>
      <c r="M97" s="128">
        <f>IF(Table46[[#This Row],[CODE]]=5, Table46[ [#This Row],[Account Deposit Amount] ]-Table46[ [#This Row],[Account Withdrawl Amount] ], )</f>
        <v>0</v>
      </c>
      <c r="N97" s="128">
        <f>IF(Table46[[#This Row],[CODE]]=6, Table46[ [#This Row],[Account Deposit Amount] ]-Table46[ [#This Row],[Account Withdrawl Amount] ], )</f>
        <v>0</v>
      </c>
      <c r="O97" s="128">
        <f>IF(Table46[[#This Row],[CODE]]=11, Table46[ [#This Row],[Account Deposit Amount] ]-Table46[ [#This Row],[Account Withdrawl Amount] ], )</f>
        <v>0</v>
      </c>
      <c r="P97" s="128">
        <f>IF(Table46[[#This Row],[CODE]]=12, Table46[ [#This Row],[Account Deposit Amount] ]-Table46[ [#This Row],[Account Withdrawl Amount] ], )</f>
        <v>0</v>
      </c>
      <c r="Q97" s="128">
        <f>IF(Table46[[#This Row],[CODE]]=13, Table46[ [#This Row],[Account Deposit Amount] ]-Table46[ [#This Row],[Account Withdrawl Amount] ], )</f>
        <v>0</v>
      </c>
      <c r="R97" s="128">
        <f>IF(Table46[[#This Row],[CODE]]=14, Table46[ [#This Row],[Account Deposit Amount] ]-Table46[ [#This Row],[Account Withdrawl Amount] ], )</f>
        <v>0</v>
      </c>
      <c r="S97" s="128">
        <f>IF(Table46[[#This Row],[CODE]]=15, Table46[ [#This Row],[Account Deposit Amount] ]-Table46[ [#This Row],[Account Withdrawl Amount] ], )</f>
        <v>0</v>
      </c>
      <c r="T97" s="128">
        <f>IF(Table46[[#This Row],[CODE]]=16, Table46[ [#This Row],[Account Deposit Amount] ]-Table46[ [#This Row],[Account Withdrawl Amount] ], )</f>
        <v>0</v>
      </c>
      <c r="U97" s="127">
        <f>IF(Table46[[#This Row],[CODE]]=17, Table46[ [#This Row],[Account Deposit Amount] ]-Table46[ [#This Row],[Account Withdrawl Amount] ], )</f>
        <v>0</v>
      </c>
    </row>
    <row r="98" spans="1:21" ht="16.2" thickBot="1">
      <c r="A98" s="130"/>
      <c r="B98" s="133"/>
      <c r="C98" s="130"/>
      <c r="D98" s="132"/>
      <c r="E98" s="128"/>
      <c r="F98" s="128"/>
      <c r="G98" s="131">
        <f t="shared" si="4"/>
        <v>27476.099999999991</v>
      </c>
      <c r="H98" s="130"/>
      <c r="I98" s="127">
        <f>IF(Table46[[#This Row],[CODE]]=1, Table46[ [#This Row],[Account Deposit Amount] ]-Table46[ [#This Row],[Account Withdrawl Amount] ], )</f>
        <v>0</v>
      </c>
      <c r="J98" s="129">
        <f>IF(Table46[[#This Row],[CODE]]=2, Table46[ [#This Row],[Account Deposit Amount] ]-Table46[ [#This Row],[Account Withdrawl Amount] ], )</f>
        <v>0</v>
      </c>
      <c r="K98" s="129">
        <f>IF(Table46[[#This Row],[CODE]]=3, Table46[ [#This Row],[Account Deposit Amount] ]-Table46[ [#This Row],[Account Withdrawl Amount] ], )</f>
        <v>0</v>
      </c>
      <c r="L98" s="128">
        <f>IF(Table46[[#This Row],[CODE]]=4, Table46[ [#This Row],[Account Deposit Amount] ]-Table46[ [#This Row],[Account Withdrawl Amount] ], )</f>
        <v>0</v>
      </c>
      <c r="M98" s="128">
        <f>IF(Table46[[#This Row],[CODE]]=5, Table46[ [#This Row],[Account Deposit Amount] ]-Table46[ [#This Row],[Account Withdrawl Amount] ], )</f>
        <v>0</v>
      </c>
      <c r="N98" s="128">
        <f>IF(Table46[[#This Row],[CODE]]=6, Table46[ [#This Row],[Account Deposit Amount] ]-Table46[ [#This Row],[Account Withdrawl Amount] ], )</f>
        <v>0</v>
      </c>
      <c r="O98" s="128">
        <f>IF(Table46[[#This Row],[CODE]]=11, Table46[ [#This Row],[Account Deposit Amount] ]-Table46[ [#This Row],[Account Withdrawl Amount] ], )</f>
        <v>0</v>
      </c>
      <c r="P98" s="128">
        <f>IF(Table46[[#This Row],[CODE]]=12, Table46[ [#This Row],[Account Deposit Amount] ]-Table46[ [#This Row],[Account Withdrawl Amount] ], )</f>
        <v>0</v>
      </c>
      <c r="Q98" s="128">
        <f>IF(Table46[[#This Row],[CODE]]=13, Table46[ [#This Row],[Account Deposit Amount] ]-Table46[ [#This Row],[Account Withdrawl Amount] ], )</f>
        <v>0</v>
      </c>
      <c r="R98" s="128">
        <f>IF(Table46[[#This Row],[CODE]]=14, Table46[ [#This Row],[Account Deposit Amount] ]-Table46[ [#This Row],[Account Withdrawl Amount] ], )</f>
        <v>0</v>
      </c>
      <c r="S98" s="128">
        <f>IF(Table46[[#This Row],[CODE]]=15, Table46[ [#This Row],[Account Deposit Amount] ]-Table46[ [#This Row],[Account Withdrawl Amount] ], )</f>
        <v>0</v>
      </c>
      <c r="T98" s="128">
        <f>IF(Table46[[#This Row],[CODE]]=16, Table46[ [#This Row],[Account Deposit Amount] ]-Table46[ [#This Row],[Account Withdrawl Amount] ], )</f>
        <v>0</v>
      </c>
      <c r="U98" s="127">
        <f>IF(Table46[[#This Row],[CODE]]=17, Table46[ [#This Row],[Account Deposit Amount] ]-Table46[ [#This Row],[Account Withdrawl Amount] ], )</f>
        <v>0</v>
      </c>
    </row>
    <row r="99" spans="1:21" ht="16.2" thickBot="1">
      <c r="A99" s="130"/>
      <c r="B99" s="133"/>
      <c r="C99" s="130"/>
      <c r="D99" s="132"/>
      <c r="E99" s="128"/>
      <c r="F99" s="128"/>
      <c r="G99" s="131">
        <f t="shared" si="4"/>
        <v>27476.099999999991</v>
      </c>
      <c r="H99" s="130"/>
      <c r="I99" s="127">
        <f>IF(Table46[[#This Row],[CODE]]=1, Table46[ [#This Row],[Account Deposit Amount] ]-Table46[ [#This Row],[Account Withdrawl Amount] ], )</f>
        <v>0</v>
      </c>
      <c r="J99" s="129">
        <f>IF(Table46[[#This Row],[CODE]]=2, Table46[ [#This Row],[Account Deposit Amount] ]-Table46[ [#This Row],[Account Withdrawl Amount] ], )</f>
        <v>0</v>
      </c>
      <c r="K99" s="129">
        <f>IF(Table46[[#This Row],[CODE]]=3, Table46[ [#This Row],[Account Deposit Amount] ]-Table46[ [#This Row],[Account Withdrawl Amount] ], )</f>
        <v>0</v>
      </c>
      <c r="L99" s="128">
        <f>IF(Table46[[#This Row],[CODE]]=4, Table46[ [#This Row],[Account Deposit Amount] ]-Table46[ [#This Row],[Account Withdrawl Amount] ], )</f>
        <v>0</v>
      </c>
      <c r="M99" s="128">
        <f>IF(Table46[[#This Row],[CODE]]=5, Table46[ [#This Row],[Account Deposit Amount] ]-Table46[ [#This Row],[Account Withdrawl Amount] ], )</f>
        <v>0</v>
      </c>
      <c r="N99" s="128">
        <f>IF(Table46[[#This Row],[CODE]]=6, Table46[ [#This Row],[Account Deposit Amount] ]-Table46[ [#This Row],[Account Withdrawl Amount] ], )</f>
        <v>0</v>
      </c>
      <c r="O99" s="128">
        <f>IF(Table46[[#This Row],[CODE]]=11, Table46[ [#This Row],[Account Deposit Amount] ]-Table46[ [#This Row],[Account Withdrawl Amount] ], )</f>
        <v>0</v>
      </c>
      <c r="P99" s="128">
        <f>IF(Table46[[#This Row],[CODE]]=12, Table46[ [#This Row],[Account Deposit Amount] ]-Table46[ [#This Row],[Account Withdrawl Amount] ], )</f>
        <v>0</v>
      </c>
      <c r="Q99" s="128">
        <f>IF(Table46[[#This Row],[CODE]]=13, Table46[ [#This Row],[Account Deposit Amount] ]-Table46[ [#This Row],[Account Withdrawl Amount] ], )</f>
        <v>0</v>
      </c>
      <c r="R99" s="128">
        <f>IF(Table46[[#This Row],[CODE]]=14, Table46[ [#This Row],[Account Deposit Amount] ]-Table46[ [#This Row],[Account Withdrawl Amount] ], )</f>
        <v>0</v>
      </c>
      <c r="S99" s="128">
        <f>IF(Table46[[#This Row],[CODE]]=15, Table46[ [#This Row],[Account Deposit Amount] ]-Table46[ [#This Row],[Account Withdrawl Amount] ], )</f>
        <v>0</v>
      </c>
      <c r="T99" s="128">
        <f>IF(Table46[[#This Row],[CODE]]=16, Table46[ [#This Row],[Account Deposit Amount] ]-Table46[ [#This Row],[Account Withdrawl Amount] ], )</f>
        <v>0</v>
      </c>
      <c r="U99" s="127">
        <f>IF(Table46[[#This Row],[CODE]]=17, Table46[ [#This Row],[Account Deposit Amount] ]-Table46[ [#This Row],[Account Withdrawl Amount] ], )</f>
        <v>0</v>
      </c>
    </row>
    <row r="100" spans="1:21" ht="16.2" thickBot="1">
      <c r="A100" s="130"/>
      <c r="B100" s="133"/>
      <c r="C100" s="130"/>
      <c r="D100" s="132"/>
      <c r="E100" s="128"/>
      <c r="F100" s="128"/>
      <c r="G100" s="131">
        <f t="shared" si="4"/>
        <v>27476.099999999991</v>
      </c>
      <c r="H100" s="130"/>
      <c r="I100" s="127">
        <f>IF(Table46[[#This Row],[CODE]]=1, Table46[ [#This Row],[Account Deposit Amount] ]-Table46[ [#This Row],[Account Withdrawl Amount] ], )</f>
        <v>0</v>
      </c>
      <c r="J100" s="129">
        <f>IF(Table46[[#This Row],[CODE]]=2, Table46[ [#This Row],[Account Deposit Amount] ]-Table46[ [#This Row],[Account Withdrawl Amount] ], )</f>
        <v>0</v>
      </c>
      <c r="K100" s="129">
        <f>IF(Table46[[#This Row],[CODE]]=3, Table46[ [#This Row],[Account Deposit Amount] ]-Table46[ [#This Row],[Account Withdrawl Amount] ], )</f>
        <v>0</v>
      </c>
      <c r="L100" s="128">
        <f>IF(Table46[[#This Row],[CODE]]=4, Table46[ [#This Row],[Account Deposit Amount] ]-Table46[ [#This Row],[Account Withdrawl Amount] ], )</f>
        <v>0</v>
      </c>
      <c r="M100" s="128">
        <f>IF(Table46[[#This Row],[CODE]]=5, Table46[ [#This Row],[Account Deposit Amount] ]-Table46[ [#This Row],[Account Withdrawl Amount] ], )</f>
        <v>0</v>
      </c>
      <c r="N100" s="128">
        <f>IF(Table46[[#This Row],[CODE]]=6, Table46[ [#This Row],[Account Deposit Amount] ]-Table46[ [#This Row],[Account Withdrawl Amount] ], )</f>
        <v>0</v>
      </c>
      <c r="O100" s="128">
        <f>IF(Table46[[#This Row],[CODE]]=11, Table46[ [#This Row],[Account Deposit Amount] ]-Table46[ [#This Row],[Account Withdrawl Amount] ], )</f>
        <v>0</v>
      </c>
      <c r="P100" s="128">
        <f>IF(Table46[[#This Row],[CODE]]=12, Table46[ [#This Row],[Account Deposit Amount] ]-Table46[ [#This Row],[Account Withdrawl Amount] ], )</f>
        <v>0</v>
      </c>
      <c r="Q100" s="128">
        <f>IF(Table46[[#This Row],[CODE]]=13, Table46[ [#This Row],[Account Deposit Amount] ]-Table46[ [#This Row],[Account Withdrawl Amount] ], )</f>
        <v>0</v>
      </c>
      <c r="R100" s="128">
        <f>IF(Table46[[#This Row],[CODE]]=14, Table46[ [#This Row],[Account Deposit Amount] ]-Table46[ [#This Row],[Account Withdrawl Amount] ], )</f>
        <v>0</v>
      </c>
      <c r="S100" s="128">
        <f>IF(Table46[[#This Row],[CODE]]=15, Table46[ [#This Row],[Account Deposit Amount] ]-Table46[ [#This Row],[Account Withdrawl Amount] ], )</f>
        <v>0</v>
      </c>
      <c r="T100" s="128">
        <f>IF(Table46[[#This Row],[CODE]]=16, Table46[ [#This Row],[Account Deposit Amount] ]-Table46[ [#This Row],[Account Withdrawl Amount] ], )</f>
        <v>0</v>
      </c>
      <c r="U100" s="127">
        <f>IF(Table46[[#This Row],[CODE]]=17, Table46[ [#This Row],[Account Deposit Amount] ]-Table46[ [#This Row],[Account Withdrawl Amount] ], )</f>
        <v>0</v>
      </c>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5B37-2A9E-43D6-9C27-2E0164E09F95}">
  <dimension ref="A1:AA100"/>
  <sheetViews>
    <sheetView topLeftCell="I1" zoomScale="85" zoomScaleNormal="85" workbookViewId="0">
      <selection activeCell="G4" sqref="G4"/>
    </sheetView>
  </sheetViews>
  <sheetFormatPr defaultColWidth="12.44140625" defaultRowHeight="15.6"/>
  <cols>
    <col min="1" max="16384" width="12.44140625" style="126"/>
  </cols>
  <sheetData>
    <row r="1" spans="1:27" s="4" customFormat="1" ht="15.75" customHeight="1" thickBot="1">
      <c r="A1" s="16"/>
      <c r="B1" s="2"/>
      <c r="C1" s="1"/>
      <c r="D1" s="1"/>
      <c r="E1" s="29"/>
      <c r="F1" s="30"/>
      <c r="G1" s="3" t="s">
        <v>180</v>
      </c>
      <c r="H1" s="3"/>
      <c r="I1" s="338" t="s">
        <v>49</v>
      </c>
      <c r="J1" s="339"/>
      <c r="K1" s="339"/>
      <c r="L1" s="339"/>
      <c r="M1" s="340">
        <f>SUM(I2:N2)</f>
        <v>47808</v>
      </c>
      <c r="N1" s="340"/>
      <c r="O1" s="344" t="s">
        <v>50</v>
      </c>
      <c r="P1" s="344"/>
      <c r="Q1" s="344"/>
      <c r="R1" s="344"/>
      <c r="S1" s="344"/>
      <c r="T1" s="344"/>
      <c r="U1" s="342">
        <f>SUM(O2:V2)</f>
        <v>-210.6</v>
      </c>
      <c r="V1" s="343"/>
      <c r="W1" s="1"/>
      <c r="X1" s="1"/>
      <c r="Y1" s="1"/>
      <c r="Z1" s="1"/>
      <c r="AA1" s="1"/>
    </row>
    <row r="2" spans="1:27" s="4" customFormat="1" ht="12.6" thickBot="1">
      <c r="A2" s="1"/>
      <c r="B2" s="2"/>
      <c r="C2" s="1"/>
      <c r="D2" s="1" t="s">
        <v>51</v>
      </c>
      <c r="E2" s="5">
        <f>SUM(E4:E1173)</f>
        <v>52653.24</v>
      </c>
      <c r="F2" s="5">
        <f>SUM(F4:F1173)</f>
        <v>5055.84</v>
      </c>
      <c r="G2" s="6">
        <f>G4+E2-F2</f>
        <v>75073.5</v>
      </c>
      <c r="H2" s="81"/>
      <c r="I2" s="7">
        <f t="shared" ref="I2:T2" si="0">SUM(I4:I1173)</f>
        <v>0</v>
      </c>
      <c r="J2" s="8">
        <f t="shared" si="0"/>
        <v>47577.21</v>
      </c>
      <c r="K2" s="8">
        <f t="shared" si="0"/>
        <v>0</v>
      </c>
      <c r="L2" s="7">
        <f t="shared" si="0"/>
        <v>239</v>
      </c>
      <c r="M2" s="7">
        <f t="shared" si="0"/>
        <v>0</v>
      </c>
      <c r="N2" s="7">
        <f t="shared" si="0"/>
        <v>-8.2100000000000009</v>
      </c>
      <c r="O2" s="9">
        <f t="shared" si="0"/>
        <v>0</v>
      </c>
      <c r="P2" s="9">
        <f t="shared" si="0"/>
        <v>0</v>
      </c>
      <c r="Q2" s="9">
        <f t="shared" si="0"/>
        <v>-210.6</v>
      </c>
      <c r="R2" s="9">
        <f t="shared" si="0"/>
        <v>0</v>
      </c>
      <c r="S2" s="9">
        <f t="shared" si="0"/>
        <v>0</v>
      </c>
      <c r="T2" s="9">
        <f t="shared" si="0"/>
        <v>0</v>
      </c>
      <c r="U2" s="9">
        <f t="shared" ref="U2:V2" si="1">SUM(U4:U1006)</f>
        <v>0</v>
      </c>
      <c r="V2" s="9">
        <f t="shared" si="1"/>
        <v>0</v>
      </c>
      <c r="W2" s="1"/>
      <c r="X2" s="1"/>
      <c r="Y2" s="1"/>
      <c r="Z2" s="1"/>
      <c r="AA2" s="1"/>
    </row>
    <row r="3" spans="1:27"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6" t="s">
        <v>198</v>
      </c>
      <c r="W3" s="14"/>
      <c r="X3" s="14"/>
      <c r="Y3" s="14"/>
      <c r="Z3" s="14"/>
      <c r="AA3" s="14"/>
    </row>
    <row r="4" spans="1:27" ht="24.6" thickBot="1">
      <c r="A4" s="138"/>
      <c r="B4" s="139">
        <v>44986</v>
      </c>
      <c r="C4" s="146" t="s">
        <v>471</v>
      </c>
      <c r="D4" s="138"/>
      <c r="E4" s="145"/>
      <c r="F4" s="144"/>
      <c r="G4" s="143">
        <f>Feb!G2</f>
        <v>27476.099999999995</v>
      </c>
      <c r="H4" s="155"/>
      <c r="I4" s="127">
        <f>IF(Table47[[#This Row],[CODE]]=1, Table47[ [#This Row],[Account Deposit Amount] ]-Table47[ [#This Row],[Account Withdrawl Amount] ], )</f>
        <v>0</v>
      </c>
      <c r="J4" s="142">
        <f>IF(Table47[[#This Row],[CODE]]=2, Table47[ [#This Row],[Account Deposit Amount] ]-Table47[ [#This Row],[Account Withdrawl Amount] ], )</f>
        <v>0</v>
      </c>
      <c r="K4" s="142">
        <f>IF(Table47[[#This Row],[CODE]]=3, Table47[ [#This Row],[Account Deposit Amount] ]-Table47[ [#This Row],[Account Withdrawl Amount] ], )</f>
        <v>0</v>
      </c>
      <c r="L4" s="141">
        <f>IF(Table47[[#This Row],[CODE]]=4, Table47[ [#This Row],[Account Deposit Amount] ]-Table47[ [#This Row],[Account Withdrawl Amount] ], )</f>
        <v>0</v>
      </c>
      <c r="M4" s="141">
        <f>IF(Table47[[#This Row],[CODE]]=5, Table47[ [#This Row],[Account Deposit Amount] ]-Table47[ [#This Row],[Account Withdrawl Amount] ], )</f>
        <v>0</v>
      </c>
      <c r="N4" s="141">
        <f>IF(Table47[[#This Row],[CODE]]=6, Table47[ [#This Row],[Account Deposit Amount] ]-Table47[ [#This Row],[Account Withdrawl Amount] ], )</f>
        <v>0</v>
      </c>
      <c r="O4" s="141">
        <f>IF(Table47[[#This Row],[CODE]]=11, Table47[ [#This Row],[Account Deposit Amount] ]-Table47[ [#This Row],[Account Withdrawl Amount] ], )</f>
        <v>0</v>
      </c>
      <c r="P4" s="141">
        <f>IF(Table47[[#This Row],[CODE]]=12, Table47[ [#This Row],[Account Deposit Amount] ]-Table47[ [#This Row],[Account Withdrawl Amount] ], )</f>
        <v>0</v>
      </c>
      <c r="Q4" s="141">
        <f>IF(Table47[[#This Row],[CODE]]=13, Table47[ [#This Row],[Account Deposit Amount] ]-Table47[ [#This Row],[Account Withdrawl Amount] ], )</f>
        <v>0</v>
      </c>
      <c r="R4" s="141">
        <f>IF(Table47[[#This Row],[CODE]]=14, Table47[ [#This Row],[Account Deposit Amount] ]-Table47[ [#This Row],[Account Withdrawl Amount] ], )</f>
        <v>0</v>
      </c>
      <c r="S4" s="141">
        <f>IF(Table47[[#This Row],[CODE]]=15, Table47[ [#This Row],[Account Deposit Amount] ]-Table47[ [#This Row],[Account Withdrawl Amount] ], )</f>
        <v>0</v>
      </c>
      <c r="T4" s="141">
        <f>IF(Table47[[#This Row],[CODE]]=16, Table47[ [#This Row],[Account Deposit Amount] ]-Table47[ [#This Row],[Account Withdrawl Amount] ], )</f>
        <v>0</v>
      </c>
      <c r="U4" s="141">
        <f>IF(Table47[[#This Row],[CODE]]=17, Table47[ [#This Row],[Account Deposit Amount] ]-Table47[ [#This Row],[Account Withdrawl Amount] ], )</f>
        <v>0</v>
      </c>
    </row>
    <row r="5" spans="1:27" ht="16.2" thickBot="1">
      <c r="A5" s="150" t="s">
        <v>238</v>
      </c>
      <c r="B5" s="151">
        <v>44987</v>
      </c>
      <c r="C5" s="150" t="s">
        <v>276</v>
      </c>
      <c r="D5" s="138" t="s">
        <v>132</v>
      </c>
      <c r="E5" s="150">
        <v>135</v>
      </c>
      <c r="F5" s="150"/>
      <c r="G5" s="134">
        <f t="shared" ref="G5:G36" si="2">G4+E5-F5</f>
        <v>27611.099999999995</v>
      </c>
      <c r="H5" s="138">
        <v>2</v>
      </c>
      <c r="I5" s="127">
        <f>IF(Table47[[#This Row],[CODE]]=1, Table47[ [#This Row],[Account Deposit Amount] ]-Table47[ [#This Row],[Account Withdrawl Amount] ], )</f>
        <v>0</v>
      </c>
      <c r="J5" s="137">
        <f>IF(Table47[[#This Row],[CODE]]=2, Table47[ [#This Row],[Account Deposit Amount] ]-Table47[ [#This Row],[Account Withdrawl Amount] ], )</f>
        <v>135</v>
      </c>
      <c r="K5" s="137">
        <f>IF(Table47[[#This Row],[CODE]]=3, Table47[ [#This Row],[Account Deposit Amount] ]-Table47[ [#This Row],[Account Withdrawl Amount] ], )</f>
        <v>0</v>
      </c>
      <c r="L5" s="136">
        <f>IF(Table47[[#This Row],[CODE]]=4, Table47[ [#This Row],[Account Deposit Amount] ]-Table47[ [#This Row],[Account Withdrawl Amount] ], )</f>
        <v>0</v>
      </c>
      <c r="M5" s="136">
        <f>IF(Table47[[#This Row],[CODE]]=5, Table47[ [#This Row],[Account Deposit Amount] ]-Table47[ [#This Row],[Account Withdrawl Amount] ], )</f>
        <v>0</v>
      </c>
      <c r="N5" s="136">
        <f>IF(Table47[[#This Row],[CODE]]=6, Table47[ [#This Row],[Account Deposit Amount] ]-Table47[ [#This Row],[Account Withdrawl Amount] ], )</f>
        <v>0</v>
      </c>
      <c r="O5" s="136">
        <f>IF(Table47[[#This Row],[CODE]]=11, Table47[ [#This Row],[Account Deposit Amount] ]-Table47[ [#This Row],[Account Withdrawl Amount] ], )</f>
        <v>0</v>
      </c>
      <c r="P5" s="136">
        <f>IF(Table47[[#This Row],[CODE]]=12, Table47[ [#This Row],[Account Deposit Amount] ]-Table47[ [#This Row],[Account Withdrawl Amount] ], )</f>
        <v>0</v>
      </c>
      <c r="Q5" s="136">
        <f>IF(Table47[[#This Row],[CODE]]=13, Table47[ [#This Row],[Account Deposit Amount] ]-Table47[ [#This Row],[Account Withdrawl Amount] ], )</f>
        <v>0</v>
      </c>
      <c r="R5" s="136">
        <f>IF(Table47[[#This Row],[CODE]]=14, Table47[ [#This Row],[Account Deposit Amount] ]-Table47[ [#This Row],[Account Withdrawl Amount] ], )</f>
        <v>0</v>
      </c>
      <c r="S5" s="136">
        <f>IF(Table47[[#This Row],[CODE]]=15, Table47[ [#This Row],[Account Deposit Amount] ]-Table47[ [#This Row],[Account Withdrawl Amount] ], )</f>
        <v>0</v>
      </c>
      <c r="T5" s="136">
        <f>IF(Table47[[#This Row],[CODE]]=16, Table47[ [#This Row],[Account Deposit Amount] ]-Table47[ [#This Row],[Account Withdrawl Amount] ], )</f>
        <v>0</v>
      </c>
      <c r="U5" s="135">
        <f>IF(Table47[[#This Row],[CODE]]=17, Table47[ [#This Row],[Account Deposit Amount] ]-Table47[ [#This Row],[Account Withdrawl Amount] ], )</f>
        <v>0</v>
      </c>
    </row>
    <row r="6" spans="1:27" ht="16.2" thickBot="1">
      <c r="A6" s="150" t="s">
        <v>238</v>
      </c>
      <c r="B6" s="151">
        <v>44987</v>
      </c>
      <c r="C6" s="150" t="s">
        <v>276</v>
      </c>
      <c r="D6" s="132" t="s">
        <v>132</v>
      </c>
      <c r="E6" s="150">
        <v>335</v>
      </c>
      <c r="F6" s="150"/>
      <c r="G6" s="134">
        <f t="shared" si="2"/>
        <v>27946.099999999995</v>
      </c>
      <c r="H6" s="130">
        <v>2</v>
      </c>
      <c r="I6" s="127">
        <f>IF(Table47[[#This Row],[CODE]]=1, Table47[ [#This Row],[Account Deposit Amount] ]-Table47[ [#This Row],[Account Withdrawl Amount] ], )</f>
        <v>0</v>
      </c>
      <c r="J6" s="129">
        <f>IF(Table47[[#This Row],[CODE]]=2, Table47[ [#This Row],[Account Deposit Amount] ]-Table47[ [#This Row],[Account Withdrawl Amount] ], )</f>
        <v>335</v>
      </c>
      <c r="K6" s="129">
        <f>IF(Table47[[#This Row],[CODE]]=3, Table47[ [#This Row],[Account Deposit Amount] ]-Table47[ [#This Row],[Account Withdrawl Amount] ], )</f>
        <v>0</v>
      </c>
      <c r="L6" s="128">
        <f>IF(Table47[[#This Row],[CODE]]=4, Table47[ [#This Row],[Account Deposit Amount] ]-Table47[ [#This Row],[Account Withdrawl Amount] ], )</f>
        <v>0</v>
      </c>
      <c r="M6" s="128">
        <f>IF(Table47[[#This Row],[CODE]]=5, Table47[ [#This Row],[Account Deposit Amount] ]-Table47[ [#This Row],[Account Withdrawl Amount] ], )</f>
        <v>0</v>
      </c>
      <c r="N6" s="128">
        <f>IF(Table47[[#This Row],[CODE]]=6, Table47[ [#This Row],[Account Deposit Amount] ]-Table47[ [#This Row],[Account Withdrawl Amount] ], )</f>
        <v>0</v>
      </c>
      <c r="O6" s="128">
        <f>IF(Table47[[#This Row],[CODE]]=11, Table47[ [#This Row],[Account Deposit Amount] ]-Table47[ [#This Row],[Account Withdrawl Amount] ], )</f>
        <v>0</v>
      </c>
      <c r="P6" s="128">
        <f>IF(Table47[[#This Row],[CODE]]=12, Table47[ [#This Row],[Account Deposit Amount] ]-Table47[ [#This Row],[Account Withdrawl Amount] ], )</f>
        <v>0</v>
      </c>
      <c r="Q6" s="128">
        <f>IF(Table47[[#This Row],[CODE]]=13, Table47[ [#This Row],[Account Deposit Amount] ]-Table47[ [#This Row],[Account Withdrawl Amount] ], )</f>
        <v>0</v>
      </c>
      <c r="R6" s="128">
        <f>IF(Table47[[#This Row],[CODE]]=14, Table47[ [#This Row],[Account Deposit Amount] ]-Table47[ [#This Row],[Account Withdrawl Amount] ], )</f>
        <v>0</v>
      </c>
      <c r="S6" s="128">
        <f>IF(Table47[[#This Row],[CODE]]=15, Table47[ [#This Row],[Account Deposit Amount] ]-Table47[ [#This Row],[Account Withdrawl Amount] ], )</f>
        <v>0</v>
      </c>
      <c r="T6" s="128">
        <f>IF(Table47[[#This Row],[CODE]]=16, Table47[ [#This Row],[Account Deposit Amount] ]-Table47[ [#This Row],[Account Withdrawl Amount] ], )</f>
        <v>0</v>
      </c>
      <c r="U6" s="127">
        <f>IF(Table47[[#This Row],[CODE]]=17, Table47[ [#This Row],[Account Deposit Amount] ]-Table47[ [#This Row],[Account Withdrawl Amount] ], )</f>
        <v>0</v>
      </c>
    </row>
    <row r="7" spans="1:27" ht="16.2" thickBot="1">
      <c r="A7" s="150" t="s">
        <v>238</v>
      </c>
      <c r="B7" s="151">
        <v>44987</v>
      </c>
      <c r="C7" s="150" t="s">
        <v>276</v>
      </c>
      <c r="D7" s="132" t="s">
        <v>132</v>
      </c>
      <c r="E7" s="150">
        <v>890</v>
      </c>
      <c r="F7" s="150"/>
      <c r="G7" s="134">
        <f t="shared" si="2"/>
        <v>28836.099999999995</v>
      </c>
      <c r="H7" s="130">
        <v>2</v>
      </c>
      <c r="I7" s="127">
        <f>IF(Table47[[#This Row],[CODE]]=1, Table47[ [#This Row],[Account Deposit Amount] ]-Table47[ [#This Row],[Account Withdrawl Amount] ], )</f>
        <v>0</v>
      </c>
      <c r="J7" s="129">
        <f>IF(Table47[[#This Row],[CODE]]=2, Table47[ [#This Row],[Account Deposit Amount] ]-Table47[ [#This Row],[Account Withdrawl Amount] ], )</f>
        <v>890</v>
      </c>
      <c r="K7" s="129">
        <f>IF(Table47[[#This Row],[CODE]]=3, Table47[ [#This Row],[Account Deposit Amount] ]-Table47[ [#This Row],[Account Withdrawl Amount] ], )</f>
        <v>0</v>
      </c>
      <c r="L7" s="128">
        <f>IF(Table47[[#This Row],[CODE]]=4, Table47[ [#This Row],[Account Deposit Amount] ]-Table47[ [#This Row],[Account Withdrawl Amount] ], )</f>
        <v>0</v>
      </c>
      <c r="M7" s="128">
        <f>IF(Table47[[#This Row],[CODE]]=5, Table47[ [#This Row],[Account Deposit Amount] ]-Table47[ [#This Row],[Account Withdrawl Amount] ], )</f>
        <v>0</v>
      </c>
      <c r="N7" s="128">
        <f>IF(Table47[[#This Row],[CODE]]=6, Table47[ [#This Row],[Account Deposit Amount] ]-Table47[ [#This Row],[Account Withdrawl Amount] ], )</f>
        <v>0</v>
      </c>
      <c r="O7" s="128">
        <f>IF(Table47[[#This Row],[CODE]]=11, Table47[ [#This Row],[Account Deposit Amount] ]-Table47[ [#This Row],[Account Withdrawl Amount] ], )</f>
        <v>0</v>
      </c>
      <c r="P7" s="128">
        <f>IF(Table47[[#This Row],[CODE]]=12, Table47[ [#This Row],[Account Deposit Amount] ]-Table47[ [#This Row],[Account Withdrawl Amount] ], )</f>
        <v>0</v>
      </c>
      <c r="Q7" s="128">
        <f>IF(Table47[[#This Row],[CODE]]=13, Table47[ [#This Row],[Account Deposit Amount] ]-Table47[ [#This Row],[Account Withdrawl Amount] ], )</f>
        <v>0</v>
      </c>
      <c r="R7" s="128">
        <f>IF(Table47[[#This Row],[CODE]]=14, Table47[ [#This Row],[Account Deposit Amount] ]-Table47[ [#This Row],[Account Withdrawl Amount] ], )</f>
        <v>0</v>
      </c>
      <c r="S7" s="128">
        <f>IF(Table47[[#This Row],[CODE]]=15, Table47[ [#This Row],[Account Deposit Amount] ]-Table47[ [#This Row],[Account Withdrawl Amount] ], )</f>
        <v>0</v>
      </c>
      <c r="T7" s="128">
        <f>IF(Table47[[#This Row],[CODE]]=16, Table47[ [#This Row],[Account Deposit Amount] ]-Table47[ [#This Row],[Account Withdrawl Amount] ], )</f>
        <v>0</v>
      </c>
      <c r="U7" s="127">
        <f>IF(Table47[[#This Row],[CODE]]=17, Table47[ [#This Row],[Account Deposit Amount] ]-Table47[ [#This Row],[Account Withdrawl Amount] ], )</f>
        <v>0</v>
      </c>
    </row>
    <row r="8" spans="1:27" ht="16.2" thickBot="1">
      <c r="A8" s="150" t="s">
        <v>238</v>
      </c>
      <c r="B8" s="151">
        <v>44987</v>
      </c>
      <c r="C8" s="150" t="s">
        <v>276</v>
      </c>
      <c r="D8" s="132" t="s">
        <v>132</v>
      </c>
      <c r="E8" s="150">
        <v>725</v>
      </c>
      <c r="F8" s="150"/>
      <c r="G8" s="134">
        <f t="shared" si="2"/>
        <v>29561.099999999995</v>
      </c>
      <c r="H8" s="130">
        <v>2</v>
      </c>
      <c r="I8" s="127">
        <f>IF(Table47[[#This Row],[CODE]]=1, Table47[ [#This Row],[Account Deposit Amount] ]-Table47[ [#This Row],[Account Withdrawl Amount] ], )</f>
        <v>0</v>
      </c>
      <c r="J8" s="129">
        <f>IF(Table47[[#This Row],[CODE]]=2, Table47[ [#This Row],[Account Deposit Amount] ]-Table47[ [#This Row],[Account Withdrawl Amount] ], )</f>
        <v>725</v>
      </c>
      <c r="K8" s="129">
        <f>IF(Table47[[#This Row],[CODE]]=3, Table47[ [#This Row],[Account Deposit Amount] ]-Table47[ [#This Row],[Account Withdrawl Amount] ], )</f>
        <v>0</v>
      </c>
      <c r="L8" s="128">
        <f>IF(Table47[[#This Row],[CODE]]=4, Table47[ [#This Row],[Account Deposit Amount] ]-Table47[ [#This Row],[Account Withdrawl Amount] ], )</f>
        <v>0</v>
      </c>
      <c r="M8" s="128">
        <f>IF(Table47[[#This Row],[CODE]]=5, Table47[ [#This Row],[Account Deposit Amount] ]-Table47[ [#This Row],[Account Withdrawl Amount] ], )</f>
        <v>0</v>
      </c>
      <c r="N8" s="128">
        <f>IF(Table47[[#This Row],[CODE]]=6, Table47[ [#This Row],[Account Deposit Amount] ]-Table47[ [#This Row],[Account Withdrawl Amount] ], )</f>
        <v>0</v>
      </c>
      <c r="O8" s="128">
        <f>IF(Table47[[#This Row],[CODE]]=11, Table47[ [#This Row],[Account Deposit Amount] ]-Table47[ [#This Row],[Account Withdrawl Amount] ], )</f>
        <v>0</v>
      </c>
      <c r="P8" s="128">
        <f>IF(Table47[[#This Row],[CODE]]=12, Table47[ [#This Row],[Account Deposit Amount] ]-Table47[ [#This Row],[Account Withdrawl Amount] ], )</f>
        <v>0</v>
      </c>
      <c r="Q8" s="128">
        <f>IF(Table47[[#This Row],[CODE]]=13, Table47[ [#This Row],[Account Deposit Amount] ]-Table47[ [#This Row],[Account Withdrawl Amount] ], )</f>
        <v>0</v>
      </c>
      <c r="R8" s="128">
        <f>IF(Table47[[#This Row],[CODE]]=14, Table47[ [#This Row],[Account Deposit Amount] ]-Table47[ [#This Row],[Account Withdrawl Amount] ], )</f>
        <v>0</v>
      </c>
      <c r="S8" s="128">
        <f>IF(Table47[[#This Row],[CODE]]=15, Table47[ [#This Row],[Account Deposit Amount] ]-Table47[ [#This Row],[Account Withdrawl Amount] ], )</f>
        <v>0</v>
      </c>
      <c r="T8" s="128">
        <f>IF(Table47[[#This Row],[CODE]]=16, Table47[ [#This Row],[Account Deposit Amount] ]-Table47[ [#This Row],[Account Withdrawl Amount] ], )</f>
        <v>0</v>
      </c>
      <c r="U8" s="127">
        <f>IF(Table47[[#This Row],[CODE]]=17, Table47[ [#This Row],[Account Deposit Amount] ]-Table47[ [#This Row],[Account Withdrawl Amount] ], )</f>
        <v>0</v>
      </c>
    </row>
    <row r="9" spans="1:27" ht="16.2" thickBot="1">
      <c r="A9" s="150" t="s">
        <v>238</v>
      </c>
      <c r="B9" s="151">
        <v>44987</v>
      </c>
      <c r="C9" s="150" t="s">
        <v>276</v>
      </c>
      <c r="D9" s="132" t="s">
        <v>132</v>
      </c>
      <c r="E9" s="150">
        <v>125</v>
      </c>
      <c r="F9" s="150"/>
      <c r="G9" s="134">
        <f t="shared" si="2"/>
        <v>29686.099999999995</v>
      </c>
      <c r="H9" s="156">
        <v>2</v>
      </c>
      <c r="I9" s="127">
        <f>IF(Table47[[#This Row],[CODE]]=1, Table47[ [#This Row],[Account Deposit Amount] ]-Table47[ [#This Row],[Account Withdrawl Amount] ], )</f>
        <v>0</v>
      </c>
      <c r="J9" s="129">
        <f>IF(Table47[[#This Row],[CODE]]=2, Table47[ [#This Row],[Account Deposit Amount] ]-Table47[ [#This Row],[Account Withdrawl Amount] ], )</f>
        <v>125</v>
      </c>
      <c r="K9" s="129">
        <f>IF(Table47[[#This Row],[CODE]]=3, Table47[ [#This Row],[Account Deposit Amount] ]-Table47[ [#This Row],[Account Withdrawl Amount] ], )</f>
        <v>0</v>
      </c>
      <c r="L9" s="128">
        <f>IF(Table47[[#This Row],[CODE]]=4, Table47[ [#This Row],[Account Deposit Amount] ]-Table47[ [#This Row],[Account Withdrawl Amount] ], )</f>
        <v>0</v>
      </c>
      <c r="M9" s="128">
        <f>IF(Table47[[#This Row],[CODE]]=5, Table47[ [#This Row],[Account Deposit Amount] ]-Table47[ [#This Row],[Account Withdrawl Amount] ], )</f>
        <v>0</v>
      </c>
      <c r="N9" s="128">
        <f>IF(Table47[[#This Row],[CODE]]=6, Table47[ [#This Row],[Account Deposit Amount] ]-Table47[ [#This Row],[Account Withdrawl Amount] ], )</f>
        <v>0</v>
      </c>
      <c r="O9" s="128">
        <f>IF(Table47[[#This Row],[CODE]]=11, Table47[ [#This Row],[Account Deposit Amount] ]-Table47[ [#This Row],[Account Withdrawl Amount] ], )</f>
        <v>0</v>
      </c>
      <c r="P9" s="128">
        <f>IF(Table47[[#This Row],[CODE]]=12, Table47[ [#This Row],[Account Deposit Amount] ]-Table47[ [#This Row],[Account Withdrawl Amount] ], )</f>
        <v>0</v>
      </c>
      <c r="Q9" s="128">
        <f>IF(Table47[[#This Row],[CODE]]=13, Table47[ [#This Row],[Account Deposit Amount] ]-Table47[ [#This Row],[Account Withdrawl Amount] ], )</f>
        <v>0</v>
      </c>
      <c r="R9" s="128">
        <f>IF(Table47[[#This Row],[CODE]]=14, Table47[ [#This Row],[Account Deposit Amount] ]-Table47[ [#This Row],[Account Withdrawl Amount] ], )</f>
        <v>0</v>
      </c>
      <c r="S9" s="128">
        <f>IF(Table47[[#This Row],[CODE]]=15, Table47[ [#This Row],[Account Deposit Amount] ]-Table47[ [#This Row],[Account Withdrawl Amount] ], )</f>
        <v>0</v>
      </c>
      <c r="T9" s="128">
        <f>IF(Table47[[#This Row],[CODE]]=16, Table47[ [#This Row],[Account Deposit Amount] ]-Table47[ [#This Row],[Account Withdrawl Amount] ], )</f>
        <v>0</v>
      </c>
      <c r="U9" s="127">
        <f>IF(Table47[[#This Row],[CODE]]=17, Table47[ [#This Row],[Account Deposit Amount] ]-Table47[ [#This Row],[Account Withdrawl Amount] ], )</f>
        <v>0</v>
      </c>
    </row>
    <row r="10" spans="1:27" ht="16.2" thickBot="1">
      <c r="A10" s="150" t="s">
        <v>238</v>
      </c>
      <c r="B10" s="151">
        <v>44987</v>
      </c>
      <c r="C10" s="150" t="s">
        <v>276</v>
      </c>
      <c r="D10" s="132" t="s">
        <v>274</v>
      </c>
      <c r="E10" s="150">
        <v>15</v>
      </c>
      <c r="F10" s="150"/>
      <c r="G10" s="134">
        <f t="shared" si="2"/>
        <v>29701.099999999995</v>
      </c>
      <c r="H10" s="130">
        <v>4</v>
      </c>
      <c r="I10" s="127">
        <f>IF(Table47[[#This Row],[CODE]]=1, Table47[ [#This Row],[Account Deposit Amount] ]-Table47[ [#This Row],[Account Withdrawl Amount] ], )</f>
        <v>0</v>
      </c>
      <c r="J10" s="129">
        <f>IF(Table47[[#This Row],[CODE]]=2, Table47[ [#This Row],[Account Deposit Amount] ]-Table47[ [#This Row],[Account Withdrawl Amount] ], )</f>
        <v>0</v>
      </c>
      <c r="K10" s="129">
        <f>IF(Table47[[#This Row],[CODE]]=3, Table47[ [#This Row],[Account Deposit Amount] ]-Table47[ [#This Row],[Account Withdrawl Amount] ], )</f>
        <v>0</v>
      </c>
      <c r="L10" s="128">
        <f>IF(Table47[[#This Row],[CODE]]=4, Table47[ [#This Row],[Account Deposit Amount] ]-Table47[ [#This Row],[Account Withdrawl Amount] ], )</f>
        <v>15</v>
      </c>
      <c r="M10" s="128">
        <f>IF(Table47[[#This Row],[CODE]]=5, Table47[ [#This Row],[Account Deposit Amount] ]-Table47[ [#This Row],[Account Withdrawl Amount] ], )</f>
        <v>0</v>
      </c>
      <c r="N10" s="128">
        <f>IF(Table47[[#This Row],[CODE]]=6, Table47[ [#This Row],[Account Deposit Amount] ]-Table47[ [#This Row],[Account Withdrawl Amount] ], )</f>
        <v>0</v>
      </c>
      <c r="O10" s="128">
        <f>IF(Table47[[#This Row],[CODE]]=11, Table47[ [#This Row],[Account Deposit Amount] ]-Table47[ [#This Row],[Account Withdrawl Amount] ], )</f>
        <v>0</v>
      </c>
      <c r="P10" s="128">
        <f>IF(Table47[[#This Row],[CODE]]=12, Table47[ [#This Row],[Account Deposit Amount] ]-Table47[ [#This Row],[Account Withdrawl Amount] ], )</f>
        <v>0</v>
      </c>
      <c r="Q10" s="128">
        <f>IF(Table47[[#This Row],[CODE]]=13, Table47[ [#This Row],[Account Deposit Amount] ]-Table47[ [#This Row],[Account Withdrawl Amount] ], )</f>
        <v>0</v>
      </c>
      <c r="R10" s="128">
        <f>IF(Table47[[#This Row],[CODE]]=14, Table47[ [#This Row],[Account Deposit Amount] ]-Table47[ [#This Row],[Account Withdrawl Amount] ], )</f>
        <v>0</v>
      </c>
      <c r="S10" s="128">
        <f>IF(Table47[[#This Row],[CODE]]=15, Table47[ [#This Row],[Account Deposit Amount] ]-Table47[ [#This Row],[Account Withdrawl Amount] ], )</f>
        <v>0</v>
      </c>
      <c r="T10" s="128">
        <f>IF(Table47[[#This Row],[CODE]]=16, Table47[ [#This Row],[Account Deposit Amount] ]-Table47[ [#This Row],[Account Withdrawl Amount] ], )</f>
        <v>0</v>
      </c>
      <c r="U10" s="127">
        <f>IF(Table47[[#This Row],[CODE]]=17, Table47[ [#This Row],[Account Deposit Amount] ]-Table47[ [#This Row],[Account Withdrawl Amount] ], )</f>
        <v>0</v>
      </c>
    </row>
    <row r="11" spans="1:27" ht="16.2" thickBot="1">
      <c r="A11" s="150" t="s">
        <v>238</v>
      </c>
      <c r="B11" s="151">
        <v>44988</v>
      </c>
      <c r="C11" s="150" t="s">
        <v>276</v>
      </c>
      <c r="D11" s="132" t="s">
        <v>132</v>
      </c>
      <c r="E11" s="150">
        <v>165</v>
      </c>
      <c r="F11" s="150"/>
      <c r="G11" s="134">
        <f t="shared" si="2"/>
        <v>29866.099999999995</v>
      </c>
      <c r="H11" s="130">
        <v>2</v>
      </c>
      <c r="I11" s="127">
        <f>IF(Table47[[#This Row],[CODE]]=1, Table47[ [#This Row],[Account Deposit Amount] ]-Table47[ [#This Row],[Account Withdrawl Amount] ], )</f>
        <v>0</v>
      </c>
      <c r="J11" s="129">
        <f>IF(Table47[[#This Row],[CODE]]=2, Table47[ [#This Row],[Account Deposit Amount] ]-Table47[ [#This Row],[Account Withdrawl Amount] ], )</f>
        <v>165</v>
      </c>
      <c r="K11" s="129">
        <f>IF(Table47[[#This Row],[CODE]]=3, Table47[ [#This Row],[Account Deposit Amount] ]-Table47[ [#This Row],[Account Withdrawl Amount] ], )</f>
        <v>0</v>
      </c>
      <c r="L11" s="128">
        <f>IF(Table47[[#This Row],[CODE]]=4, Table47[ [#This Row],[Account Deposit Amount] ]-Table47[ [#This Row],[Account Withdrawl Amount] ], )</f>
        <v>0</v>
      </c>
      <c r="M11" s="128">
        <f>IF(Table47[[#This Row],[CODE]]=5, Table47[ [#This Row],[Account Deposit Amount] ]-Table47[ [#This Row],[Account Withdrawl Amount] ], )</f>
        <v>0</v>
      </c>
      <c r="N11" s="128">
        <f>IF(Table47[[#This Row],[CODE]]=6, Table47[ [#This Row],[Account Deposit Amount] ]-Table47[ [#This Row],[Account Withdrawl Amount] ], )</f>
        <v>0</v>
      </c>
      <c r="O11" s="128">
        <f>IF(Table47[[#This Row],[CODE]]=11, Table47[ [#This Row],[Account Deposit Amount] ]-Table47[ [#This Row],[Account Withdrawl Amount] ], )</f>
        <v>0</v>
      </c>
      <c r="P11" s="128">
        <f>IF(Table47[[#This Row],[CODE]]=12, Table47[ [#This Row],[Account Deposit Amount] ]-Table47[ [#This Row],[Account Withdrawl Amount] ], )</f>
        <v>0</v>
      </c>
      <c r="Q11" s="128">
        <f>IF(Table47[[#This Row],[CODE]]=13, Table47[ [#This Row],[Account Deposit Amount] ]-Table47[ [#This Row],[Account Withdrawl Amount] ], )</f>
        <v>0</v>
      </c>
      <c r="R11" s="128">
        <f>IF(Table47[[#This Row],[CODE]]=14, Table47[ [#This Row],[Account Deposit Amount] ]-Table47[ [#This Row],[Account Withdrawl Amount] ], )</f>
        <v>0</v>
      </c>
      <c r="S11" s="128">
        <f>IF(Table47[[#This Row],[CODE]]=15, Table47[ [#This Row],[Account Deposit Amount] ]-Table47[ [#This Row],[Account Withdrawl Amount] ], )</f>
        <v>0</v>
      </c>
      <c r="T11" s="128">
        <f>IF(Table47[[#This Row],[CODE]]=16, Table47[ [#This Row],[Account Deposit Amount] ]-Table47[ [#This Row],[Account Withdrawl Amount] ], )</f>
        <v>0</v>
      </c>
      <c r="U11" s="127">
        <f>IF(Table47[[#This Row],[CODE]]=17, Table47[ [#This Row],[Account Deposit Amount] ]-Table47[ [#This Row],[Account Withdrawl Amount] ], )</f>
        <v>0</v>
      </c>
    </row>
    <row r="12" spans="1:27" ht="16.2" thickBot="1">
      <c r="A12" s="150" t="s">
        <v>238</v>
      </c>
      <c r="B12" s="151">
        <v>44988</v>
      </c>
      <c r="C12" s="150" t="s">
        <v>276</v>
      </c>
      <c r="D12" s="132" t="s">
        <v>132</v>
      </c>
      <c r="E12" s="150">
        <v>3605</v>
      </c>
      <c r="F12" s="150"/>
      <c r="G12" s="134">
        <f t="shared" si="2"/>
        <v>33471.099999999991</v>
      </c>
      <c r="H12" s="130">
        <v>2</v>
      </c>
      <c r="I12" s="127">
        <f>IF(Table47[[#This Row],[CODE]]=1, Table47[ [#This Row],[Account Deposit Amount] ]-Table47[ [#This Row],[Account Withdrawl Amount] ], )</f>
        <v>0</v>
      </c>
      <c r="J12" s="129">
        <f>IF(Table47[[#This Row],[CODE]]=2, Table47[ [#This Row],[Account Deposit Amount] ]-Table47[ [#This Row],[Account Withdrawl Amount] ], )</f>
        <v>3605</v>
      </c>
      <c r="K12" s="129">
        <f>IF(Table47[[#This Row],[CODE]]=3, Table47[ [#This Row],[Account Deposit Amount] ]-Table47[ [#This Row],[Account Withdrawl Amount] ], )</f>
        <v>0</v>
      </c>
      <c r="L12" s="128">
        <f>IF(Table47[[#This Row],[CODE]]=4, Table47[ [#This Row],[Account Deposit Amount] ]-Table47[ [#This Row],[Account Withdrawl Amount] ], )</f>
        <v>0</v>
      </c>
      <c r="M12" s="128">
        <f>IF(Table47[[#This Row],[CODE]]=5, Table47[ [#This Row],[Account Deposit Amount] ]-Table47[ [#This Row],[Account Withdrawl Amount] ], )</f>
        <v>0</v>
      </c>
      <c r="N12" s="128">
        <f>IF(Table47[[#This Row],[CODE]]=6, Table47[ [#This Row],[Account Deposit Amount] ]-Table47[ [#This Row],[Account Withdrawl Amount] ], )</f>
        <v>0</v>
      </c>
      <c r="O12" s="128">
        <f>IF(Table47[[#This Row],[CODE]]=11, Table47[ [#This Row],[Account Deposit Amount] ]-Table47[ [#This Row],[Account Withdrawl Amount] ], )</f>
        <v>0</v>
      </c>
      <c r="P12" s="128">
        <f>IF(Table47[[#This Row],[CODE]]=12, Table47[ [#This Row],[Account Deposit Amount] ]-Table47[ [#This Row],[Account Withdrawl Amount] ], )</f>
        <v>0</v>
      </c>
      <c r="Q12" s="128">
        <f>IF(Table47[[#This Row],[CODE]]=13, Table47[ [#This Row],[Account Deposit Amount] ]-Table47[ [#This Row],[Account Withdrawl Amount] ], )</f>
        <v>0</v>
      </c>
      <c r="R12" s="128">
        <f>IF(Table47[[#This Row],[CODE]]=14, Table47[ [#This Row],[Account Deposit Amount] ]-Table47[ [#This Row],[Account Withdrawl Amount] ], )</f>
        <v>0</v>
      </c>
      <c r="S12" s="128">
        <f>IF(Table47[[#This Row],[CODE]]=15, Table47[ [#This Row],[Account Deposit Amount] ]-Table47[ [#This Row],[Account Withdrawl Amount] ], )</f>
        <v>0</v>
      </c>
      <c r="T12" s="128">
        <f>IF(Table47[[#This Row],[CODE]]=16, Table47[ [#This Row],[Account Deposit Amount] ]-Table47[ [#This Row],[Account Withdrawl Amount] ], )</f>
        <v>0</v>
      </c>
      <c r="U12" s="127">
        <f>IF(Table47[[#This Row],[CODE]]=17, Table47[ [#This Row],[Account Deposit Amount] ]-Table47[ [#This Row],[Account Withdrawl Amount] ], )</f>
        <v>0</v>
      </c>
    </row>
    <row r="13" spans="1:27" ht="16.2" thickBot="1">
      <c r="A13" s="150" t="s">
        <v>238</v>
      </c>
      <c r="B13" s="151">
        <v>44988</v>
      </c>
      <c r="C13" s="150" t="s">
        <v>276</v>
      </c>
      <c r="D13" s="132" t="s">
        <v>274</v>
      </c>
      <c r="E13" s="150">
        <v>45</v>
      </c>
      <c r="F13" s="150"/>
      <c r="G13" s="134">
        <f t="shared" si="2"/>
        <v>33516.099999999991</v>
      </c>
      <c r="H13" s="130">
        <v>4</v>
      </c>
      <c r="I13" s="127">
        <f>IF(Table47[[#This Row],[CODE]]=1, Table47[ [#This Row],[Account Deposit Amount] ]-Table47[ [#This Row],[Account Withdrawl Amount] ], )</f>
        <v>0</v>
      </c>
      <c r="J13" s="129">
        <f>IF(Table47[[#This Row],[CODE]]=2, Table47[ [#This Row],[Account Deposit Amount] ]-Table47[ [#This Row],[Account Withdrawl Amount] ], )</f>
        <v>0</v>
      </c>
      <c r="K13" s="129">
        <f>IF(Table47[[#This Row],[CODE]]=3, Table47[ [#This Row],[Account Deposit Amount] ]-Table47[ [#This Row],[Account Withdrawl Amount] ], )</f>
        <v>0</v>
      </c>
      <c r="L13" s="128">
        <f>IF(Table47[[#This Row],[CODE]]=4, Table47[ [#This Row],[Account Deposit Amount] ]-Table47[ [#This Row],[Account Withdrawl Amount] ], )</f>
        <v>45</v>
      </c>
      <c r="M13" s="128">
        <f>IF(Table47[[#This Row],[CODE]]=5, Table47[ [#This Row],[Account Deposit Amount] ]-Table47[ [#This Row],[Account Withdrawl Amount] ], )</f>
        <v>0</v>
      </c>
      <c r="N13" s="128">
        <f>IF(Table47[[#This Row],[CODE]]=6, Table47[ [#This Row],[Account Deposit Amount] ]-Table47[ [#This Row],[Account Withdrawl Amount] ], )</f>
        <v>0</v>
      </c>
      <c r="O13" s="128">
        <f>IF(Table47[[#This Row],[CODE]]=11, Table47[ [#This Row],[Account Deposit Amount] ]-Table47[ [#This Row],[Account Withdrawl Amount] ], )</f>
        <v>0</v>
      </c>
      <c r="P13" s="128">
        <f>IF(Table47[[#This Row],[CODE]]=12, Table47[ [#This Row],[Account Deposit Amount] ]-Table47[ [#This Row],[Account Withdrawl Amount] ], )</f>
        <v>0</v>
      </c>
      <c r="Q13" s="128">
        <f>IF(Table47[[#This Row],[CODE]]=13, Table47[ [#This Row],[Account Deposit Amount] ]-Table47[ [#This Row],[Account Withdrawl Amount] ], )</f>
        <v>0</v>
      </c>
      <c r="R13" s="128">
        <f>IF(Table47[[#This Row],[CODE]]=14, Table47[ [#This Row],[Account Deposit Amount] ]-Table47[ [#This Row],[Account Withdrawl Amount] ], )</f>
        <v>0</v>
      </c>
      <c r="S13" s="128">
        <f>IF(Table47[[#This Row],[CODE]]=15, Table47[ [#This Row],[Account Deposit Amount] ]-Table47[ [#This Row],[Account Withdrawl Amount] ], )</f>
        <v>0</v>
      </c>
      <c r="T13" s="128">
        <f>IF(Table47[[#This Row],[CODE]]=16, Table47[ [#This Row],[Account Deposit Amount] ]-Table47[ [#This Row],[Account Withdrawl Amount] ], )</f>
        <v>0</v>
      </c>
      <c r="U13" s="127">
        <f>IF(Table47[[#This Row],[CODE]]=17, Table47[ [#This Row],[Account Deposit Amount] ]-Table47[ [#This Row],[Account Withdrawl Amount] ], )</f>
        <v>0</v>
      </c>
    </row>
    <row r="14" spans="1:27" ht="16.2" thickBot="1">
      <c r="A14" s="150" t="s">
        <v>238</v>
      </c>
      <c r="B14" s="151">
        <v>44991</v>
      </c>
      <c r="C14" s="150" t="s">
        <v>276</v>
      </c>
      <c r="D14" s="132" t="s">
        <v>132</v>
      </c>
      <c r="E14" s="150">
        <v>10768</v>
      </c>
      <c r="F14" s="150"/>
      <c r="G14" s="134">
        <f t="shared" si="2"/>
        <v>44284.099999999991</v>
      </c>
      <c r="H14" s="130">
        <v>2</v>
      </c>
      <c r="I14" s="127">
        <f>IF(Table47[[#This Row],[CODE]]=1, Table47[ [#This Row],[Account Deposit Amount] ]-Table47[ [#This Row],[Account Withdrawl Amount] ], )</f>
        <v>0</v>
      </c>
      <c r="J14" s="129">
        <f>IF(Table47[[#This Row],[CODE]]=2, Table47[ [#This Row],[Account Deposit Amount] ]-Table47[ [#This Row],[Account Withdrawl Amount] ], )</f>
        <v>10768</v>
      </c>
      <c r="K14" s="129">
        <f>IF(Table47[[#This Row],[CODE]]=3, Table47[ [#This Row],[Account Deposit Amount] ]-Table47[ [#This Row],[Account Withdrawl Amount] ], )</f>
        <v>0</v>
      </c>
      <c r="L14" s="128">
        <f>IF(Table47[[#This Row],[CODE]]=4, Table47[ [#This Row],[Account Deposit Amount] ]-Table47[ [#This Row],[Account Withdrawl Amount] ], )</f>
        <v>0</v>
      </c>
      <c r="M14" s="128">
        <f>IF(Table47[[#This Row],[CODE]]=5, Table47[ [#This Row],[Account Deposit Amount] ]-Table47[ [#This Row],[Account Withdrawl Amount] ], )</f>
        <v>0</v>
      </c>
      <c r="N14" s="128">
        <f>IF(Table47[[#This Row],[CODE]]=6, Table47[ [#This Row],[Account Deposit Amount] ]-Table47[ [#This Row],[Account Withdrawl Amount] ], )</f>
        <v>0</v>
      </c>
      <c r="O14" s="128">
        <f>IF(Table47[[#This Row],[CODE]]=11, Table47[ [#This Row],[Account Deposit Amount] ]-Table47[ [#This Row],[Account Withdrawl Amount] ], )</f>
        <v>0</v>
      </c>
      <c r="P14" s="128">
        <f>IF(Table47[[#This Row],[CODE]]=12, Table47[ [#This Row],[Account Deposit Amount] ]-Table47[ [#This Row],[Account Withdrawl Amount] ], )</f>
        <v>0</v>
      </c>
      <c r="Q14" s="128">
        <f>IF(Table47[[#This Row],[CODE]]=13, Table47[ [#This Row],[Account Deposit Amount] ]-Table47[ [#This Row],[Account Withdrawl Amount] ], )</f>
        <v>0</v>
      </c>
      <c r="R14" s="128">
        <f>IF(Table47[[#This Row],[CODE]]=14, Table47[ [#This Row],[Account Deposit Amount] ]-Table47[ [#This Row],[Account Withdrawl Amount] ], )</f>
        <v>0</v>
      </c>
      <c r="S14" s="128">
        <f>IF(Table47[[#This Row],[CODE]]=15, Table47[ [#This Row],[Account Deposit Amount] ]-Table47[ [#This Row],[Account Withdrawl Amount] ], )</f>
        <v>0</v>
      </c>
      <c r="T14" s="128">
        <f>IF(Table47[[#This Row],[CODE]]=16, Table47[ [#This Row],[Account Deposit Amount] ]-Table47[ [#This Row],[Account Withdrawl Amount] ], )</f>
        <v>0</v>
      </c>
      <c r="U14" s="127">
        <f>IF(Table47[[#This Row],[CODE]]=17, Table47[ [#This Row],[Account Deposit Amount] ]-Table47[ [#This Row],[Account Withdrawl Amount] ], )</f>
        <v>0</v>
      </c>
    </row>
    <row r="15" spans="1:27" ht="16.2" thickBot="1">
      <c r="A15" s="150" t="s">
        <v>238</v>
      </c>
      <c r="B15" s="151">
        <v>44991</v>
      </c>
      <c r="C15" s="150" t="s">
        <v>276</v>
      </c>
      <c r="D15" s="132" t="s">
        <v>472</v>
      </c>
      <c r="E15" s="150">
        <v>54</v>
      </c>
      <c r="F15" s="150"/>
      <c r="G15" s="134">
        <f t="shared" si="2"/>
        <v>44338.099999999991</v>
      </c>
      <c r="H15" s="130">
        <v>4</v>
      </c>
      <c r="I15" s="127">
        <f>IF(Table47[[#This Row],[CODE]]=1, Table47[ [#This Row],[Account Deposit Amount] ]-Table47[ [#This Row],[Account Withdrawl Amount] ], )</f>
        <v>0</v>
      </c>
      <c r="J15" s="129">
        <f>IF(Table47[[#This Row],[CODE]]=2, Table47[ [#This Row],[Account Deposit Amount] ]-Table47[ [#This Row],[Account Withdrawl Amount] ], )</f>
        <v>0</v>
      </c>
      <c r="K15" s="129">
        <f>IF(Table47[[#This Row],[CODE]]=3, Table47[ [#This Row],[Account Deposit Amount] ]-Table47[ [#This Row],[Account Withdrawl Amount] ], )</f>
        <v>0</v>
      </c>
      <c r="L15" s="128">
        <f>IF(Table47[[#This Row],[CODE]]=4, Table47[ [#This Row],[Account Deposit Amount] ]-Table47[ [#This Row],[Account Withdrawl Amount] ], )</f>
        <v>54</v>
      </c>
      <c r="M15" s="128">
        <f>IF(Table47[[#This Row],[CODE]]=5, Table47[ [#This Row],[Account Deposit Amount] ]-Table47[ [#This Row],[Account Withdrawl Amount] ], )</f>
        <v>0</v>
      </c>
      <c r="N15" s="128">
        <f>IF(Table47[[#This Row],[CODE]]=6, Table47[ [#This Row],[Account Deposit Amount] ]-Table47[ [#This Row],[Account Withdrawl Amount] ], )</f>
        <v>0</v>
      </c>
      <c r="O15" s="128">
        <f>IF(Table47[[#This Row],[CODE]]=11, Table47[ [#This Row],[Account Deposit Amount] ]-Table47[ [#This Row],[Account Withdrawl Amount] ], )</f>
        <v>0</v>
      </c>
      <c r="P15" s="128">
        <f>IF(Table47[[#This Row],[CODE]]=12, Table47[ [#This Row],[Account Deposit Amount] ]-Table47[ [#This Row],[Account Withdrawl Amount] ], )</f>
        <v>0</v>
      </c>
      <c r="Q15" s="128">
        <f>IF(Table47[[#This Row],[CODE]]=13, Table47[ [#This Row],[Account Deposit Amount] ]-Table47[ [#This Row],[Account Withdrawl Amount] ], )</f>
        <v>0</v>
      </c>
      <c r="R15" s="128">
        <f>IF(Table47[[#This Row],[CODE]]=14, Table47[ [#This Row],[Account Deposit Amount] ]-Table47[ [#This Row],[Account Withdrawl Amount] ], )</f>
        <v>0</v>
      </c>
      <c r="S15" s="128">
        <f>IF(Table47[[#This Row],[CODE]]=15, Table47[ [#This Row],[Account Deposit Amount] ]-Table47[ [#This Row],[Account Withdrawl Amount] ], )</f>
        <v>0</v>
      </c>
      <c r="T15" s="128">
        <f>IF(Table47[[#This Row],[CODE]]=16, Table47[ [#This Row],[Account Deposit Amount] ]-Table47[ [#This Row],[Account Withdrawl Amount] ], )</f>
        <v>0</v>
      </c>
      <c r="U15" s="127">
        <f>IF(Table47[[#This Row],[CODE]]=17, Table47[ [#This Row],[Account Deposit Amount] ]-Table47[ [#This Row],[Account Withdrawl Amount] ], )</f>
        <v>0</v>
      </c>
    </row>
    <row r="16" spans="1:27" ht="16.2" thickBot="1">
      <c r="A16" s="150" t="s">
        <v>241</v>
      </c>
      <c r="B16" s="151">
        <v>44993</v>
      </c>
      <c r="C16" s="150" t="s">
        <v>222</v>
      </c>
      <c r="D16" s="132" t="s">
        <v>132</v>
      </c>
      <c r="E16" s="128"/>
      <c r="F16" s="128">
        <v>4830</v>
      </c>
      <c r="G16" s="134">
        <f t="shared" si="2"/>
        <v>39508.099999999991</v>
      </c>
      <c r="H16" s="130">
        <v>2</v>
      </c>
      <c r="I16" s="127">
        <f>IF(Table47[[#This Row],[CODE]]=1, Table47[ [#This Row],[Account Deposit Amount] ]-Table47[ [#This Row],[Account Withdrawl Amount] ], )</f>
        <v>0</v>
      </c>
      <c r="J16" s="129">
        <f>IF(Table47[[#This Row],[CODE]]=2, Table47[ [#This Row],[Account Deposit Amount] ]-Table47[ [#This Row],[Account Withdrawl Amount] ], )</f>
        <v>-4830</v>
      </c>
      <c r="K16" s="129">
        <f>IF(Table47[[#This Row],[CODE]]=3, Table47[ [#This Row],[Account Deposit Amount] ]-Table47[ [#This Row],[Account Withdrawl Amount] ], )</f>
        <v>0</v>
      </c>
      <c r="L16" s="128">
        <f>IF(Table47[[#This Row],[CODE]]=4, Table47[ [#This Row],[Account Deposit Amount] ]-Table47[ [#This Row],[Account Withdrawl Amount] ], )</f>
        <v>0</v>
      </c>
      <c r="M16" s="128">
        <f>IF(Table47[[#This Row],[CODE]]=5, Table47[ [#This Row],[Account Deposit Amount] ]-Table47[ [#This Row],[Account Withdrawl Amount] ], )</f>
        <v>0</v>
      </c>
      <c r="N16" s="128">
        <f>IF(Table47[[#This Row],[CODE]]=6, Table47[ [#This Row],[Account Deposit Amount] ]-Table47[ [#This Row],[Account Withdrawl Amount] ], )</f>
        <v>0</v>
      </c>
      <c r="O16" s="128">
        <f>IF(Table47[[#This Row],[CODE]]=11, Table47[ [#This Row],[Account Deposit Amount] ]-Table47[ [#This Row],[Account Withdrawl Amount] ], )</f>
        <v>0</v>
      </c>
      <c r="P16" s="128">
        <f>IF(Table47[[#This Row],[CODE]]=12, Table47[ [#This Row],[Account Deposit Amount] ]-Table47[ [#This Row],[Account Withdrawl Amount] ], )</f>
        <v>0</v>
      </c>
      <c r="Q16" s="128">
        <f>IF(Table47[[#This Row],[CODE]]=13, Table47[ [#This Row],[Account Deposit Amount] ]-Table47[ [#This Row],[Account Withdrawl Amount] ], )</f>
        <v>0</v>
      </c>
      <c r="R16" s="128">
        <f>IF(Table47[[#This Row],[CODE]]=14, Table47[ [#This Row],[Account Deposit Amount] ]-Table47[ [#This Row],[Account Withdrawl Amount] ], )</f>
        <v>0</v>
      </c>
      <c r="S16" s="128">
        <f>IF(Table47[[#This Row],[CODE]]=15, Table47[ [#This Row],[Account Deposit Amount] ]-Table47[ [#This Row],[Account Withdrawl Amount] ], )</f>
        <v>0</v>
      </c>
      <c r="T16" s="128">
        <f>IF(Table47[[#This Row],[CODE]]=16, Table47[ [#This Row],[Account Deposit Amount] ]-Table47[ [#This Row],[Account Withdrawl Amount] ], )</f>
        <v>0</v>
      </c>
      <c r="U16" s="127">
        <f>IF(Table47[[#This Row],[CODE]]=17, Table47[ [#This Row],[Account Deposit Amount] ]-Table47[ [#This Row],[Account Withdrawl Amount] ], )</f>
        <v>0</v>
      </c>
    </row>
    <row r="17" spans="1:21" ht="16.2" thickBot="1">
      <c r="A17" s="150" t="s">
        <v>238</v>
      </c>
      <c r="B17" s="151">
        <v>44998</v>
      </c>
      <c r="C17" s="150" t="s">
        <v>276</v>
      </c>
      <c r="D17" s="132" t="s">
        <v>132</v>
      </c>
      <c r="E17" s="150">
        <v>10631</v>
      </c>
      <c r="F17" s="150"/>
      <c r="G17" s="134">
        <f t="shared" si="2"/>
        <v>50139.099999999991</v>
      </c>
      <c r="H17" s="130">
        <v>2</v>
      </c>
      <c r="I17" s="127">
        <f>IF(Table47[[#This Row],[CODE]]=1, Table47[ [#This Row],[Account Deposit Amount] ]-Table47[ [#This Row],[Account Withdrawl Amount] ], )</f>
        <v>0</v>
      </c>
      <c r="J17" s="129">
        <f>IF(Table47[[#This Row],[CODE]]=2, Table47[ [#This Row],[Account Deposit Amount] ]-Table47[ [#This Row],[Account Withdrawl Amount] ], )</f>
        <v>10631</v>
      </c>
      <c r="K17" s="129">
        <f>IF(Table47[[#This Row],[CODE]]=3, Table47[ [#This Row],[Account Deposit Amount] ]-Table47[ [#This Row],[Account Withdrawl Amount] ], )</f>
        <v>0</v>
      </c>
      <c r="L17" s="128">
        <f>IF(Table47[[#This Row],[CODE]]=4, Table47[ [#This Row],[Account Deposit Amount] ]-Table47[ [#This Row],[Account Withdrawl Amount] ], )</f>
        <v>0</v>
      </c>
      <c r="M17" s="128">
        <f>IF(Table47[[#This Row],[CODE]]=5, Table47[ [#This Row],[Account Deposit Amount] ]-Table47[ [#This Row],[Account Withdrawl Amount] ], )</f>
        <v>0</v>
      </c>
      <c r="N17" s="128">
        <f>IF(Table47[[#This Row],[CODE]]=6, Table47[ [#This Row],[Account Deposit Amount] ]-Table47[ [#This Row],[Account Withdrawl Amount] ], )</f>
        <v>0</v>
      </c>
      <c r="O17" s="128">
        <f>IF(Table47[[#This Row],[CODE]]=11, Table47[ [#This Row],[Account Deposit Amount] ]-Table47[ [#This Row],[Account Withdrawl Amount] ], )</f>
        <v>0</v>
      </c>
      <c r="P17" s="128">
        <f>IF(Table47[[#This Row],[CODE]]=12, Table47[ [#This Row],[Account Deposit Amount] ]-Table47[ [#This Row],[Account Withdrawl Amount] ], )</f>
        <v>0</v>
      </c>
      <c r="Q17" s="128">
        <f>IF(Table47[[#This Row],[CODE]]=13, Table47[ [#This Row],[Account Deposit Amount] ]-Table47[ [#This Row],[Account Withdrawl Amount] ], )</f>
        <v>0</v>
      </c>
      <c r="R17" s="128">
        <f>IF(Table47[[#This Row],[CODE]]=14, Table47[ [#This Row],[Account Deposit Amount] ]-Table47[ [#This Row],[Account Withdrawl Amount] ], )</f>
        <v>0</v>
      </c>
      <c r="S17" s="128">
        <f>IF(Table47[[#This Row],[CODE]]=15, Table47[ [#This Row],[Account Deposit Amount] ]-Table47[ [#This Row],[Account Withdrawl Amount] ], )</f>
        <v>0</v>
      </c>
      <c r="T17" s="128">
        <f>IF(Table47[[#This Row],[CODE]]=16, Table47[ [#This Row],[Account Deposit Amount] ]-Table47[ [#This Row],[Account Withdrawl Amount] ], )</f>
        <v>0</v>
      </c>
      <c r="U17" s="127">
        <f>IF(Table47[[#This Row],[CODE]]=17, Table47[ [#This Row],[Account Deposit Amount] ]-Table47[ [#This Row],[Account Withdrawl Amount] ], )</f>
        <v>0</v>
      </c>
    </row>
    <row r="18" spans="1:21" ht="16.2" thickBot="1">
      <c r="A18" s="150" t="s">
        <v>238</v>
      </c>
      <c r="B18" s="151">
        <v>44998</v>
      </c>
      <c r="C18" s="150" t="s">
        <v>276</v>
      </c>
      <c r="D18" s="132" t="s">
        <v>274</v>
      </c>
      <c r="E18" s="150">
        <v>110</v>
      </c>
      <c r="F18" s="150"/>
      <c r="G18" s="134">
        <f t="shared" si="2"/>
        <v>50249.099999999991</v>
      </c>
      <c r="H18" s="130">
        <v>4</v>
      </c>
      <c r="I18" s="127">
        <f>IF(Table47[[#This Row],[CODE]]=1, Table47[ [#This Row],[Account Deposit Amount] ]-Table47[ [#This Row],[Account Withdrawl Amount] ], )</f>
        <v>0</v>
      </c>
      <c r="J18" s="129">
        <f>IF(Table47[[#This Row],[CODE]]=2, Table47[ [#This Row],[Account Deposit Amount] ]-Table47[ [#This Row],[Account Withdrawl Amount] ], )</f>
        <v>0</v>
      </c>
      <c r="K18" s="129">
        <f>IF(Table47[[#This Row],[CODE]]=3, Table47[ [#This Row],[Account Deposit Amount] ]-Table47[ [#This Row],[Account Withdrawl Amount] ], )</f>
        <v>0</v>
      </c>
      <c r="L18" s="128">
        <f>IF(Table47[[#This Row],[CODE]]=4, Table47[ [#This Row],[Account Deposit Amount] ]-Table47[ [#This Row],[Account Withdrawl Amount] ], )</f>
        <v>110</v>
      </c>
      <c r="M18" s="128">
        <f>IF(Table47[[#This Row],[CODE]]=5, Table47[ [#This Row],[Account Deposit Amount] ]-Table47[ [#This Row],[Account Withdrawl Amount] ], )</f>
        <v>0</v>
      </c>
      <c r="N18" s="128">
        <f>IF(Table47[[#This Row],[CODE]]=6, Table47[ [#This Row],[Account Deposit Amount] ]-Table47[ [#This Row],[Account Withdrawl Amount] ], )</f>
        <v>0</v>
      </c>
      <c r="O18" s="128">
        <f>IF(Table47[[#This Row],[CODE]]=11, Table47[ [#This Row],[Account Deposit Amount] ]-Table47[ [#This Row],[Account Withdrawl Amount] ], )</f>
        <v>0</v>
      </c>
      <c r="P18" s="128">
        <f>IF(Table47[[#This Row],[CODE]]=12, Table47[ [#This Row],[Account Deposit Amount] ]-Table47[ [#This Row],[Account Withdrawl Amount] ], )</f>
        <v>0</v>
      </c>
      <c r="Q18" s="128">
        <f>IF(Table47[[#This Row],[CODE]]=13, Table47[ [#This Row],[Account Deposit Amount] ]-Table47[ [#This Row],[Account Withdrawl Amount] ], )</f>
        <v>0</v>
      </c>
      <c r="R18" s="128">
        <f>IF(Table47[[#This Row],[CODE]]=14, Table47[ [#This Row],[Account Deposit Amount] ]-Table47[ [#This Row],[Account Withdrawl Amount] ], )</f>
        <v>0</v>
      </c>
      <c r="S18" s="128">
        <f>IF(Table47[[#This Row],[CODE]]=15, Table47[ [#This Row],[Account Deposit Amount] ]-Table47[ [#This Row],[Account Withdrawl Amount] ], )</f>
        <v>0</v>
      </c>
      <c r="T18" s="128">
        <f>IF(Table47[[#This Row],[CODE]]=16, Table47[ [#This Row],[Account Deposit Amount] ]-Table47[ [#This Row],[Account Withdrawl Amount] ], )</f>
        <v>0</v>
      </c>
      <c r="U18" s="127">
        <f>IF(Table47[[#This Row],[CODE]]=17, Table47[ [#This Row],[Account Deposit Amount] ]-Table47[ [#This Row],[Account Withdrawl Amount] ], )</f>
        <v>0</v>
      </c>
    </row>
    <row r="19" spans="1:21" ht="16.2" thickBot="1">
      <c r="A19" s="150" t="s">
        <v>241</v>
      </c>
      <c r="B19" s="151">
        <v>45000</v>
      </c>
      <c r="C19" s="150" t="s">
        <v>469</v>
      </c>
      <c r="D19" s="132" t="s">
        <v>470</v>
      </c>
      <c r="E19" s="128"/>
      <c r="F19" s="128">
        <v>8.2100000000000009</v>
      </c>
      <c r="G19" s="134">
        <f t="shared" si="2"/>
        <v>50240.889999999992</v>
      </c>
      <c r="H19" s="130">
        <v>6</v>
      </c>
      <c r="I19" s="127">
        <f>IF(Table47[[#This Row],[CODE]]=1, Table47[ [#This Row],[Account Deposit Amount] ]-Table47[ [#This Row],[Account Withdrawl Amount] ], )</f>
        <v>0</v>
      </c>
      <c r="J19" s="129">
        <f>IF(Table47[[#This Row],[CODE]]=2, Table47[ [#This Row],[Account Deposit Amount] ]-Table47[ [#This Row],[Account Withdrawl Amount] ], )</f>
        <v>0</v>
      </c>
      <c r="K19" s="129">
        <f>IF(Table47[[#This Row],[CODE]]=3, Table47[ [#This Row],[Account Deposit Amount] ]-Table47[ [#This Row],[Account Withdrawl Amount] ], )</f>
        <v>0</v>
      </c>
      <c r="L19" s="128">
        <f>IF(Table47[[#This Row],[CODE]]=4, Table47[ [#This Row],[Account Deposit Amount] ]-Table47[ [#This Row],[Account Withdrawl Amount] ], )</f>
        <v>0</v>
      </c>
      <c r="M19" s="128">
        <f>IF(Table47[[#This Row],[CODE]]=5, Table47[ [#This Row],[Account Deposit Amount] ]-Table47[ [#This Row],[Account Withdrawl Amount] ], )</f>
        <v>0</v>
      </c>
      <c r="N19" s="128">
        <f>IF(Table47[[#This Row],[CODE]]=6, Table47[ [#This Row],[Account Deposit Amount] ]-Table47[ [#This Row],[Account Withdrawl Amount] ], )</f>
        <v>-8.2100000000000009</v>
      </c>
      <c r="O19" s="128">
        <f>IF(Table47[[#This Row],[CODE]]=11, Table47[ [#This Row],[Account Deposit Amount] ]-Table47[ [#This Row],[Account Withdrawl Amount] ], )</f>
        <v>0</v>
      </c>
      <c r="P19" s="128">
        <f>IF(Table47[[#This Row],[CODE]]=12, Table47[ [#This Row],[Account Deposit Amount] ]-Table47[ [#This Row],[Account Withdrawl Amount] ], )</f>
        <v>0</v>
      </c>
      <c r="Q19" s="128">
        <f>IF(Table47[[#This Row],[CODE]]=13, Table47[ [#This Row],[Account Deposit Amount] ]-Table47[ [#This Row],[Account Withdrawl Amount] ], )</f>
        <v>0</v>
      </c>
      <c r="R19" s="128">
        <f>IF(Table47[[#This Row],[CODE]]=14, Table47[ [#This Row],[Account Deposit Amount] ]-Table47[ [#This Row],[Account Withdrawl Amount] ], )</f>
        <v>0</v>
      </c>
      <c r="S19" s="128">
        <f>IF(Table47[[#This Row],[CODE]]=15, Table47[ [#This Row],[Account Deposit Amount] ]-Table47[ [#This Row],[Account Withdrawl Amount] ], )</f>
        <v>0</v>
      </c>
      <c r="T19" s="128">
        <f>IF(Table47[[#This Row],[CODE]]=16, Table47[ [#This Row],[Account Deposit Amount] ]-Table47[ [#This Row],[Account Withdrawl Amount] ], )</f>
        <v>0</v>
      </c>
      <c r="U19" s="127">
        <f>IF(Table47[[#This Row],[CODE]]=17, Table47[ [#This Row],[Account Deposit Amount] ]-Table47[ [#This Row],[Account Withdrawl Amount] ], )</f>
        <v>0</v>
      </c>
    </row>
    <row r="20" spans="1:21" ht="16.2" thickBot="1">
      <c r="A20" s="150" t="s">
        <v>241</v>
      </c>
      <c r="B20" s="151">
        <v>45000</v>
      </c>
      <c r="C20" s="150" t="s">
        <v>375</v>
      </c>
      <c r="D20" s="132" t="s">
        <v>473</v>
      </c>
      <c r="E20" s="128"/>
      <c r="F20" s="128">
        <v>7.03</v>
      </c>
      <c r="G20" s="134">
        <f t="shared" si="2"/>
        <v>50233.859999999993</v>
      </c>
      <c r="H20" s="130">
        <v>6</v>
      </c>
      <c r="I20" s="127">
        <f>IF(Table47[[#This Row],[CODE]]=1, Table47[ [#This Row],[Account Deposit Amount] ]-Table47[ [#This Row],[Account Withdrawl Amount] ], )</f>
        <v>0</v>
      </c>
      <c r="J20" s="129">
        <f>IF(Table47[[#This Row],[CODE]]=2, Table47[ [#This Row],[Account Deposit Amount] ]-Table47[ [#This Row],[Account Withdrawl Amount] ], )</f>
        <v>0</v>
      </c>
      <c r="K20" s="129">
        <f>IF(Table47[[#This Row],[CODE]]=3, Table47[ [#This Row],[Account Deposit Amount] ]-Table47[ [#This Row],[Account Withdrawl Amount] ], )</f>
        <v>0</v>
      </c>
      <c r="L20" s="128">
        <f>IF(Table47[[#This Row],[CODE]]=4, Table47[ [#This Row],[Account Deposit Amount] ]-Table47[ [#This Row],[Account Withdrawl Amount] ], )</f>
        <v>0</v>
      </c>
      <c r="M20" s="128">
        <f>IF(Table47[[#This Row],[CODE]]=5, Table47[ [#This Row],[Account Deposit Amount] ]-Table47[ [#This Row],[Account Withdrawl Amount] ], )</f>
        <v>0</v>
      </c>
      <c r="N20" s="128">
        <f>IF(Table47[[#This Row],[CODE]]=6, Table47[ [#This Row],[Account Deposit Amount] ]-Table47[ [#This Row],[Account Withdrawl Amount] ], )</f>
        <v>-7.03</v>
      </c>
      <c r="O20" s="128">
        <f>IF(Table47[[#This Row],[CODE]]=11, Table47[ [#This Row],[Account Deposit Amount] ]-Table47[ [#This Row],[Account Withdrawl Amount] ], )</f>
        <v>0</v>
      </c>
      <c r="P20" s="128">
        <f>IF(Table47[[#This Row],[CODE]]=12, Table47[ [#This Row],[Account Deposit Amount] ]-Table47[ [#This Row],[Account Withdrawl Amount] ], )</f>
        <v>0</v>
      </c>
      <c r="Q20" s="128">
        <f>IF(Table47[[#This Row],[CODE]]=13, Table47[ [#This Row],[Account Deposit Amount] ]-Table47[ [#This Row],[Account Withdrawl Amount] ], )</f>
        <v>0</v>
      </c>
      <c r="R20" s="128">
        <f>IF(Table47[[#This Row],[CODE]]=14, Table47[ [#This Row],[Account Deposit Amount] ]-Table47[ [#This Row],[Account Withdrawl Amount] ], )</f>
        <v>0</v>
      </c>
      <c r="S20" s="128">
        <f>IF(Table47[[#This Row],[CODE]]=15, Table47[ [#This Row],[Account Deposit Amount] ]-Table47[ [#This Row],[Account Withdrawl Amount] ], )</f>
        <v>0</v>
      </c>
      <c r="T20" s="128">
        <f>IF(Table47[[#This Row],[CODE]]=16, Table47[ [#This Row],[Account Deposit Amount] ]-Table47[ [#This Row],[Account Withdrawl Amount] ], )</f>
        <v>0</v>
      </c>
      <c r="U20" s="127">
        <f>IF(Table47[[#This Row],[CODE]]=17, Table47[ [#This Row],[Account Deposit Amount] ]-Table47[ [#This Row],[Account Withdrawl Amount] ], )</f>
        <v>0</v>
      </c>
    </row>
    <row r="21" spans="1:21" ht="25.2" thickBot="1">
      <c r="A21" s="150" t="s">
        <v>238</v>
      </c>
      <c r="B21" s="151">
        <v>45001</v>
      </c>
      <c r="C21" s="150" t="s">
        <v>474</v>
      </c>
      <c r="D21" s="132" t="s">
        <v>475</v>
      </c>
      <c r="E21" s="150">
        <v>7.03</v>
      </c>
      <c r="F21" s="150"/>
      <c r="G21" s="134">
        <f t="shared" si="2"/>
        <v>50240.889999999992</v>
      </c>
      <c r="H21" s="130">
        <v>6</v>
      </c>
      <c r="I21" s="127">
        <f>IF(Table47[[#This Row],[CODE]]=1, Table47[ [#This Row],[Account Deposit Amount] ]-Table47[ [#This Row],[Account Withdrawl Amount] ], )</f>
        <v>0</v>
      </c>
      <c r="J21" s="129">
        <f>IF(Table47[[#This Row],[CODE]]=2, Table47[ [#This Row],[Account Deposit Amount] ]-Table47[ [#This Row],[Account Withdrawl Amount] ], )</f>
        <v>0</v>
      </c>
      <c r="K21" s="129">
        <f>IF(Table47[[#This Row],[CODE]]=3, Table47[ [#This Row],[Account Deposit Amount] ]-Table47[ [#This Row],[Account Withdrawl Amount] ], )</f>
        <v>0</v>
      </c>
      <c r="L21" s="128">
        <f>IF(Table47[[#This Row],[CODE]]=4, Table47[ [#This Row],[Account Deposit Amount] ]-Table47[ [#This Row],[Account Withdrawl Amount] ], )</f>
        <v>0</v>
      </c>
      <c r="M21" s="128">
        <f>IF(Table47[[#This Row],[CODE]]=5, Table47[ [#This Row],[Account Deposit Amount] ]-Table47[ [#This Row],[Account Withdrawl Amount] ], )</f>
        <v>0</v>
      </c>
      <c r="N21" s="128">
        <f>IF(Table47[[#This Row],[CODE]]=6, Table47[ [#This Row],[Account Deposit Amount] ]-Table47[ [#This Row],[Account Withdrawl Amount] ], )</f>
        <v>7.03</v>
      </c>
      <c r="O21" s="128">
        <f>IF(Table47[[#This Row],[CODE]]=11, Table47[ [#This Row],[Account Deposit Amount] ]-Table47[ [#This Row],[Account Withdrawl Amount] ], )</f>
        <v>0</v>
      </c>
      <c r="P21" s="128">
        <f>IF(Table47[[#This Row],[CODE]]=12, Table47[ [#This Row],[Account Deposit Amount] ]-Table47[ [#This Row],[Account Withdrawl Amount] ], )</f>
        <v>0</v>
      </c>
      <c r="Q21" s="128">
        <f>IF(Table47[[#This Row],[CODE]]=13, Table47[ [#This Row],[Account Deposit Amount] ]-Table47[ [#This Row],[Account Withdrawl Amount] ], )</f>
        <v>0</v>
      </c>
      <c r="R21" s="128">
        <f>IF(Table47[[#This Row],[CODE]]=14, Table47[ [#This Row],[Account Deposit Amount] ]-Table47[ [#This Row],[Account Withdrawl Amount] ], )</f>
        <v>0</v>
      </c>
      <c r="S21" s="128">
        <f>IF(Table47[[#This Row],[CODE]]=15, Table47[ [#This Row],[Account Deposit Amount] ]-Table47[ [#This Row],[Account Withdrawl Amount] ], )</f>
        <v>0</v>
      </c>
      <c r="T21" s="128">
        <f>IF(Table47[[#This Row],[CODE]]=16, Table47[ [#This Row],[Account Deposit Amount] ]-Table47[ [#This Row],[Account Withdrawl Amount] ], )</f>
        <v>0</v>
      </c>
      <c r="U21" s="127">
        <f>IF(Table47[[#This Row],[CODE]]=17, Table47[ [#This Row],[Account Deposit Amount] ]-Table47[ [#This Row],[Account Withdrawl Amount] ], )</f>
        <v>0</v>
      </c>
    </row>
    <row r="22" spans="1:21" ht="16.2" thickBot="1">
      <c r="A22" s="150" t="s">
        <v>238</v>
      </c>
      <c r="B22" s="151">
        <v>45002</v>
      </c>
      <c r="C22" s="150" t="s">
        <v>276</v>
      </c>
      <c r="D22" s="132" t="s">
        <v>132</v>
      </c>
      <c r="E22" s="150">
        <v>5609.25</v>
      </c>
      <c r="F22" s="150"/>
      <c r="G22" s="134">
        <f t="shared" si="2"/>
        <v>55850.139999999992</v>
      </c>
      <c r="H22" s="130">
        <v>2</v>
      </c>
      <c r="I22" s="127">
        <f>IF(Table47[[#This Row],[CODE]]=1, Table47[ [#This Row],[Account Deposit Amount] ]-Table47[ [#This Row],[Account Withdrawl Amount] ], )</f>
        <v>0</v>
      </c>
      <c r="J22" s="129">
        <f>IF(Table47[[#This Row],[CODE]]=2, Table47[ [#This Row],[Account Deposit Amount] ]-Table47[ [#This Row],[Account Withdrawl Amount] ], )</f>
        <v>5609.25</v>
      </c>
      <c r="K22" s="129">
        <f>IF(Table47[[#This Row],[CODE]]=3, Table47[ [#This Row],[Account Deposit Amount] ]-Table47[ [#This Row],[Account Withdrawl Amount] ], )</f>
        <v>0</v>
      </c>
      <c r="L22" s="128">
        <f>IF(Table47[[#This Row],[CODE]]=4, Table47[ [#This Row],[Account Deposit Amount] ]-Table47[ [#This Row],[Account Withdrawl Amount] ], )</f>
        <v>0</v>
      </c>
      <c r="M22" s="128">
        <f>IF(Table47[[#This Row],[CODE]]=5, Table47[ [#This Row],[Account Deposit Amount] ]-Table47[ [#This Row],[Account Withdrawl Amount] ], )</f>
        <v>0</v>
      </c>
      <c r="N22" s="128">
        <f>IF(Table47[[#This Row],[CODE]]=6, Table47[ [#This Row],[Account Deposit Amount] ]-Table47[ [#This Row],[Account Withdrawl Amount] ], )</f>
        <v>0</v>
      </c>
      <c r="O22" s="128">
        <f>IF(Table47[[#This Row],[CODE]]=11, Table47[ [#This Row],[Account Deposit Amount] ]-Table47[ [#This Row],[Account Withdrawl Amount] ], )</f>
        <v>0</v>
      </c>
      <c r="P22" s="128">
        <f>IF(Table47[[#This Row],[CODE]]=12, Table47[ [#This Row],[Account Deposit Amount] ]-Table47[ [#This Row],[Account Withdrawl Amount] ], )</f>
        <v>0</v>
      </c>
      <c r="Q22" s="128">
        <f>IF(Table47[[#This Row],[CODE]]=13, Table47[ [#This Row],[Account Deposit Amount] ]-Table47[ [#This Row],[Account Withdrawl Amount] ], )</f>
        <v>0</v>
      </c>
      <c r="R22" s="128">
        <f>IF(Table47[[#This Row],[CODE]]=14, Table47[ [#This Row],[Account Deposit Amount] ]-Table47[ [#This Row],[Account Withdrawl Amount] ], )</f>
        <v>0</v>
      </c>
      <c r="S22" s="128">
        <f>IF(Table47[[#This Row],[CODE]]=15, Table47[ [#This Row],[Account Deposit Amount] ]-Table47[ [#This Row],[Account Withdrawl Amount] ], )</f>
        <v>0</v>
      </c>
      <c r="T22" s="128">
        <f>IF(Table47[[#This Row],[CODE]]=16, Table47[ [#This Row],[Account Deposit Amount] ]-Table47[ [#This Row],[Account Withdrawl Amount] ], )</f>
        <v>0</v>
      </c>
      <c r="U22" s="127">
        <f>IF(Table47[[#This Row],[CODE]]=17, Table47[ [#This Row],[Account Deposit Amount] ]-Table47[ [#This Row],[Account Withdrawl Amount] ], )</f>
        <v>0</v>
      </c>
    </row>
    <row r="23" spans="1:21" ht="16.2" thickBot="1">
      <c r="A23" s="150" t="s">
        <v>238</v>
      </c>
      <c r="B23" s="151">
        <v>45002</v>
      </c>
      <c r="C23" s="150" t="s">
        <v>276</v>
      </c>
      <c r="D23" s="132" t="s">
        <v>132</v>
      </c>
      <c r="E23" s="150">
        <v>28</v>
      </c>
      <c r="F23" s="150"/>
      <c r="G23" s="134">
        <f t="shared" si="2"/>
        <v>55878.139999999992</v>
      </c>
      <c r="H23" s="130">
        <v>2</v>
      </c>
      <c r="I23" s="127">
        <f>IF(Table47[[#This Row],[CODE]]=1, Table47[ [#This Row],[Account Deposit Amount] ]-Table47[ [#This Row],[Account Withdrawl Amount] ], )</f>
        <v>0</v>
      </c>
      <c r="J23" s="129">
        <f>IF(Table47[[#This Row],[CODE]]=2, Table47[ [#This Row],[Account Deposit Amount] ]-Table47[ [#This Row],[Account Withdrawl Amount] ], )</f>
        <v>28</v>
      </c>
      <c r="K23" s="129">
        <f>IF(Table47[[#This Row],[CODE]]=3, Table47[ [#This Row],[Account Deposit Amount] ]-Table47[ [#This Row],[Account Withdrawl Amount] ], )</f>
        <v>0</v>
      </c>
      <c r="L23" s="128">
        <f>IF(Table47[[#This Row],[CODE]]=4, Table47[ [#This Row],[Account Deposit Amount] ]-Table47[ [#This Row],[Account Withdrawl Amount] ], )</f>
        <v>0</v>
      </c>
      <c r="M23" s="128">
        <f>IF(Table47[[#This Row],[CODE]]=5, Table47[ [#This Row],[Account Deposit Amount] ]-Table47[ [#This Row],[Account Withdrawl Amount] ], )</f>
        <v>0</v>
      </c>
      <c r="N23" s="128">
        <f>IF(Table47[[#This Row],[CODE]]=6, Table47[ [#This Row],[Account Deposit Amount] ]-Table47[ [#This Row],[Account Withdrawl Amount] ], )</f>
        <v>0</v>
      </c>
      <c r="O23" s="128">
        <f>IF(Table47[[#This Row],[CODE]]=11, Table47[ [#This Row],[Account Deposit Amount] ]-Table47[ [#This Row],[Account Withdrawl Amount] ], )</f>
        <v>0</v>
      </c>
      <c r="P23" s="128">
        <f>IF(Table47[[#This Row],[CODE]]=12, Table47[ [#This Row],[Account Deposit Amount] ]-Table47[ [#This Row],[Account Withdrawl Amount] ], )</f>
        <v>0</v>
      </c>
      <c r="Q23" s="128">
        <f>IF(Table47[[#This Row],[CODE]]=13, Table47[ [#This Row],[Account Deposit Amount] ]-Table47[ [#This Row],[Account Withdrawl Amount] ], )</f>
        <v>0</v>
      </c>
      <c r="R23" s="128">
        <f>IF(Table47[[#This Row],[CODE]]=14, Table47[ [#This Row],[Account Deposit Amount] ]-Table47[ [#This Row],[Account Withdrawl Amount] ], )</f>
        <v>0</v>
      </c>
      <c r="S23" s="128">
        <f>IF(Table47[[#This Row],[CODE]]=15, Table47[ [#This Row],[Account Deposit Amount] ]-Table47[ [#This Row],[Account Withdrawl Amount] ], )</f>
        <v>0</v>
      </c>
      <c r="T23" s="128">
        <f>IF(Table47[[#This Row],[CODE]]=16, Table47[ [#This Row],[Account Deposit Amount] ]-Table47[ [#This Row],[Account Withdrawl Amount] ], )</f>
        <v>0</v>
      </c>
      <c r="U23" s="127">
        <f>IF(Table47[[#This Row],[CODE]]=17, Table47[ [#This Row],[Account Deposit Amount] ]-Table47[ [#This Row],[Account Withdrawl Amount] ], )</f>
        <v>0</v>
      </c>
    </row>
    <row r="24" spans="1:21" ht="16.2" thickBot="1">
      <c r="A24" s="150" t="s">
        <v>238</v>
      </c>
      <c r="B24" s="151">
        <v>45005</v>
      </c>
      <c r="C24" s="150" t="s">
        <v>476</v>
      </c>
      <c r="D24" s="132" t="s">
        <v>132</v>
      </c>
      <c r="E24" s="150">
        <v>50</v>
      </c>
      <c r="F24" s="150"/>
      <c r="G24" s="134">
        <f t="shared" si="2"/>
        <v>55928.139999999992</v>
      </c>
      <c r="H24" s="130">
        <v>2</v>
      </c>
      <c r="I24" s="127">
        <f>IF(Table47[[#This Row],[CODE]]=1, Table47[ [#This Row],[Account Deposit Amount] ]-Table47[ [#This Row],[Account Withdrawl Amount] ], )</f>
        <v>0</v>
      </c>
      <c r="J24" s="129">
        <f>IF(Table47[[#This Row],[CODE]]=2, Table47[ [#This Row],[Account Deposit Amount] ]-Table47[ [#This Row],[Account Withdrawl Amount] ], )</f>
        <v>50</v>
      </c>
      <c r="K24" s="129">
        <f>IF(Table47[[#This Row],[CODE]]=3, Table47[ [#This Row],[Account Deposit Amount] ]-Table47[ [#This Row],[Account Withdrawl Amount] ], )</f>
        <v>0</v>
      </c>
      <c r="L24" s="128">
        <f>IF(Table47[[#This Row],[CODE]]=4, Table47[ [#This Row],[Account Deposit Amount] ]-Table47[ [#This Row],[Account Withdrawl Amount] ], )</f>
        <v>0</v>
      </c>
      <c r="M24" s="128">
        <f>IF(Table47[[#This Row],[CODE]]=5, Table47[ [#This Row],[Account Deposit Amount] ]-Table47[ [#This Row],[Account Withdrawl Amount] ], )</f>
        <v>0</v>
      </c>
      <c r="N24" s="128">
        <f>IF(Table47[[#This Row],[CODE]]=6, Table47[ [#This Row],[Account Deposit Amount] ]-Table47[ [#This Row],[Account Withdrawl Amount] ], )</f>
        <v>0</v>
      </c>
      <c r="O24" s="128">
        <f>IF(Table47[[#This Row],[CODE]]=11, Table47[ [#This Row],[Account Deposit Amount] ]-Table47[ [#This Row],[Account Withdrawl Amount] ], )</f>
        <v>0</v>
      </c>
      <c r="P24" s="128">
        <f>IF(Table47[[#This Row],[CODE]]=12, Table47[ [#This Row],[Account Deposit Amount] ]-Table47[ [#This Row],[Account Withdrawl Amount] ], )</f>
        <v>0</v>
      </c>
      <c r="Q24" s="128">
        <f>IF(Table47[[#This Row],[CODE]]=13, Table47[ [#This Row],[Account Deposit Amount] ]-Table47[ [#This Row],[Account Withdrawl Amount] ], )</f>
        <v>0</v>
      </c>
      <c r="R24" s="128">
        <f>IF(Table47[[#This Row],[CODE]]=14, Table47[ [#This Row],[Account Deposit Amount] ]-Table47[ [#This Row],[Account Withdrawl Amount] ], )</f>
        <v>0</v>
      </c>
      <c r="S24" s="128">
        <f>IF(Table47[[#This Row],[CODE]]=15, Table47[ [#This Row],[Account Deposit Amount] ]-Table47[ [#This Row],[Account Withdrawl Amount] ], )</f>
        <v>0</v>
      </c>
      <c r="T24" s="128">
        <f>IF(Table47[[#This Row],[CODE]]=16, Table47[ [#This Row],[Account Deposit Amount] ]-Table47[ [#This Row],[Account Withdrawl Amount] ], )</f>
        <v>0</v>
      </c>
      <c r="U24" s="127">
        <f>IF(Table47[[#This Row],[CODE]]=17, Table47[ [#This Row],[Account Deposit Amount] ]-Table47[ [#This Row],[Account Withdrawl Amount] ], )</f>
        <v>0</v>
      </c>
    </row>
    <row r="25" spans="1:21" ht="16.2" thickBot="1">
      <c r="A25" s="150" t="s">
        <v>238</v>
      </c>
      <c r="B25" s="151">
        <v>45005</v>
      </c>
      <c r="C25" s="150" t="s">
        <v>276</v>
      </c>
      <c r="D25" s="132" t="s">
        <v>132</v>
      </c>
      <c r="E25" s="150">
        <v>1970</v>
      </c>
      <c r="F25" s="150"/>
      <c r="G25" s="134">
        <f t="shared" si="2"/>
        <v>57898.139999999992</v>
      </c>
      <c r="H25" s="130">
        <v>2</v>
      </c>
      <c r="I25" s="127">
        <f>IF(Table47[[#This Row],[CODE]]=1, Table47[ [#This Row],[Account Deposit Amount] ]-Table47[ [#This Row],[Account Withdrawl Amount] ], )</f>
        <v>0</v>
      </c>
      <c r="J25" s="129">
        <f>IF(Table47[[#This Row],[CODE]]=2, Table47[ [#This Row],[Account Deposit Amount] ]-Table47[ [#This Row],[Account Withdrawl Amount] ], )</f>
        <v>1970</v>
      </c>
      <c r="K25" s="129">
        <f>IF(Table47[[#This Row],[CODE]]=3, Table47[ [#This Row],[Account Deposit Amount] ]-Table47[ [#This Row],[Account Withdrawl Amount] ], )</f>
        <v>0</v>
      </c>
      <c r="L25" s="128">
        <f>IF(Table47[[#This Row],[CODE]]=4, Table47[ [#This Row],[Account Deposit Amount] ]-Table47[ [#This Row],[Account Withdrawl Amount] ], )</f>
        <v>0</v>
      </c>
      <c r="M25" s="128">
        <f>IF(Table47[[#This Row],[CODE]]=5, Table47[ [#This Row],[Account Deposit Amount] ]-Table47[ [#This Row],[Account Withdrawl Amount] ], )</f>
        <v>0</v>
      </c>
      <c r="N25" s="128">
        <f>IF(Table47[[#This Row],[CODE]]=6, Table47[ [#This Row],[Account Deposit Amount] ]-Table47[ [#This Row],[Account Withdrawl Amount] ], )</f>
        <v>0</v>
      </c>
      <c r="O25" s="128">
        <f>IF(Table47[[#This Row],[CODE]]=11, Table47[ [#This Row],[Account Deposit Amount] ]-Table47[ [#This Row],[Account Withdrawl Amount] ], )</f>
        <v>0</v>
      </c>
      <c r="P25" s="128">
        <f>IF(Table47[[#This Row],[CODE]]=12, Table47[ [#This Row],[Account Deposit Amount] ]-Table47[ [#This Row],[Account Withdrawl Amount] ], )</f>
        <v>0</v>
      </c>
      <c r="Q25" s="128">
        <f>IF(Table47[[#This Row],[CODE]]=13, Table47[ [#This Row],[Account Deposit Amount] ]-Table47[ [#This Row],[Account Withdrawl Amount] ], )</f>
        <v>0</v>
      </c>
      <c r="R25" s="128">
        <f>IF(Table47[[#This Row],[CODE]]=14, Table47[ [#This Row],[Account Deposit Amount] ]-Table47[ [#This Row],[Account Withdrawl Amount] ], )</f>
        <v>0</v>
      </c>
      <c r="S25" s="128">
        <f>IF(Table47[[#This Row],[CODE]]=15, Table47[ [#This Row],[Account Deposit Amount] ]-Table47[ [#This Row],[Account Withdrawl Amount] ], )</f>
        <v>0</v>
      </c>
      <c r="T25" s="128">
        <f>IF(Table47[[#This Row],[CODE]]=16, Table47[ [#This Row],[Account Deposit Amount] ]-Table47[ [#This Row],[Account Withdrawl Amount] ], )</f>
        <v>0</v>
      </c>
      <c r="U25" s="127">
        <f>IF(Table47[[#This Row],[CODE]]=17, Table47[ [#This Row],[Account Deposit Amount] ]-Table47[ [#This Row],[Account Withdrawl Amount] ], )</f>
        <v>0</v>
      </c>
    </row>
    <row r="26" spans="1:21" ht="16.2" thickBot="1">
      <c r="A26" s="150" t="s">
        <v>238</v>
      </c>
      <c r="B26" s="151">
        <v>45005</v>
      </c>
      <c r="C26" s="150" t="s">
        <v>276</v>
      </c>
      <c r="D26" s="132" t="s">
        <v>274</v>
      </c>
      <c r="E26" s="150">
        <v>10</v>
      </c>
      <c r="F26" s="150"/>
      <c r="G26" s="134">
        <f t="shared" si="2"/>
        <v>57908.139999999992</v>
      </c>
      <c r="H26" s="130">
        <v>4</v>
      </c>
      <c r="I26" s="127">
        <f>IF(Table47[[#This Row],[CODE]]=1, Table47[ [#This Row],[Account Deposit Amount] ]-Table47[ [#This Row],[Account Withdrawl Amount] ], )</f>
        <v>0</v>
      </c>
      <c r="J26" s="129">
        <f>IF(Table47[[#This Row],[CODE]]=2, Table47[ [#This Row],[Account Deposit Amount] ]-Table47[ [#This Row],[Account Withdrawl Amount] ], )</f>
        <v>0</v>
      </c>
      <c r="K26" s="129">
        <f>IF(Table47[[#This Row],[CODE]]=3, Table47[ [#This Row],[Account Deposit Amount] ]-Table47[ [#This Row],[Account Withdrawl Amount] ], )</f>
        <v>0</v>
      </c>
      <c r="L26" s="128">
        <f>IF(Table47[[#This Row],[CODE]]=4, Table47[ [#This Row],[Account Deposit Amount] ]-Table47[ [#This Row],[Account Withdrawl Amount] ], )</f>
        <v>10</v>
      </c>
      <c r="M26" s="128">
        <f>IF(Table47[[#This Row],[CODE]]=5, Table47[ [#This Row],[Account Deposit Amount] ]-Table47[ [#This Row],[Account Withdrawl Amount] ], )</f>
        <v>0</v>
      </c>
      <c r="N26" s="128">
        <f>IF(Table47[[#This Row],[CODE]]=6, Table47[ [#This Row],[Account Deposit Amount] ]-Table47[ [#This Row],[Account Withdrawl Amount] ], )</f>
        <v>0</v>
      </c>
      <c r="O26" s="128">
        <f>IF(Table47[[#This Row],[CODE]]=11, Table47[ [#This Row],[Account Deposit Amount] ]-Table47[ [#This Row],[Account Withdrawl Amount] ], )</f>
        <v>0</v>
      </c>
      <c r="P26" s="128">
        <f>IF(Table47[[#This Row],[CODE]]=12, Table47[ [#This Row],[Account Deposit Amount] ]-Table47[ [#This Row],[Account Withdrawl Amount] ], )</f>
        <v>0</v>
      </c>
      <c r="Q26" s="128">
        <f>IF(Table47[[#This Row],[CODE]]=13, Table47[ [#This Row],[Account Deposit Amount] ]-Table47[ [#This Row],[Account Withdrawl Amount] ], )</f>
        <v>0</v>
      </c>
      <c r="R26" s="128">
        <f>IF(Table47[[#This Row],[CODE]]=14, Table47[ [#This Row],[Account Deposit Amount] ]-Table47[ [#This Row],[Account Withdrawl Amount] ], )</f>
        <v>0</v>
      </c>
      <c r="S26" s="128">
        <f>IF(Table47[[#This Row],[CODE]]=15, Table47[ [#This Row],[Account Deposit Amount] ]-Table47[ [#This Row],[Account Withdrawl Amount] ], )</f>
        <v>0</v>
      </c>
      <c r="T26" s="128">
        <f>IF(Table47[[#This Row],[CODE]]=16, Table47[ [#This Row],[Account Deposit Amount] ]-Table47[ [#This Row],[Account Withdrawl Amount] ], )</f>
        <v>0</v>
      </c>
      <c r="U26" s="127">
        <f>IF(Table47[[#This Row],[CODE]]=17, Table47[ [#This Row],[Account Deposit Amount] ]-Table47[ [#This Row],[Account Withdrawl Amount] ], )</f>
        <v>0</v>
      </c>
    </row>
    <row r="27" spans="1:21" ht="16.2" thickBot="1">
      <c r="A27" s="150" t="s">
        <v>238</v>
      </c>
      <c r="B27" s="151">
        <v>45005</v>
      </c>
      <c r="C27" s="150" t="s">
        <v>276</v>
      </c>
      <c r="D27" s="132" t="s">
        <v>274</v>
      </c>
      <c r="E27" s="150">
        <v>4</v>
      </c>
      <c r="F27" s="150"/>
      <c r="G27" s="134">
        <f t="shared" si="2"/>
        <v>57912.139999999992</v>
      </c>
      <c r="H27" s="130">
        <v>4</v>
      </c>
      <c r="I27" s="127">
        <f>IF(Table47[[#This Row],[CODE]]=1, Table47[ [#This Row],[Account Deposit Amount] ]-Table47[ [#This Row],[Account Withdrawl Amount] ], )</f>
        <v>0</v>
      </c>
      <c r="J27" s="129">
        <f>IF(Table47[[#This Row],[CODE]]=2, Table47[ [#This Row],[Account Deposit Amount] ]-Table47[ [#This Row],[Account Withdrawl Amount] ], )</f>
        <v>0</v>
      </c>
      <c r="K27" s="129">
        <f>IF(Table47[[#This Row],[CODE]]=3, Table47[ [#This Row],[Account Deposit Amount] ]-Table47[ [#This Row],[Account Withdrawl Amount] ], )</f>
        <v>0</v>
      </c>
      <c r="L27" s="128">
        <f>IF(Table47[[#This Row],[CODE]]=4, Table47[ [#This Row],[Account Deposit Amount] ]-Table47[ [#This Row],[Account Withdrawl Amount] ], )</f>
        <v>4</v>
      </c>
      <c r="M27" s="128">
        <f>IF(Table47[[#This Row],[CODE]]=5, Table47[ [#This Row],[Account Deposit Amount] ]-Table47[ [#This Row],[Account Withdrawl Amount] ], )</f>
        <v>0</v>
      </c>
      <c r="N27" s="128">
        <f>IF(Table47[[#This Row],[CODE]]=6, Table47[ [#This Row],[Account Deposit Amount] ]-Table47[ [#This Row],[Account Withdrawl Amount] ], )</f>
        <v>0</v>
      </c>
      <c r="O27" s="128">
        <f>IF(Table47[[#This Row],[CODE]]=11, Table47[ [#This Row],[Account Deposit Amount] ]-Table47[ [#This Row],[Account Withdrawl Amount] ], )</f>
        <v>0</v>
      </c>
      <c r="P27" s="128">
        <f>IF(Table47[[#This Row],[CODE]]=12, Table47[ [#This Row],[Account Deposit Amount] ]-Table47[ [#This Row],[Account Withdrawl Amount] ], )</f>
        <v>0</v>
      </c>
      <c r="Q27" s="128">
        <f>IF(Table47[[#This Row],[CODE]]=13, Table47[ [#This Row],[Account Deposit Amount] ]-Table47[ [#This Row],[Account Withdrawl Amount] ], )</f>
        <v>0</v>
      </c>
      <c r="R27" s="128">
        <f>IF(Table47[[#This Row],[CODE]]=14, Table47[ [#This Row],[Account Deposit Amount] ]-Table47[ [#This Row],[Account Withdrawl Amount] ], )</f>
        <v>0</v>
      </c>
      <c r="S27" s="128">
        <f>IF(Table47[[#This Row],[CODE]]=15, Table47[ [#This Row],[Account Deposit Amount] ]-Table47[ [#This Row],[Account Withdrawl Amount] ], )</f>
        <v>0</v>
      </c>
      <c r="T27" s="128">
        <f>IF(Table47[[#This Row],[CODE]]=16, Table47[ [#This Row],[Account Deposit Amount] ]-Table47[ [#This Row],[Account Withdrawl Amount] ], )</f>
        <v>0</v>
      </c>
      <c r="U27" s="127">
        <f>IF(Table47[[#This Row],[CODE]]=17, Table47[ [#This Row],[Account Deposit Amount] ]-Table47[ [#This Row],[Account Withdrawl Amount] ], )</f>
        <v>0</v>
      </c>
    </row>
    <row r="28" spans="1:21" ht="16.2" thickBot="1">
      <c r="A28" s="150" t="s">
        <v>238</v>
      </c>
      <c r="B28" s="151">
        <v>45005</v>
      </c>
      <c r="C28" s="150" t="s">
        <v>276</v>
      </c>
      <c r="D28" s="132" t="s">
        <v>132</v>
      </c>
      <c r="E28" s="150">
        <v>3351</v>
      </c>
      <c r="F28" s="150"/>
      <c r="G28" s="134">
        <f t="shared" si="2"/>
        <v>61263.139999999992</v>
      </c>
      <c r="H28" s="130">
        <v>2</v>
      </c>
      <c r="I28" s="127">
        <f>IF(Table47[[#This Row],[CODE]]=1, Table47[ [#This Row],[Account Deposit Amount] ]-Table47[ [#This Row],[Account Withdrawl Amount] ], )</f>
        <v>0</v>
      </c>
      <c r="J28" s="129">
        <f>IF(Table47[[#This Row],[CODE]]=2, Table47[ [#This Row],[Account Deposit Amount] ]-Table47[ [#This Row],[Account Withdrawl Amount] ], )</f>
        <v>3351</v>
      </c>
      <c r="K28" s="129">
        <f>IF(Table47[[#This Row],[CODE]]=3, Table47[ [#This Row],[Account Deposit Amount] ]-Table47[ [#This Row],[Account Withdrawl Amount] ], )</f>
        <v>0</v>
      </c>
      <c r="L28" s="128">
        <f>IF(Table47[[#This Row],[CODE]]=4, Table47[ [#This Row],[Account Deposit Amount] ]-Table47[ [#This Row],[Account Withdrawl Amount] ], )</f>
        <v>0</v>
      </c>
      <c r="M28" s="128">
        <f>IF(Table47[[#This Row],[CODE]]=5, Table47[ [#This Row],[Account Deposit Amount] ]-Table47[ [#This Row],[Account Withdrawl Amount] ], )</f>
        <v>0</v>
      </c>
      <c r="N28" s="128">
        <f>IF(Table47[[#This Row],[CODE]]=6, Table47[ [#This Row],[Account Deposit Amount] ]-Table47[ [#This Row],[Account Withdrawl Amount] ], )</f>
        <v>0</v>
      </c>
      <c r="O28" s="128">
        <f>IF(Table47[[#This Row],[CODE]]=11, Table47[ [#This Row],[Account Deposit Amount] ]-Table47[ [#This Row],[Account Withdrawl Amount] ], )</f>
        <v>0</v>
      </c>
      <c r="P28" s="128">
        <f>IF(Table47[[#This Row],[CODE]]=12, Table47[ [#This Row],[Account Deposit Amount] ]-Table47[ [#This Row],[Account Withdrawl Amount] ], )</f>
        <v>0</v>
      </c>
      <c r="Q28" s="128">
        <f>IF(Table47[[#This Row],[CODE]]=13, Table47[ [#This Row],[Account Deposit Amount] ]-Table47[ [#This Row],[Account Withdrawl Amount] ], )</f>
        <v>0</v>
      </c>
      <c r="R28" s="128">
        <f>IF(Table47[[#This Row],[CODE]]=14, Table47[ [#This Row],[Account Deposit Amount] ]-Table47[ [#This Row],[Account Withdrawl Amount] ], )</f>
        <v>0</v>
      </c>
      <c r="S28" s="128">
        <f>IF(Table47[[#This Row],[CODE]]=15, Table47[ [#This Row],[Account Deposit Amount] ]-Table47[ [#This Row],[Account Withdrawl Amount] ], )</f>
        <v>0</v>
      </c>
      <c r="T28" s="128">
        <f>IF(Table47[[#This Row],[CODE]]=16, Table47[ [#This Row],[Account Deposit Amount] ]-Table47[ [#This Row],[Account Withdrawl Amount] ], )</f>
        <v>0</v>
      </c>
      <c r="U28" s="127">
        <f>IF(Table47[[#This Row],[CODE]]=17, Table47[ [#This Row],[Account Deposit Amount] ]-Table47[ [#This Row],[Account Withdrawl Amount] ], )</f>
        <v>0</v>
      </c>
    </row>
    <row r="29" spans="1:21" ht="16.2" thickBot="1">
      <c r="A29" s="150" t="s">
        <v>238</v>
      </c>
      <c r="B29" s="151">
        <v>45005</v>
      </c>
      <c r="C29" s="150" t="s">
        <v>276</v>
      </c>
      <c r="D29" s="132" t="s">
        <v>132</v>
      </c>
      <c r="E29" s="150">
        <v>5961</v>
      </c>
      <c r="F29" s="150"/>
      <c r="G29" s="134">
        <f t="shared" si="2"/>
        <v>67224.139999999985</v>
      </c>
      <c r="H29" s="130">
        <v>2</v>
      </c>
      <c r="I29" s="127">
        <f>IF(Table47[[#This Row],[CODE]]=1, Table47[ [#This Row],[Account Deposit Amount] ]-Table47[ [#This Row],[Account Withdrawl Amount] ], )</f>
        <v>0</v>
      </c>
      <c r="J29" s="129">
        <f>IF(Table47[[#This Row],[CODE]]=2, Table47[ [#This Row],[Account Deposit Amount] ]-Table47[ [#This Row],[Account Withdrawl Amount] ], )</f>
        <v>5961</v>
      </c>
      <c r="K29" s="129">
        <f>IF(Table47[[#This Row],[CODE]]=3, Table47[ [#This Row],[Account Deposit Amount] ]-Table47[ [#This Row],[Account Withdrawl Amount] ], )</f>
        <v>0</v>
      </c>
      <c r="L29" s="128">
        <f>IF(Table47[[#This Row],[CODE]]=4, Table47[ [#This Row],[Account Deposit Amount] ]-Table47[ [#This Row],[Account Withdrawl Amount] ], )</f>
        <v>0</v>
      </c>
      <c r="M29" s="128">
        <f>IF(Table47[[#This Row],[CODE]]=5, Table47[ [#This Row],[Account Deposit Amount] ]-Table47[ [#This Row],[Account Withdrawl Amount] ], )</f>
        <v>0</v>
      </c>
      <c r="N29" s="128">
        <f>IF(Table47[[#This Row],[CODE]]=6, Table47[ [#This Row],[Account Deposit Amount] ]-Table47[ [#This Row],[Account Withdrawl Amount] ], )</f>
        <v>0</v>
      </c>
      <c r="O29" s="128">
        <f>IF(Table47[[#This Row],[CODE]]=11, Table47[ [#This Row],[Account Deposit Amount] ]-Table47[ [#This Row],[Account Withdrawl Amount] ], )</f>
        <v>0</v>
      </c>
      <c r="P29" s="128">
        <f>IF(Table47[[#This Row],[CODE]]=12, Table47[ [#This Row],[Account Deposit Amount] ]-Table47[ [#This Row],[Account Withdrawl Amount] ], )</f>
        <v>0</v>
      </c>
      <c r="Q29" s="128">
        <f>IF(Table47[[#This Row],[CODE]]=13, Table47[ [#This Row],[Account Deposit Amount] ]-Table47[ [#This Row],[Account Withdrawl Amount] ], )</f>
        <v>0</v>
      </c>
      <c r="R29" s="128">
        <f>IF(Table47[[#This Row],[CODE]]=14, Table47[ [#This Row],[Account Deposit Amount] ]-Table47[ [#This Row],[Account Withdrawl Amount] ], )</f>
        <v>0</v>
      </c>
      <c r="S29" s="128">
        <f>IF(Table47[[#This Row],[CODE]]=15, Table47[ [#This Row],[Account Deposit Amount] ]-Table47[ [#This Row],[Account Withdrawl Amount] ], )</f>
        <v>0</v>
      </c>
      <c r="T29" s="128">
        <f>IF(Table47[[#This Row],[CODE]]=16, Table47[ [#This Row],[Account Deposit Amount] ]-Table47[ [#This Row],[Account Withdrawl Amount] ], )</f>
        <v>0</v>
      </c>
      <c r="U29" s="127">
        <f>IF(Table47[[#This Row],[CODE]]=17, Table47[ [#This Row],[Account Deposit Amount] ]-Table47[ [#This Row],[Account Withdrawl Amount] ], )</f>
        <v>0</v>
      </c>
    </row>
    <row r="30" spans="1:21" ht="16.2" thickBot="1">
      <c r="A30" s="150" t="s">
        <v>238</v>
      </c>
      <c r="B30" s="151">
        <v>45006</v>
      </c>
      <c r="C30" s="150" t="s">
        <v>276</v>
      </c>
      <c r="D30" s="132" t="s">
        <v>132</v>
      </c>
      <c r="E30" s="150">
        <v>275</v>
      </c>
      <c r="F30" s="150"/>
      <c r="G30" s="134">
        <f t="shared" si="2"/>
        <v>67499.139999999985</v>
      </c>
      <c r="H30" s="130">
        <v>2</v>
      </c>
      <c r="I30" s="127">
        <f>IF(Table47[[#This Row],[CODE]]=1, Table47[ [#This Row],[Account Deposit Amount] ]-Table47[ [#This Row],[Account Withdrawl Amount] ], )</f>
        <v>0</v>
      </c>
      <c r="J30" s="129">
        <f>IF(Table47[[#This Row],[CODE]]=2, Table47[ [#This Row],[Account Deposit Amount] ]-Table47[ [#This Row],[Account Withdrawl Amount] ], )</f>
        <v>275</v>
      </c>
      <c r="K30" s="129">
        <f>IF(Table47[[#This Row],[CODE]]=3, Table47[ [#This Row],[Account Deposit Amount] ]-Table47[ [#This Row],[Account Withdrawl Amount] ], )</f>
        <v>0</v>
      </c>
      <c r="L30" s="128">
        <f>IF(Table47[[#This Row],[CODE]]=4, Table47[ [#This Row],[Account Deposit Amount] ]-Table47[ [#This Row],[Account Withdrawl Amount] ], )</f>
        <v>0</v>
      </c>
      <c r="M30" s="128">
        <f>IF(Table47[[#This Row],[CODE]]=5, Table47[ [#This Row],[Account Deposit Amount] ]-Table47[ [#This Row],[Account Withdrawl Amount] ], )</f>
        <v>0</v>
      </c>
      <c r="N30" s="128">
        <f>IF(Table47[[#This Row],[CODE]]=6, Table47[ [#This Row],[Account Deposit Amount] ]-Table47[ [#This Row],[Account Withdrawl Amount] ], )</f>
        <v>0</v>
      </c>
      <c r="O30" s="128">
        <f>IF(Table47[[#This Row],[CODE]]=11, Table47[ [#This Row],[Account Deposit Amount] ]-Table47[ [#This Row],[Account Withdrawl Amount] ], )</f>
        <v>0</v>
      </c>
      <c r="P30" s="128">
        <f>IF(Table47[[#This Row],[CODE]]=12, Table47[ [#This Row],[Account Deposit Amount] ]-Table47[ [#This Row],[Account Withdrawl Amount] ], )</f>
        <v>0</v>
      </c>
      <c r="Q30" s="128">
        <f>IF(Table47[[#This Row],[CODE]]=13, Table47[ [#This Row],[Account Deposit Amount] ]-Table47[ [#This Row],[Account Withdrawl Amount] ], )</f>
        <v>0</v>
      </c>
      <c r="R30" s="128">
        <f>IF(Table47[[#This Row],[CODE]]=14, Table47[ [#This Row],[Account Deposit Amount] ]-Table47[ [#This Row],[Account Withdrawl Amount] ], )</f>
        <v>0</v>
      </c>
      <c r="S30" s="128">
        <f>IF(Table47[[#This Row],[CODE]]=15, Table47[ [#This Row],[Account Deposit Amount] ]-Table47[ [#This Row],[Account Withdrawl Amount] ], )</f>
        <v>0</v>
      </c>
      <c r="T30" s="128">
        <f>IF(Table47[[#This Row],[CODE]]=16, Table47[ [#This Row],[Account Deposit Amount] ]-Table47[ [#This Row],[Account Withdrawl Amount] ], )</f>
        <v>0</v>
      </c>
      <c r="U30" s="127">
        <f>IF(Table47[[#This Row],[CODE]]=17, Table47[ [#This Row],[Account Deposit Amount] ]-Table47[ [#This Row],[Account Withdrawl Amount] ], )</f>
        <v>0</v>
      </c>
    </row>
    <row r="31" spans="1:21" ht="16.2" thickBot="1">
      <c r="A31" s="150" t="s">
        <v>238</v>
      </c>
      <c r="B31" s="151">
        <v>45007</v>
      </c>
      <c r="C31" s="150" t="s">
        <v>276</v>
      </c>
      <c r="D31" s="132" t="s">
        <v>132</v>
      </c>
      <c r="E31" s="150">
        <v>1065</v>
      </c>
      <c r="F31" s="150"/>
      <c r="G31" s="134">
        <f t="shared" si="2"/>
        <v>68564.139999999985</v>
      </c>
      <c r="H31" s="130">
        <v>2</v>
      </c>
      <c r="I31" s="127">
        <f>IF(Table47[[#This Row],[CODE]]=1, Table47[ [#This Row],[Account Deposit Amount] ]-Table47[ [#This Row],[Account Withdrawl Amount] ], )</f>
        <v>0</v>
      </c>
      <c r="J31" s="129">
        <f>IF(Table47[[#This Row],[CODE]]=2, Table47[ [#This Row],[Account Deposit Amount] ]-Table47[ [#This Row],[Account Withdrawl Amount] ], )</f>
        <v>1065</v>
      </c>
      <c r="K31" s="129">
        <f>IF(Table47[[#This Row],[CODE]]=3, Table47[ [#This Row],[Account Deposit Amount] ]-Table47[ [#This Row],[Account Withdrawl Amount] ], )</f>
        <v>0</v>
      </c>
      <c r="L31" s="128">
        <f>IF(Table47[[#This Row],[CODE]]=4, Table47[ [#This Row],[Account Deposit Amount] ]-Table47[ [#This Row],[Account Withdrawl Amount] ], )</f>
        <v>0</v>
      </c>
      <c r="M31" s="128">
        <f>IF(Table47[[#This Row],[CODE]]=5, Table47[ [#This Row],[Account Deposit Amount] ]-Table47[ [#This Row],[Account Withdrawl Amount] ], )</f>
        <v>0</v>
      </c>
      <c r="N31" s="128">
        <f>IF(Table47[[#This Row],[CODE]]=6, Table47[ [#This Row],[Account Deposit Amount] ]-Table47[ [#This Row],[Account Withdrawl Amount] ], )</f>
        <v>0</v>
      </c>
      <c r="O31" s="128">
        <f>IF(Table47[[#This Row],[CODE]]=11, Table47[ [#This Row],[Account Deposit Amount] ]-Table47[ [#This Row],[Account Withdrawl Amount] ], )</f>
        <v>0</v>
      </c>
      <c r="P31" s="128">
        <f>IF(Table47[[#This Row],[CODE]]=12, Table47[ [#This Row],[Account Deposit Amount] ]-Table47[ [#This Row],[Account Withdrawl Amount] ], )</f>
        <v>0</v>
      </c>
      <c r="Q31" s="128">
        <f>IF(Table47[[#This Row],[CODE]]=13, Table47[ [#This Row],[Account Deposit Amount] ]-Table47[ [#This Row],[Account Withdrawl Amount] ], )</f>
        <v>0</v>
      </c>
      <c r="R31" s="128">
        <f>IF(Table47[[#This Row],[CODE]]=14, Table47[ [#This Row],[Account Deposit Amount] ]-Table47[ [#This Row],[Account Withdrawl Amount] ], )</f>
        <v>0</v>
      </c>
      <c r="S31" s="128">
        <f>IF(Table47[[#This Row],[CODE]]=15, Table47[ [#This Row],[Account Deposit Amount] ]-Table47[ [#This Row],[Account Withdrawl Amount] ], )</f>
        <v>0</v>
      </c>
      <c r="T31" s="128">
        <f>IF(Table47[[#This Row],[CODE]]=16, Table47[ [#This Row],[Account Deposit Amount] ]-Table47[ [#This Row],[Account Withdrawl Amount] ], )</f>
        <v>0</v>
      </c>
      <c r="U31" s="127">
        <f>IF(Table47[[#This Row],[CODE]]=17, Table47[ [#This Row],[Account Deposit Amount] ]-Table47[ [#This Row],[Account Withdrawl Amount] ], )</f>
        <v>0</v>
      </c>
    </row>
    <row r="32" spans="1:21" ht="16.2" thickBot="1">
      <c r="A32" s="150" t="s">
        <v>238</v>
      </c>
      <c r="B32" s="151">
        <v>45007</v>
      </c>
      <c r="C32" s="150" t="s">
        <v>276</v>
      </c>
      <c r="D32" s="132" t="s">
        <v>274</v>
      </c>
      <c r="E32" s="150">
        <v>1</v>
      </c>
      <c r="F32" s="150"/>
      <c r="G32" s="134">
        <f t="shared" si="2"/>
        <v>68565.139999999985</v>
      </c>
      <c r="H32" s="130">
        <v>4</v>
      </c>
      <c r="I32" s="127">
        <f>IF(Table47[[#This Row],[CODE]]=1, Table47[ [#This Row],[Account Deposit Amount] ]-Table47[ [#This Row],[Account Withdrawl Amount] ], )</f>
        <v>0</v>
      </c>
      <c r="J32" s="129">
        <f>IF(Table47[[#This Row],[CODE]]=2, Table47[ [#This Row],[Account Deposit Amount] ]-Table47[ [#This Row],[Account Withdrawl Amount] ], )</f>
        <v>0</v>
      </c>
      <c r="K32" s="129">
        <f>IF(Table47[[#This Row],[CODE]]=3, Table47[ [#This Row],[Account Deposit Amount] ]-Table47[ [#This Row],[Account Withdrawl Amount] ], )</f>
        <v>0</v>
      </c>
      <c r="L32" s="128">
        <f>IF(Table47[[#This Row],[CODE]]=4, Table47[ [#This Row],[Account Deposit Amount] ]-Table47[ [#This Row],[Account Withdrawl Amount] ], )</f>
        <v>1</v>
      </c>
      <c r="M32" s="128">
        <f>IF(Table47[[#This Row],[CODE]]=5, Table47[ [#This Row],[Account Deposit Amount] ]-Table47[ [#This Row],[Account Withdrawl Amount] ], )</f>
        <v>0</v>
      </c>
      <c r="N32" s="128">
        <f>IF(Table47[[#This Row],[CODE]]=6, Table47[ [#This Row],[Account Deposit Amount] ]-Table47[ [#This Row],[Account Withdrawl Amount] ], )</f>
        <v>0</v>
      </c>
      <c r="O32" s="128">
        <f>IF(Table47[[#This Row],[CODE]]=11, Table47[ [#This Row],[Account Deposit Amount] ]-Table47[ [#This Row],[Account Withdrawl Amount] ], )</f>
        <v>0</v>
      </c>
      <c r="P32" s="128">
        <f>IF(Table47[[#This Row],[CODE]]=12, Table47[ [#This Row],[Account Deposit Amount] ]-Table47[ [#This Row],[Account Withdrawl Amount] ], )</f>
        <v>0</v>
      </c>
      <c r="Q32" s="128">
        <f>IF(Table47[[#This Row],[CODE]]=13, Table47[ [#This Row],[Account Deposit Amount] ]-Table47[ [#This Row],[Account Withdrawl Amount] ], )</f>
        <v>0</v>
      </c>
      <c r="R32" s="128">
        <f>IF(Table47[[#This Row],[CODE]]=14, Table47[ [#This Row],[Account Deposit Amount] ]-Table47[ [#This Row],[Account Withdrawl Amount] ], )</f>
        <v>0</v>
      </c>
      <c r="S32" s="128">
        <f>IF(Table47[[#This Row],[CODE]]=15, Table47[ [#This Row],[Account Deposit Amount] ]-Table47[ [#This Row],[Account Withdrawl Amount] ], )</f>
        <v>0</v>
      </c>
      <c r="T32" s="128">
        <f>IF(Table47[[#This Row],[CODE]]=16, Table47[ [#This Row],[Account Deposit Amount] ]-Table47[ [#This Row],[Account Withdrawl Amount] ], )</f>
        <v>0</v>
      </c>
      <c r="U32" s="127">
        <f>IF(Table47[[#This Row],[CODE]]=17, Table47[ [#This Row],[Account Deposit Amount] ]-Table47[ [#This Row],[Account Withdrawl Amount] ], )</f>
        <v>0</v>
      </c>
    </row>
    <row r="33" spans="1:21" ht="16.2" thickBot="1">
      <c r="A33" s="150" t="s">
        <v>238</v>
      </c>
      <c r="B33" s="151">
        <v>45009</v>
      </c>
      <c r="C33" s="150" t="s">
        <v>276</v>
      </c>
      <c r="D33" s="132" t="s">
        <v>477</v>
      </c>
      <c r="E33" s="150">
        <v>275</v>
      </c>
      <c r="F33" s="150"/>
      <c r="G33" s="134">
        <f t="shared" si="2"/>
        <v>68840.139999999985</v>
      </c>
      <c r="H33" s="130">
        <v>2</v>
      </c>
      <c r="I33" s="127">
        <f>IF(Table47[[#This Row],[CODE]]=1, Table47[ [#This Row],[Account Deposit Amount] ]-Table47[ [#This Row],[Account Withdrawl Amount] ], )</f>
        <v>0</v>
      </c>
      <c r="J33" s="129">
        <f>IF(Table47[[#This Row],[CODE]]=2, Table47[ [#This Row],[Account Deposit Amount] ]-Table47[ [#This Row],[Account Withdrawl Amount] ], )</f>
        <v>275</v>
      </c>
      <c r="K33" s="129">
        <f>IF(Table47[[#This Row],[CODE]]=3, Table47[ [#This Row],[Account Deposit Amount] ]-Table47[ [#This Row],[Account Withdrawl Amount] ], )</f>
        <v>0</v>
      </c>
      <c r="L33" s="128">
        <f>IF(Table47[[#This Row],[CODE]]=4, Table47[ [#This Row],[Account Deposit Amount] ]-Table47[ [#This Row],[Account Withdrawl Amount] ], )</f>
        <v>0</v>
      </c>
      <c r="M33" s="128">
        <f>IF(Table47[[#This Row],[CODE]]=5, Table47[ [#This Row],[Account Deposit Amount] ]-Table47[ [#This Row],[Account Withdrawl Amount] ], )</f>
        <v>0</v>
      </c>
      <c r="N33" s="128">
        <f>IF(Table47[[#This Row],[CODE]]=6, Table47[ [#This Row],[Account Deposit Amount] ]-Table47[ [#This Row],[Account Withdrawl Amount] ], )</f>
        <v>0</v>
      </c>
      <c r="O33" s="128">
        <f>IF(Table47[[#This Row],[CODE]]=11, Table47[ [#This Row],[Account Deposit Amount] ]-Table47[ [#This Row],[Account Withdrawl Amount] ], )</f>
        <v>0</v>
      </c>
      <c r="P33" s="128">
        <f>IF(Table47[[#This Row],[CODE]]=12, Table47[ [#This Row],[Account Deposit Amount] ]-Table47[ [#This Row],[Account Withdrawl Amount] ], )</f>
        <v>0</v>
      </c>
      <c r="Q33" s="128">
        <f>IF(Table47[[#This Row],[CODE]]=13, Table47[ [#This Row],[Account Deposit Amount] ]-Table47[ [#This Row],[Account Withdrawl Amount] ], )</f>
        <v>0</v>
      </c>
      <c r="R33" s="128">
        <f>IF(Table47[[#This Row],[CODE]]=14, Table47[ [#This Row],[Account Deposit Amount] ]-Table47[ [#This Row],[Account Withdrawl Amount] ], )</f>
        <v>0</v>
      </c>
      <c r="S33" s="128">
        <f>IF(Table47[[#This Row],[CODE]]=15, Table47[ [#This Row],[Account Deposit Amount] ]-Table47[ [#This Row],[Account Withdrawl Amount] ], )</f>
        <v>0</v>
      </c>
      <c r="T33" s="128">
        <f>IF(Table47[[#This Row],[CODE]]=16, Table47[ [#This Row],[Account Deposit Amount] ]-Table47[ [#This Row],[Account Withdrawl Amount] ], )</f>
        <v>0</v>
      </c>
      <c r="U33" s="127">
        <f>IF(Table47[[#This Row],[CODE]]=17, Table47[ [#This Row],[Account Deposit Amount] ]-Table47[ [#This Row],[Account Withdrawl Amount] ], )</f>
        <v>0</v>
      </c>
    </row>
    <row r="34" spans="1:21" ht="16.2" thickBot="1">
      <c r="A34" s="150" t="s">
        <v>238</v>
      </c>
      <c r="B34" s="151">
        <v>45009</v>
      </c>
      <c r="C34" s="150" t="s">
        <v>276</v>
      </c>
      <c r="D34" s="132" t="s">
        <v>132</v>
      </c>
      <c r="E34" s="150">
        <v>940</v>
      </c>
      <c r="F34" s="150"/>
      <c r="G34" s="134">
        <f t="shared" si="2"/>
        <v>69780.139999999985</v>
      </c>
      <c r="H34" s="130">
        <v>2</v>
      </c>
      <c r="I34" s="127">
        <f>IF(Table47[[#This Row],[CODE]]=1, Table47[ [#This Row],[Account Deposit Amount] ]-Table47[ [#This Row],[Account Withdrawl Amount] ], )</f>
        <v>0</v>
      </c>
      <c r="J34" s="129">
        <f>IF(Table47[[#This Row],[CODE]]=2, Table47[ [#This Row],[Account Deposit Amount] ]-Table47[ [#This Row],[Account Withdrawl Amount] ], )</f>
        <v>940</v>
      </c>
      <c r="K34" s="129">
        <f>IF(Table47[[#This Row],[CODE]]=3, Table47[ [#This Row],[Account Deposit Amount] ]-Table47[ [#This Row],[Account Withdrawl Amount] ], )</f>
        <v>0</v>
      </c>
      <c r="L34" s="128">
        <f>IF(Table47[[#This Row],[CODE]]=4, Table47[ [#This Row],[Account Deposit Amount] ]-Table47[ [#This Row],[Account Withdrawl Amount] ], )</f>
        <v>0</v>
      </c>
      <c r="M34" s="128">
        <f>IF(Table47[[#This Row],[CODE]]=5, Table47[ [#This Row],[Account Deposit Amount] ]-Table47[ [#This Row],[Account Withdrawl Amount] ], )</f>
        <v>0</v>
      </c>
      <c r="N34" s="128">
        <f>IF(Table47[[#This Row],[CODE]]=6, Table47[ [#This Row],[Account Deposit Amount] ]-Table47[ [#This Row],[Account Withdrawl Amount] ], )</f>
        <v>0</v>
      </c>
      <c r="O34" s="128">
        <f>IF(Table47[[#This Row],[CODE]]=11, Table47[ [#This Row],[Account Deposit Amount] ]-Table47[ [#This Row],[Account Withdrawl Amount] ], )</f>
        <v>0</v>
      </c>
      <c r="P34" s="128">
        <f>IF(Table47[[#This Row],[CODE]]=12, Table47[ [#This Row],[Account Deposit Amount] ]-Table47[ [#This Row],[Account Withdrawl Amount] ], )</f>
        <v>0</v>
      </c>
      <c r="Q34" s="128">
        <f>IF(Table47[[#This Row],[CODE]]=13, Table47[ [#This Row],[Account Deposit Amount] ]-Table47[ [#This Row],[Account Withdrawl Amount] ], )</f>
        <v>0</v>
      </c>
      <c r="R34" s="128">
        <f>IF(Table47[[#This Row],[CODE]]=14, Table47[ [#This Row],[Account Deposit Amount] ]-Table47[ [#This Row],[Account Withdrawl Amount] ], )</f>
        <v>0</v>
      </c>
      <c r="S34" s="128">
        <f>IF(Table47[[#This Row],[CODE]]=15, Table47[ [#This Row],[Account Deposit Amount] ]-Table47[ [#This Row],[Account Withdrawl Amount] ], )</f>
        <v>0</v>
      </c>
      <c r="T34" s="128">
        <f>IF(Table47[[#This Row],[CODE]]=16, Table47[ [#This Row],[Account Deposit Amount] ]-Table47[ [#This Row],[Account Withdrawl Amount] ], )</f>
        <v>0</v>
      </c>
      <c r="U34" s="127">
        <f>IF(Table47[[#This Row],[CODE]]=17, Table47[ [#This Row],[Account Deposit Amount] ]-Table47[ [#This Row],[Account Withdrawl Amount] ], )</f>
        <v>0</v>
      </c>
    </row>
    <row r="35" spans="1:21" ht="16.2" thickBot="1">
      <c r="A35" s="150" t="s">
        <v>238</v>
      </c>
      <c r="B35" s="151">
        <v>45012</v>
      </c>
      <c r="C35" s="150" t="s">
        <v>468</v>
      </c>
      <c r="D35" s="132" t="s">
        <v>132</v>
      </c>
      <c r="E35" s="150">
        <v>420.59</v>
      </c>
      <c r="F35" s="150"/>
      <c r="G35" s="134">
        <f t="shared" si="2"/>
        <v>70200.729999999981</v>
      </c>
      <c r="H35" s="130">
        <v>2</v>
      </c>
      <c r="I35" s="127">
        <f>IF(Table47[[#This Row],[CODE]]=1, Table47[ [#This Row],[Account Deposit Amount] ]-Table47[ [#This Row],[Account Withdrawl Amount] ], )</f>
        <v>0</v>
      </c>
      <c r="J35" s="129">
        <f>IF(Table47[[#This Row],[CODE]]=2, Table47[ [#This Row],[Account Deposit Amount] ]-Table47[ [#This Row],[Account Withdrawl Amount] ], )</f>
        <v>420.59</v>
      </c>
      <c r="K35" s="129">
        <f>IF(Table47[[#This Row],[CODE]]=3, Table47[ [#This Row],[Account Deposit Amount] ]-Table47[ [#This Row],[Account Withdrawl Amount] ], )</f>
        <v>0</v>
      </c>
      <c r="L35" s="128">
        <f>IF(Table47[[#This Row],[CODE]]=4, Table47[ [#This Row],[Account Deposit Amount] ]-Table47[ [#This Row],[Account Withdrawl Amount] ], )</f>
        <v>0</v>
      </c>
      <c r="M35" s="128">
        <f>IF(Table47[[#This Row],[CODE]]=5, Table47[ [#This Row],[Account Deposit Amount] ]-Table47[ [#This Row],[Account Withdrawl Amount] ], )</f>
        <v>0</v>
      </c>
      <c r="N35" s="128">
        <f>IF(Table47[[#This Row],[CODE]]=6, Table47[ [#This Row],[Account Deposit Amount] ]-Table47[ [#This Row],[Account Withdrawl Amount] ], )</f>
        <v>0</v>
      </c>
      <c r="O35" s="128">
        <f>IF(Table47[[#This Row],[CODE]]=11, Table47[ [#This Row],[Account Deposit Amount] ]-Table47[ [#This Row],[Account Withdrawl Amount] ], )</f>
        <v>0</v>
      </c>
      <c r="P35" s="128">
        <f>IF(Table47[[#This Row],[CODE]]=12, Table47[ [#This Row],[Account Deposit Amount] ]-Table47[ [#This Row],[Account Withdrawl Amount] ], )</f>
        <v>0</v>
      </c>
      <c r="Q35" s="128">
        <f>IF(Table47[[#This Row],[CODE]]=13, Table47[ [#This Row],[Account Deposit Amount] ]-Table47[ [#This Row],[Account Withdrawl Amount] ], )</f>
        <v>0</v>
      </c>
      <c r="R35" s="128">
        <f>IF(Table47[[#This Row],[CODE]]=14, Table47[ [#This Row],[Account Deposit Amount] ]-Table47[ [#This Row],[Account Withdrawl Amount] ], )</f>
        <v>0</v>
      </c>
      <c r="S35" s="128">
        <f>IF(Table47[[#This Row],[CODE]]=15, Table47[ [#This Row],[Account Deposit Amount] ]-Table47[ [#This Row],[Account Withdrawl Amount] ], )</f>
        <v>0</v>
      </c>
      <c r="T35" s="128">
        <f>IF(Table47[[#This Row],[CODE]]=16, Table47[ [#This Row],[Account Deposit Amount] ]-Table47[ [#This Row],[Account Withdrawl Amount] ], )</f>
        <v>0</v>
      </c>
      <c r="U35" s="127">
        <f>IF(Table47[[#This Row],[CODE]]=17, Table47[ [#This Row],[Account Deposit Amount] ]-Table47[ [#This Row],[Account Withdrawl Amount] ], )</f>
        <v>0</v>
      </c>
    </row>
    <row r="36" spans="1:21" ht="25.2" thickBot="1">
      <c r="A36" s="150" t="s">
        <v>478</v>
      </c>
      <c r="B36" s="151">
        <v>45012</v>
      </c>
      <c r="C36" s="150" t="s">
        <v>330</v>
      </c>
      <c r="D36" s="132" t="s">
        <v>479</v>
      </c>
      <c r="E36" s="128"/>
      <c r="F36" s="128">
        <v>200</v>
      </c>
      <c r="G36" s="134">
        <f t="shared" si="2"/>
        <v>70000.729999999981</v>
      </c>
      <c r="H36" s="130">
        <v>13</v>
      </c>
      <c r="I36" s="127">
        <f>IF(Table47[[#This Row],[CODE]]=1, Table47[ [#This Row],[Account Deposit Amount] ]-Table47[ [#This Row],[Account Withdrawl Amount] ], )</f>
        <v>0</v>
      </c>
      <c r="J36" s="129">
        <f>IF(Table47[[#This Row],[CODE]]=2, Table47[ [#This Row],[Account Deposit Amount] ]-Table47[ [#This Row],[Account Withdrawl Amount] ], )</f>
        <v>0</v>
      </c>
      <c r="K36" s="129">
        <f>IF(Table47[[#This Row],[CODE]]=3, Table47[ [#This Row],[Account Deposit Amount] ]-Table47[ [#This Row],[Account Withdrawl Amount] ], )</f>
        <v>0</v>
      </c>
      <c r="L36" s="128">
        <f>IF(Table47[[#This Row],[CODE]]=4, Table47[ [#This Row],[Account Deposit Amount] ]-Table47[ [#This Row],[Account Withdrawl Amount] ], )</f>
        <v>0</v>
      </c>
      <c r="M36" s="128">
        <f>IF(Table47[[#This Row],[CODE]]=5, Table47[ [#This Row],[Account Deposit Amount] ]-Table47[ [#This Row],[Account Withdrawl Amount] ], )</f>
        <v>0</v>
      </c>
      <c r="N36" s="128">
        <f>IF(Table47[[#This Row],[CODE]]=6, Table47[ [#This Row],[Account Deposit Amount] ]-Table47[ [#This Row],[Account Withdrawl Amount] ], )</f>
        <v>0</v>
      </c>
      <c r="O36" s="128">
        <f>IF(Table47[[#This Row],[CODE]]=11, Table47[ [#This Row],[Account Deposit Amount] ]-Table47[ [#This Row],[Account Withdrawl Amount] ], )</f>
        <v>0</v>
      </c>
      <c r="P36" s="128">
        <f>IF(Table47[[#This Row],[CODE]]=12, Table47[ [#This Row],[Account Deposit Amount] ]-Table47[ [#This Row],[Account Withdrawl Amount] ], )</f>
        <v>0</v>
      </c>
      <c r="Q36" s="128">
        <f>IF(Table47[[#This Row],[CODE]]=13, Table47[ [#This Row],[Account Deposit Amount] ]-Table47[ [#This Row],[Account Withdrawl Amount] ], )</f>
        <v>-200</v>
      </c>
      <c r="R36" s="128">
        <f>IF(Table47[[#This Row],[CODE]]=14, Table47[ [#This Row],[Account Deposit Amount] ]-Table47[ [#This Row],[Account Withdrawl Amount] ], )</f>
        <v>0</v>
      </c>
      <c r="S36" s="128">
        <f>IF(Table47[[#This Row],[CODE]]=15, Table47[ [#This Row],[Account Deposit Amount] ]-Table47[ [#This Row],[Account Withdrawl Amount] ], )</f>
        <v>0</v>
      </c>
      <c r="T36" s="128">
        <f>IF(Table47[[#This Row],[CODE]]=16, Table47[ [#This Row],[Account Deposit Amount] ]-Table47[ [#This Row],[Account Withdrawl Amount] ], )</f>
        <v>0</v>
      </c>
      <c r="U36" s="127">
        <f>IF(Table47[[#This Row],[CODE]]=17, Table47[ [#This Row],[Account Deposit Amount] ]-Table47[ [#This Row],[Account Withdrawl Amount] ], )</f>
        <v>0</v>
      </c>
    </row>
    <row r="37" spans="1:21" ht="16.2" thickBot="1">
      <c r="A37" s="150" t="s">
        <v>238</v>
      </c>
      <c r="B37" s="151">
        <v>45014</v>
      </c>
      <c r="C37" s="150" t="s">
        <v>276</v>
      </c>
      <c r="D37" s="132" t="s">
        <v>132</v>
      </c>
      <c r="E37" s="150">
        <v>755</v>
      </c>
      <c r="F37" s="150"/>
      <c r="G37" s="134">
        <f t="shared" ref="G37:G68" si="3">G36+E37-F37</f>
        <v>70755.729999999981</v>
      </c>
      <c r="H37" s="130">
        <v>2</v>
      </c>
      <c r="I37" s="127">
        <f>IF(Table47[[#This Row],[CODE]]=1, Table47[ [#This Row],[Account Deposit Amount] ]-Table47[ [#This Row],[Account Withdrawl Amount] ], )</f>
        <v>0</v>
      </c>
      <c r="J37" s="129">
        <f>IF(Table47[[#This Row],[CODE]]=2, Table47[ [#This Row],[Account Deposit Amount] ]-Table47[ [#This Row],[Account Withdrawl Amount] ], )</f>
        <v>755</v>
      </c>
      <c r="K37" s="129">
        <f>IF(Table47[[#This Row],[CODE]]=3, Table47[ [#This Row],[Account Deposit Amount] ]-Table47[ [#This Row],[Account Withdrawl Amount] ], )</f>
        <v>0</v>
      </c>
      <c r="L37" s="128">
        <f>IF(Table47[[#This Row],[CODE]]=4, Table47[ [#This Row],[Account Deposit Amount] ]-Table47[ [#This Row],[Account Withdrawl Amount] ], )</f>
        <v>0</v>
      </c>
      <c r="M37" s="128">
        <f>IF(Table47[[#This Row],[CODE]]=5, Table47[ [#This Row],[Account Deposit Amount] ]-Table47[ [#This Row],[Account Withdrawl Amount] ], )</f>
        <v>0</v>
      </c>
      <c r="N37" s="128">
        <f>IF(Table47[[#This Row],[CODE]]=6, Table47[ [#This Row],[Account Deposit Amount] ]-Table47[ [#This Row],[Account Withdrawl Amount] ], )</f>
        <v>0</v>
      </c>
      <c r="O37" s="128">
        <f>IF(Table47[[#This Row],[CODE]]=11, Table47[ [#This Row],[Account Deposit Amount] ]-Table47[ [#This Row],[Account Withdrawl Amount] ], )</f>
        <v>0</v>
      </c>
      <c r="P37" s="128">
        <f>IF(Table47[[#This Row],[CODE]]=12, Table47[ [#This Row],[Account Deposit Amount] ]-Table47[ [#This Row],[Account Withdrawl Amount] ], )</f>
        <v>0</v>
      </c>
      <c r="Q37" s="128">
        <f>IF(Table47[[#This Row],[CODE]]=13, Table47[ [#This Row],[Account Deposit Amount] ]-Table47[ [#This Row],[Account Withdrawl Amount] ], )</f>
        <v>0</v>
      </c>
      <c r="R37" s="128">
        <f>IF(Table47[[#This Row],[CODE]]=14, Table47[ [#This Row],[Account Deposit Amount] ]-Table47[ [#This Row],[Account Withdrawl Amount] ], )</f>
        <v>0</v>
      </c>
      <c r="S37" s="128">
        <f>IF(Table47[[#This Row],[CODE]]=15, Table47[ [#This Row],[Account Deposit Amount] ]-Table47[ [#This Row],[Account Withdrawl Amount] ], )</f>
        <v>0</v>
      </c>
      <c r="T37" s="128">
        <f>IF(Table47[[#This Row],[CODE]]=16, Table47[ [#This Row],[Account Deposit Amount] ]-Table47[ [#This Row],[Account Withdrawl Amount] ], )</f>
        <v>0</v>
      </c>
      <c r="U37" s="127">
        <f>IF(Table47[[#This Row],[CODE]]=17, Table47[ [#This Row],[Account Deposit Amount] ]-Table47[ [#This Row],[Account Withdrawl Amount] ], )</f>
        <v>0</v>
      </c>
    </row>
    <row r="38" spans="1:21" ht="16.2" thickBot="1">
      <c r="A38" s="150" t="s">
        <v>238</v>
      </c>
      <c r="B38" s="151">
        <v>45015</v>
      </c>
      <c r="C38" s="150" t="s">
        <v>276</v>
      </c>
      <c r="D38" s="132" t="s">
        <v>132</v>
      </c>
      <c r="E38" s="150">
        <v>2355</v>
      </c>
      <c r="F38" s="150"/>
      <c r="G38" s="134">
        <f t="shared" si="3"/>
        <v>73110.729999999981</v>
      </c>
      <c r="H38" s="130">
        <v>2</v>
      </c>
      <c r="I38" s="127">
        <f>IF(Table47[[#This Row],[CODE]]=1, Table47[ [#This Row],[Account Deposit Amount] ]-Table47[ [#This Row],[Account Withdrawl Amount] ], )</f>
        <v>0</v>
      </c>
      <c r="J38" s="129">
        <f>IF(Table47[[#This Row],[CODE]]=2, Table47[ [#This Row],[Account Deposit Amount] ]-Table47[ [#This Row],[Account Withdrawl Amount] ], )</f>
        <v>2355</v>
      </c>
      <c r="K38" s="129">
        <f>IF(Table47[[#This Row],[CODE]]=3, Table47[ [#This Row],[Account Deposit Amount] ]-Table47[ [#This Row],[Account Withdrawl Amount] ], )</f>
        <v>0</v>
      </c>
      <c r="L38" s="128">
        <f>IF(Table47[[#This Row],[CODE]]=4, Table47[ [#This Row],[Account Deposit Amount] ]-Table47[ [#This Row],[Account Withdrawl Amount] ], )</f>
        <v>0</v>
      </c>
      <c r="M38" s="128">
        <f>IF(Table47[[#This Row],[CODE]]=5, Table47[ [#This Row],[Account Deposit Amount] ]-Table47[ [#This Row],[Account Withdrawl Amount] ], )</f>
        <v>0</v>
      </c>
      <c r="N38" s="128">
        <f>IF(Table47[[#This Row],[CODE]]=6, Table47[ [#This Row],[Account Deposit Amount] ]-Table47[ [#This Row],[Account Withdrawl Amount] ], )</f>
        <v>0</v>
      </c>
      <c r="O38" s="128">
        <f>IF(Table47[[#This Row],[CODE]]=11, Table47[ [#This Row],[Account Deposit Amount] ]-Table47[ [#This Row],[Account Withdrawl Amount] ], )</f>
        <v>0</v>
      </c>
      <c r="P38" s="128">
        <f>IF(Table47[[#This Row],[CODE]]=12, Table47[ [#This Row],[Account Deposit Amount] ]-Table47[ [#This Row],[Account Withdrawl Amount] ], )</f>
        <v>0</v>
      </c>
      <c r="Q38" s="128">
        <f>IF(Table47[[#This Row],[CODE]]=13, Table47[ [#This Row],[Account Deposit Amount] ]-Table47[ [#This Row],[Account Withdrawl Amount] ], )</f>
        <v>0</v>
      </c>
      <c r="R38" s="128">
        <f>IF(Table47[[#This Row],[CODE]]=14, Table47[ [#This Row],[Account Deposit Amount] ]-Table47[ [#This Row],[Account Withdrawl Amount] ], )</f>
        <v>0</v>
      </c>
      <c r="S38" s="128">
        <f>IF(Table47[[#This Row],[CODE]]=15, Table47[ [#This Row],[Account Deposit Amount] ]-Table47[ [#This Row],[Account Withdrawl Amount] ], )</f>
        <v>0</v>
      </c>
      <c r="T38" s="128">
        <f>IF(Table47[[#This Row],[CODE]]=16, Table47[ [#This Row],[Account Deposit Amount] ]-Table47[ [#This Row],[Account Withdrawl Amount] ], )</f>
        <v>0</v>
      </c>
      <c r="U38" s="127">
        <f>IF(Table47[[#This Row],[CODE]]=17, Table47[ [#This Row],[Account Deposit Amount] ]-Table47[ [#This Row],[Account Withdrawl Amount] ], )</f>
        <v>0</v>
      </c>
    </row>
    <row r="39" spans="1:21" ht="16.2" thickBot="1">
      <c r="A39" s="150" t="s">
        <v>238</v>
      </c>
      <c r="B39" s="151">
        <v>45015</v>
      </c>
      <c r="C39" s="150" t="s">
        <v>276</v>
      </c>
      <c r="D39" s="132" t="s">
        <v>132</v>
      </c>
      <c r="E39" s="150">
        <v>40</v>
      </c>
      <c r="F39" s="150"/>
      <c r="G39" s="134">
        <f t="shared" si="3"/>
        <v>73150.729999999981</v>
      </c>
      <c r="H39" s="130">
        <v>2</v>
      </c>
      <c r="I39" s="127">
        <f>IF(Table47[[#This Row],[CODE]]=1, Table47[ [#This Row],[Account Deposit Amount] ]-Table47[ [#This Row],[Account Withdrawl Amount] ], )</f>
        <v>0</v>
      </c>
      <c r="J39" s="129">
        <f>IF(Table47[[#This Row],[CODE]]=2, Table47[ [#This Row],[Account Deposit Amount] ]-Table47[ [#This Row],[Account Withdrawl Amount] ], )</f>
        <v>40</v>
      </c>
      <c r="K39" s="129">
        <f>IF(Table47[[#This Row],[CODE]]=3, Table47[ [#This Row],[Account Deposit Amount] ]-Table47[ [#This Row],[Account Withdrawl Amount] ], )</f>
        <v>0</v>
      </c>
      <c r="L39" s="128">
        <f>IF(Table47[[#This Row],[CODE]]=4, Table47[ [#This Row],[Account Deposit Amount] ]-Table47[ [#This Row],[Account Withdrawl Amount] ], )</f>
        <v>0</v>
      </c>
      <c r="M39" s="128">
        <f>IF(Table47[[#This Row],[CODE]]=5, Table47[ [#This Row],[Account Deposit Amount] ]-Table47[ [#This Row],[Account Withdrawl Amount] ], )</f>
        <v>0</v>
      </c>
      <c r="N39" s="128">
        <f>IF(Table47[[#This Row],[CODE]]=6, Table47[ [#This Row],[Account Deposit Amount] ]-Table47[ [#This Row],[Account Withdrawl Amount] ], )</f>
        <v>0</v>
      </c>
      <c r="O39" s="128">
        <f>IF(Table47[[#This Row],[CODE]]=11, Table47[ [#This Row],[Account Deposit Amount] ]-Table47[ [#This Row],[Account Withdrawl Amount] ], )</f>
        <v>0</v>
      </c>
      <c r="P39" s="128">
        <f>IF(Table47[[#This Row],[CODE]]=12, Table47[ [#This Row],[Account Deposit Amount] ]-Table47[ [#This Row],[Account Withdrawl Amount] ], )</f>
        <v>0</v>
      </c>
      <c r="Q39" s="128">
        <f>IF(Table47[[#This Row],[CODE]]=13, Table47[ [#This Row],[Account Deposit Amount] ]-Table47[ [#This Row],[Account Withdrawl Amount] ], )</f>
        <v>0</v>
      </c>
      <c r="R39" s="128">
        <f>IF(Table47[[#This Row],[CODE]]=14, Table47[ [#This Row],[Account Deposit Amount] ]-Table47[ [#This Row],[Account Withdrawl Amount] ], )</f>
        <v>0</v>
      </c>
      <c r="S39" s="128">
        <f>IF(Table47[[#This Row],[CODE]]=15, Table47[ [#This Row],[Account Deposit Amount] ]-Table47[ [#This Row],[Account Withdrawl Amount] ], )</f>
        <v>0</v>
      </c>
      <c r="T39" s="128">
        <f>IF(Table47[[#This Row],[CODE]]=16, Table47[ [#This Row],[Account Deposit Amount] ]-Table47[ [#This Row],[Account Withdrawl Amount] ], )</f>
        <v>0</v>
      </c>
      <c r="U39" s="127">
        <f>IF(Table47[[#This Row],[CODE]]=17, Table47[ [#This Row],[Account Deposit Amount] ]-Table47[ [#This Row],[Account Withdrawl Amount] ], )</f>
        <v>0</v>
      </c>
    </row>
    <row r="40" spans="1:21" ht="16.2" thickBot="1">
      <c r="A40" s="150" t="s">
        <v>238</v>
      </c>
      <c r="B40" s="151">
        <v>45016</v>
      </c>
      <c r="C40" s="150" t="s">
        <v>468</v>
      </c>
      <c r="D40" s="132" t="s">
        <v>132</v>
      </c>
      <c r="E40" s="150">
        <v>923.37</v>
      </c>
      <c r="F40" s="150"/>
      <c r="G40" s="134">
        <f t="shared" si="3"/>
        <v>74074.099999999977</v>
      </c>
      <c r="H40" s="130">
        <v>2</v>
      </c>
      <c r="I40" s="127">
        <f>IF(Table47[[#This Row],[CODE]]=1, Table47[ [#This Row],[Account Deposit Amount] ]-Table47[ [#This Row],[Account Withdrawl Amount] ], )</f>
        <v>0</v>
      </c>
      <c r="J40" s="129">
        <f>IF(Table47[[#This Row],[CODE]]=2, Table47[ [#This Row],[Account Deposit Amount] ]-Table47[ [#This Row],[Account Withdrawl Amount] ], )</f>
        <v>923.37</v>
      </c>
      <c r="K40" s="129">
        <f>IF(Table47[[#This Row],[CODE]]=3, Table47[ [#This Row],[Account Deposit Amount] ]-Table47[ [#This Row],[Account Withdrawl Amount] ], )</f>
        <v>0</v>
      </c>
      <c r="L40" s="128">
        <f>IF(Table47[[#This Row],[CODE]]=4, Table47[ [#This Row],[Account Deposit Amount] ]-Table47[ [#This Row],[Account Withdrawl Amount] ], )</f>
        <v>0</v>
      </c>
      <c r="M40" s="128">
        <f>IF(Table47[[#This Row],[CODE]]=5, Table47[ [#This Row],[Account Deposit Amount] ]-Table47[ [#This Row],[Account Withdrawl Amount] ], )</f>
        <v>0</v>
      </c>
      <c r="N40" s="128">
        <f>IF(Table47[[#This Row],[CODE]]=6, Table47[ [#This Row],[Account Deposit Amount] ]-Table47[ [#This Row],[Account Withdrawl Amount] ], )</f>
        <v>0</v>
      </c>
      <c r="O40" s="128">
        <f>IF(Table47[[#This Row],[CODE]]=11, Table47[ [#This Row],[Account Deposit Amount] ]-Table47[ [#This Row],[Account Withdrawl Amount] ], )</f>
        <v>0</v>
      </c>
      <c r="P40" s="128">
        <f>IF(Table47[[#This Row],[CODE]]=12, Table47[ [#This Row],[Account Deposit Amount] ]-Table47[ [#This Row],[Account Withdrawl Amount] ], )</f>
        <v>0</v>
      </c>
      <c r="Q40" s="128">
        <f>IF(Table47[[#This Row],[CODE]]=13, Table47[ [#This Row],[Account Deposit Amount] ]-Table47[ [#This Row],[Account Withdrawl Amount] ], )</f>
        <v>0</v>
      </c>
      <c r="R40" s="128">
        <f>IF(Table47[[#This Row],[CODE]]=14, Table47[ [#This Row],[Account Deposit Amount] ]-Table47[ [#This Row],[Account Withdrawl Amount] ], )</f>
        <v>0</v>
      </c>
      <c r="S40" s="128">
        <f>IF(Table47[[#This Row],[CODE]]=15, Table47[ [#This Row],[Account Deposit Amount] ]-Table47[ [#This Row],[Account Withdrawl Amount] ], )</f>
        <v>0</v>
      </c>
      <c r="T40" s="128">
        <f>IF(Table47[[#This Row],[CODE]]=16, Table47[ [#This Row],[Account Deposit Amount] ]-Table47[ [#This Row],[Account Withdrawl Amount] ], )</f>
        <v>0</v>
      </c>
      <c r="U40" s="127">
        <f>IF(Table47[[#This Row],[CODE]]=17, Table47[ [#This Row],[Account Deposit Amount] ]-Table47[ [#This Row],[Account Withdrawl Amount] ], )</f>
        <v>0</v>
      </c>
    </row>
    <row r="41" spans="1:21" ht="16.2" thickBot="1">
      <c r="A41" s="150" t="s">
        <v>238</v>
      </c>
      <c r="B41" s="151">
        <v>45016</v>
      </c>
      <c r="C41" s="150" t="s">
        <v>276</v>
      </c>
      <c r="D41" s="132" t="s">
        <v>480</v>
      </c>
      <c r="E41" s="150">
        <v>245</v>
      </c>
      <c r="F41" s="150"/>
      <c r="G41" s="134">
        <f t="shared" si="3"/>
        <v>74319.099999999977</v>
      </c>
      <c r="H41" s="130">
        <v>2</v>
      </c>
      <c r="I41" s="127">
        <f>IF(Table47[[#This Row],[CODE]]=1, Table47[ [#This Row],[Account Deposit Amount] ]-Table47[ [#This Row],[Account Withdrawl Amount] ], )</f>
        <v>0</v>
      </c>
      <c r="J41" s="129">
        <f>IF(Table47[[#This Row],[CODE]]=2, Table47[ [#This Row],[Account Deposit Amount] ]-Table47[ [#This Row],[Account Withdrawl Amount] ], )</f>
        <v>245</v>
      </c>
      <c r="K41" s="129">
        <f>IF(Table47[[#This Row],[CODE]]=3, Table47[ [#This Row],[Account Deposit Amount] ]-Table47[ [#This Row],[Account Withdrawl Amount] ], )</f>
        <v>0</v>
      </c>
      <c r="L41" s="128">
        <f>IF(Table47[[#This Row],[CODE]]=4, Table47[ [#This Row],[Account Deposit Amount] ]-Table47[ [#This Row],[Account Withdrawl Amount] ], )</f>
        <v>0</v>
      </c>
      <c r="M41" s="128">
        <f>IF(Table47[[#This Row],[CODE]]=5, Table47[ [#This Row],[Account Deposit Amount] ]-Table47[ [#This Row],[Account Withdrawl Amount] ], )</f>
        <v>0</v>
      </c>
      <c r="N41" s="128">
        <f>IF(Table47[[#This Row],[CODE]]=6, Table47[ [#This Row],[Account Deposit Amount] ]-Table47[ [#This Row],[Account Withdrawl Amount] ], )</f>
        <v>0</v>
      </c>
      <c r="O41" s="128">
        <f>IF(Table47[[#This Row],[CODE]]=11, Table47[ [#This Row],[Account Deposit Amount] ]-Table47[ [#This Row],[Account Withdrawl Amount] ], )</f>
        <v>0</v>
      </c>
      <c r="P41" s="128">
        <f>IF(Table47[[#This Row],[CODE]]=12, Table47[ [#This Row],[Account Deposit Amount] ]-Table47[ [#This Row],[Account Withdrawl Amount] ], )</f>
        <v>0</v>
      </c>
      <c r="Q41" s="128">
        <f>IF(Table47[[#This Row],[CODE]]=13, Table47[ [#This Row],[Account Deposit Amount] ]-Table47[ [#This Row],[Account Withdrawl Amount] ], )</f>
        <v>0</v>
      </c>
      <c r="R41" s="128">
        <f>IF(Table47[[#This Row],[CODE]]=14, Table47[ [#This Row],[Account Deposit Amount] ]-Table47[ [#This Row],[Account Withdrawl Amount] ], )</f>
        <v>0</v>
      </c>
      <c r="S41" s="128">
        <f>IF(Table47[[#This Row],[CODE]]=15, Table47[ [#This Row],[Account Deposit Amount] ]-Table47[ [#This Row],[Account Withdrawl Amount] ], )</f>
        <v>0</v>
      </c>
      <c r="T41" s="128">
        <f>IF(Table47[[#This Row],[CODE]]=16, Table47[ [#This Row],[Account Deposit Amount] ]-Table47[ [#This Row],[Account Withdrawl Amount] ], )</f>
        <v>0</v>
      </c>
      <c r="U41" s="127">
        <f>IF(Table47[[#This Row],[CODE]]=17, Table47[ [#This Row],[Account Deposit Amount] ]-Table47[ [#This Row],[Account Withdrawl Amount] ], )</f>
        <v>0</v>
      </c>
    </row>
    <row r="42" spans="1:21" ht="16.2" thickBot="1">
      <c r="A42" s="150" t="s">
        <v>241</v>
      </c>
      <c r="B42" s="151">
        <v>45016</v>
      </c>
      <c r="C42" s="150" t="s">
        <v>268</v>
      </c>
      <c r="D42" s="132" t="s">
        <v>481</v>
      </c>
      <c r="E42" s="150"/>
      <c r="F42" s="150">
        <v>10.6</v>
      </c>
      <c r="G42" s="134">
        <f t="shared" si="3"/>
        <v>74308.499999999971</v>
      </c>
      <c r="H42" s="130">
        <v>13</v>
      </c>
      <c r="I42" s="127">
        <f>IF(Table47[[#This Row],[CODE]]=1, Table47[ [#This Row],[Account Deposit Amount] ]-Table47[ [#This Row],[Account Withdrawl Amount] ], )</f>
        <v>0</v>
      </c>
      <c r="J42" s="129">
        <f>IF(Table47[[#This Row],[CODE]]=2, Table47[ [#This Row],[Account Deposit Amount] ]-Table47[ [#This Row],[Account Withdrawl Amount] ], )</f>
        <v>0</v>
      </c>
      <c r="K42" s="129">
        <f>IF(Table47[[#This Row],[CODE]]=3, Table47[ [#This Row],[Account Deposit Amount] ]-Table47[ [#This Row],[Account Withdrawl Amount] ], )</f>
        <v>0</v>
      </c>
      <c r="L42" s="128">
        <f>IF(Table47[[#This Row],[CODE]]=4, Table47[ [#This Row],[Account Deposit Amount] ]-Table47[ [#This Row],[Account Withdrawl Amount] ], )</f>
        <v>0</v>
      </c>
      <c r="M42" s="128">
        <f>IF(Table47[[#This Row],[CODE]]=5, Table47[ [#This Row],[Account Deposit Amount] ]-Table47[ [#This Row],[Account Withdrawl Amount] ], )</f>
        <v>0</v>
      </c>
      <c r="N42" s="128">
        <f>IF(Table47[[#This Row],[CODE]]=6, Table47[ [#This Row],[Account Deposit Amount] ]-Table47[ [#This Row],[Account Withdrawl Amount] ], )</f>
        <v>0</v>
      </c>
      <c r="O42" s="128">
        <f>IF(Table47[[#This Row],[CODE]]=11, Table47[ [#This Row],[Account Deposit Amount] ]-Table47[ [#This Row],[Account Withdrawl Amount] ], )</f>
        <v>0</v>
      </c>
      <c r="P42" s="128">
        <f>IF(Table47[[#This Row],[CODE]]=12, Table47[ [#This Row],[Account Deposit Amount] ]-Table47[ [#This Row],[Account Withdrawl Amount] ], )</f>
        <v>0</v>
      </c>
      <c r="Q42" s="128">
        <f>IF(Table47[[#This Row],[CODE]]=13, Table47[ [#This Row],[Account Deposit Amount] ]-Table47[ [#This Row],[Account Withdrawl Amount] ], )</f>
        <v>-10.6</v>
      </c>
      <c r="R42" s="128">
        <f>IF(Table47[[#This Row],[CODE]]=14, Table47[ [#This Row],[Account Deposit Amount] ]-Table47[ [#This Row],[Account Withdrawl Amount] ], )</f>
        <v>0</v>
      </c>
      <c r="S42" s="128">
        <f>IF(Table47[[#This Row],[CODE]]=15, Table47[ [#This Row],[Account Deposit Amount] ]-Table47[ [#This Row],[Account Withdrawl Amount] ], )</f>
        <v>0</v>
      </c>
      <c r="T42" s="128">
        <f>IF(Table47[[#This Row],[CODE]]=16, Table47[ [#This Row],[Account Deposit Amount] ]-Table47[ [#This Row],[Account Withdrawl Amount] ], )</f>
        <v>0</v>
      </c>
      <c r="U42" s="127">
        <f>IF(Table47[[#This Row],[CODE]]=17, Table47[ [#This Row],[Account Deposit Amount] ]-Table47[ [#This Row],[Account Withdrawl Amount] ], )</f>
        <v>0</v>
      </c>
    </row>
    <row r="43" spans="1:21" ht="16.2" thickBot="1">
      <c r="A43" s="150" t="s">
        <v>238</v>
      </c>
      <c r="B43" s="151">
        <v>45016</v>
      </c>
      <c r="C43" s="150" t="s">
        <v>482</v>
      </c>
      <c r="D43" s="132" t="s">
        <v>483</v>
      </c>
      <c r="E43" s="150">
        <v>300</v>
      </c>
      <c r="F43" s="150"/>
      <c r="G43" s="134">
        <f t="shared" si="3"/>
        <v>74608.499999999971</v>
      </c>
      <c r="H43" s="130">
        <v>2</v>
      </c>
      <c r="I43" s="127">
        <f>IF(Table47[[#This Row],[CODE]]=1, Table47[ [#This Row],[Account Deposit Amount] ]-Table47[ [#This Row],[Account Withdrawl Amount] ], )</f>
        <v>0</v>
      </c>
      <c r="J43" s="129">
        <f>IF(Table47[[#This Row],[CODE]]=2, Table47[ [#This Row],[Account Deposit Amount] ]-Table47[ [#This Row],[Account Withdrawl Amount] ], )</f>
        <v>300</v>
      </c>
      <c r="K43" s="129">
        <f>IF(Table47[[#This Row],[CODE]]=3, Table47[ [#This Row],[Account Deposit Amount] ]-Table47[ [#This Row],[Account Withdrawl Amount] ], )</f>
        <v>0</v>
      </c>
      <c r="L43" s="128">
        <f>IF(Table47[[#This Row],[CODE]]=4, Table47[ [#This Row],[Account Deposit Amount] ]-Table47[ [#This Row],[Account Withdrawl Amount] ], )</f>
        <v>0</v>
      </c>
      <c r="M43" s="128">
        <f>IF(Table47[[#This Row],[CODE]]=5, Table47[ [#This Row],[Account Deposit Amount] ]-Table47[ [#This Row],[Account Withdrawl Amount] ], )</f>
        <v>0</v>
      </c>
      <c r="N43" s="128">
        <f>IF(Table47[[#This Row],[CODE]]=6, Table47[ [#This Row],[Account Deposit Amount] ]-Table47[ [#This Row],[Account Withdrawl Amount] ], )</f>
        <v>0</v>
      </c>
      <c r="O43" s="128">
        <f>IF(Table47[[#This Row],[CODE]]=11, Table47[ [#This Row],[Account Deposit Amount] ]-Table47[ [#This Row],[Account Withdrawl Amount] ], )</f>
        <v>0</v>
      </c>
      <c r="P43" s="128">
        <f>IF(Table47[[#This Row],[CODE]]=12, Table47[ [#This Row],[Account Deposit Amount] ]-Table47[ [#This Row],[Account Withdrawl Amount] ], )</f>
        <v>0</v>
      </c>
      <c r="Q43" s="128">
        <f>IF(Table47[[#This Row],[CODE]]=13, Table47[ [#This Row],[Account Deposit Amount] ]-Table47[ [#This Row],[Account Withdrawl Amount] ], )</f>
        <v>0</v>
      </c>
      <c r="R43" s="128">
        <f>IF(Table47[[#This Row],[CODE]]=14, Table47[ [#This Row],[Account Deposit Amount] ]-Table47[ [#This Row],[Account Withdrawl Amount] ], )</f>
        <v>0</v>
      </c>
      <c r="S43" s="128">
        <f>IF(Table47[[#This Row],[CODE]]=15, Table47[ [#This Row],[Account Deposit Amount] ]-Table47[ [#This Row],[Account Withdrawl Amount] ], )</f>
        <v>0</v>
      </c>
      <c r="T43" s="128">
        <f>IF(Table47[[#This Row],[CODE]]=16, Table47[ [#This Row],[Account Deposit Amount] ]-Table47[ [#This Row],[Account Withdrawl Amount] ], )</f>
        <v>0</v>
      </c>
      <c r="U43" s="127">
        <f>IF(Table47[[#This Row],[CODE]]=17, Table47[ [#This Row],[Account Deposit Amount] ]-Table47[ [#This Row],[Account Withdrawl Amount] ], )</f>
        <v>0</v>
      </c>
    </row>
    <row r="44" spans="1:21" ht="16.2" thickBot="1">
      <c r="A44" s="150" t="s">
        <v>238</v>
      </c>
      <c r="B44" s="151">
        <v>45016</v>
      </c>
      <c r="C44" s="150" t="s">
        <v>276</v>
      </c>
      <c r="D44" s="132" t="s">
        <v>132</v>
      </c>
      <c r="E44" s="150">
        <v>465</v>
      </c>
      <c r="F44" s="150"/>
      <c r="G44" s="134">
        <f t="shared" si="3"/>
        <v>75073.499999999971</v>
      </c>
      <c r="H44" s="130">
        <v>2</v>
      </c>
      <c r="I44" s="127">
        <f>IF(Table47[[#This Row],[CODE]]=1, Table47[ [#This Row],[Account Deposit Amount] ]-Table47[ [#This Row],[Account Withdrawl Amount] ], )</f>
        <v>0</v>
      </c>
      <c r="J44" s="129">
        <f>IF(Table47[[#This Row],[CODE]]=2, Table47[ [#This Row],[Account Deposit Amount] ]-Table47[ [#This Row],[Account Withdrawl Amount] ], )</f>
        <v>465</v>
      </c>
      <c r="K44" s="129">
        <f>IF(Table47[[#This Row],[CODE]]=3, Table47[ [#This Row],[Account Deposit Amount] ]-Table47[ [#This Row],[Account Withdrawl Amount] ], )</f>
        <v>0</v>
      </c>
      <c r="L44" s="128">
        <f>IF(Table47[[#This Row],[CODE]]=4, Table47[ [#This Row],[Account Deposit Amount] ]-Table47[ [#This Row],[Account Withdrawl Amount] ], )</f>
        <v>0</v>
      </c>
      <c r="M44" s="128">
        <f>IF(Table47[[#This Row],[CODE]]=5, Table47[ [#This Row],[Account Deposit Amount] ]-Table47[ [#This Row],[Account Withdrawl Amount] ], )</f>
        <v>0</v>
      </c>
      <c r="N44" s="128">
        <f>IF(Table47[[#This Row],[CODE]]=6, Table47[ [#This Row],[Account Deposit Amount] ]-Table47[ [#This Row],[Account Withdrawl Amount] ], )</f>
        <v>0</v>
      </c>
      <c r="O44" s="128">
        <f>IF(Table47[[#This Row],[CODE]]=11, Table47[ [#This Row],[Account Deposit Amount] ]-Table47[ [#This Row],[Account Withdrawl Amount] ], )</f>
        <v>0</v>
      </c>
      <c r="P44" s="128">
        <f>IF(Table47[[#This Row],[CODE]]=12, Table47[ [#This Row],[Account Deposit Amount] ]-Table47[ [#This Row],[Account Withdrawl Amount] ], )</f>
        <v>0</v>
      </c>
      <c r="Q44" s="128">
        <f>IF(Table47[[#This Row],[CODE]]=13, Table47[ [#This Row],[Account Deposit Amount] ]-Table47[ [#This Row],[Account Withdrawl Amount] ], )</f>
        <v>0</v>
      </c>
      <c r="R44" s="128">
        <f>IF(Table47[[#This Row],[CODE]]=14, Table47[ [#This Row],[Account Deposit Amount] ]-Table47[ [#This Row],[Account Withdrawl Amount] ], )</f>
        <v>0</v>
      </c>
      <c r="S44" s="128">
        <f>IF(Table47[[#This Row],[CODE]]=15, Table47[ [#This Row],[Account Deposit Amount] ]-Table47[ [#This Row],[Account Withdrawl Amount] ], )</f>
        <v>0</v>
      </c>
      <c r="T44" s="128">
        <f>IF(Table47[[#This Row],[CODE]]=16, Table47[ [#This Row],[Account Deposit Amount] ]-Table47[ [#This Row],[Account Withdrawl Amount] ], )</f>
        <v>0</v>
      </c>
      <c r="U44" s="127">
        <f>IF(Table47[[#This Row],[CODE]]=17, Table47[ [#This Row],[Account Deposit Amount] ]-Table47[ [#This Row],[Account Withdrawl Amount] ], )</f>
        <v>0</v>
      </c>
    </row>
    <row r="45" spans="1:21" ht="16.2" thickBot="1">
      <c r="A45" s="130"/>
      <c r="B45" s="133"/>
      <c r="C45" s="130"/>
      <c r="D45" s="132"/>
      <c r="E45" s="128"/>
      <c r="F45" s="128"/>
      <c r="G45" s="134">
        <f t="shared" si="3"/>
        <v>75073.499999999971</v>
      </c>
      <c r="H45" s="130"/>
      <c r="I45" s="127">
        <f>IF(Table47[[#This Row],[CODE]]=1, Table47[ [#This Row],[Account Deposit Amount] ]-Table47[ [#This Row],[Account Withdrawl Amount] ], )</f>
        <v>0</v>
      </c>
      <c r="J45" s="129">
        <f>IF(Table47[[#This Row],[CODE]]=2, Table47[ [#This Row],[Account Deposit Amount] ]-Table47[ [#This Row],[Account Withdrawl Amount] ], )</f>
        <v>0</v>
      </c>
      <c r="K45" s="129">
        <f>IF(Table47[[#This Row],[CODE]]=3, Table47[ [#This Row],[Account Deposit Amount] ]-Table47[ [#This Row],[Account Withdrawl Amount] ], )</f>
        <v>0</v>
      </c>
      <c r="L45" s="128">
        <f>IF(Table47[[#This Row],[CODE]]=4, Table47[ [#This Row],[Account Deposit Amount] ]-Table47[ [#This Row],[Account Withdrawl Amount] ], )</f>
        <v>0</v>
      </c>
      <c r="M45" s="128">
        <f>IF(Table47[[#This Row],[CODE]]=5, Table47[ [#This Row],[Account Deposit Amount] ]-Table47[ [#This Row],[Account Withdrawl Amount] ], )</f>
        <v>0</v>
      </c>
      <c r="N45" s="128">
        <f>IF(Table47[[#This Row],[CODE]]=6, Table47[ [#This Row],[Account Deposit Amount] ]-Table47[ [#This Row],[Account Withdrawl Amount] ], )</f>
        <v>0</v>
      </c>
      <c r="O45" s="128">
        <f>IF(Table47[[#This Row],[CODE]]=11, Table47[ [#This Row],[Account Deposit Amount] ]-Table47[ [#This Row],[Account Withdrawl Amount] ], )</f>
        <v>0</v>
      </c>
      <c r="P45" s="128">
        <f>IF(Table47[[#This Row],[CODE]]=12, Table47[ [#This Row],[Account Deposit Amount] ]-Table47[ [#This Row],[Account Withdrawl Amount] ], )</f>
        <v>0</v>
      </c>
      <c r="Q45" s="128">
        <f>IF(Table47[[#This Row],[CODE]]=13, Table47[ [#This Row],[Account Deposit Amount] ]-Table47[ [#This Row],[Account Withdrawl Amount] ], )</f>
        <v>0</v>
      </c>
      <c r="R45" s="128">
        <f>IF(Table47[[#This Row],[CODE]]=14, Table47[ [#This Row],[Account Deposit Amount] ]-Table47[ [#This Row],[Account Withdrawl Amount] ], )</f>
        <v>0</v>
      </c>
      <c r="S45" s="128">
        <f>IF(Table47[[#This Row],[CODE]]=15, Table47[ [#This Row],[Account Deposit Amount] ]-Table47[ [#This Row],[Account Withdrawl Amount] ], )</f>
        <v>0</v>
      </c>
      <c r="T45" s="128">
        <f>IF(Table47[[#This Row],[CODE]]=16, Table47[ [#This Row],[Account Deposit Amount] ]-Table47[ [#This Row],[Account Withdrawl Amount] ], )</f>
        <v>0</v>
      </c>
      <c r="U45" s="127">
        <f>IF(Table47[[#This Row],[CODE]]=17, Table47[ [#This Row],[Account Deposit Amount] ]-Table47[ [#This Row],[Account Withdrawl Amount] ], )</f>
        <v>0</v>
      </c>
    </row>
    <row r="46" spans="1:21" ht="16.2" thickBot="1">
      <c r="A46" s="130"/>
      <c r="B46" s="133"/>
      <c r="C46" s="130"/>
      <c r="D46" s="132"/>
      <c r="E46" s="128"/>
      <c r="F46" s="128"/>
      <c r="G46" s="134">
        <f t="shared" si="3"/>
        <v>75073.499999999971</v>
      </c>
      <c r="H46" s="130"/>
      <c r="I46" s="127">
        <f>IF(Table47[[#This Row],[CODE]]=1, Table47[ [#This Row],[Account Deposit Amount] ]-Table47[ [#This Row],[Account Withdrawl Amount] ], )</f>
        <v>0</v>
      </c>
      <c r="J46" s="129">
        <f>IF(Table47[[#This Row],[CODE]]=2, Table47[ [#This Row],[Account Deposit Amount] ]-Table47[ [#This Row],[Account Withdrawl Amount] ], )</f>
        <v>0</v>
      </c>
      <c r="K46" s="129">
        <f>IF(Table47[[#This Row],[CODE]]=3, Table47[ [#This Row],[Account Deposit Amount] ]-Table47[ [#This Row],[Account Withdrawl Amount] ], )</f>
        <v>0</v>
      </c>
      <c r="L46" s="128">
        <f>IF(Table47[[#This Row],[CODE]]=4, Table47[ [#This Row],[Account Deposit Amount] ]-Table47[ [#This Row],[Account Withdrawl Amount] ], )</f>
        <v>0</v>
      </c>
      <c r="M46" s="128">
        <f>IF(Table47[[#This Row],[CODE]]=5, Table47[ [#This Row],[Account Deposit Amount] ]-Table47[ [#This Row],[Account Withdrawl Amount] ], )</f>
        <v>0</v>
      </c>
      <c r="N46" s="128">
        <f>IF(Table47[[#This Row],[CODE]]=6, Table47[ [#This Row],[Account Deposit Amount] ]-Table47[ [#This Row],[Account Withdrawl Amount] ], )</f>
        <v>0</v>
      </c>
      <c r="O46" s="128">
        <f>IF(Table47[[#This Row],[CODE]]=11, Table47[ [#This Row],[Account Deposit Amount] ]-Table47[ [#This Row],[Account Withdrawl Amount] ], )</f>
        <v>0</v>
      </c>
      <c r="P46" s="128">
        <f>IF(Table47[[#This Row],[CODE]]=12, Table47[ [#This Row],[Account Deposit Amount] ]-Table47[ [#This Row],[Account Withdrawl Amount] ], )</f>
        <v>0</v>
      </c>
      <c r="Q46" s="128">
        <f>IF(Table47[[#This Row],[CODE]]=13, Table47[ [#This Row],[Account Deposit Amount] ]-Table47[ [#This Row],[Account Withdrawl Amount] ], )</f>
        <v>0</v>
      </c>
      <c r="R46" s="128">
        <f>IF(Table47[[#This Row],[CODE]]=14, Table47[ [#This Row],[Account Deposit Amount] ]-Table47[ [#This Row],[Account Withdrawl Amount] ], )</f>
        <v>0</v>
      </c>
      <c r="S46" s="128">
        <f>IF(Table47[[#This Row],[CODE]]=15, Table47[ [#This Row],[Account Deposit Amount] ]-Table47[ [#This Row],[Account Withdrawl Amount] ], )</f>
        <v>0</v>
      </c>
      <c r="T46" s="128">
        <f>IF(Table47[[#This Row],[CODE]]=16, Table47[ [#This Row],[Account Deposit Amount] ]-Table47[ [#This Row],[Account Withdrawl Amount] ], )</f>
        <v>0</v>
      </c>
      <c r="U46" s="127">
        <f>IF(Table47[[#This Row],[CODE]]=17, Table47[ [#This Row],[Account Deposit Amount] ]-Table47[ [#This Row],[Account Withdrawl Amount] ], )</f>
        <v>0</v>
      </c>
    </row>
    <row r="47" spans="1:21" ht="16.2" thickBot="1">
      <c r="A47" s="130"/>
      <c r="B47" s="133"/>
      <c r="C47" s="130"/>
      <c r="D47" s="132"/>
      <c r="E47" s="128"/>
      <c r="F47" s="128"/>
      <c r="G47" s="134">
        <f t="shared" si="3"/>
        <v>75073.499999999971</v>
      </c>
      <c r="H47" s="130"/>
      <c r="I47" s="127">
        <f>IF(Table47[[#This Row],[CODE]]=1, Table47[ [#This Row],[Account Deposit Amount] ]-Table47[ [#This Row],[Account Withdrawl Amount] ], )</f>
        <v>0</v>
      </c>
      <c r="J47" s="129">
        <f>IF(Table47[[#This Row],[CODE]]=2, Table47[ [#This Row],[Account Deposit Amount] ]-Table47[ [#This Row],[Account Withdrawl Amount] ], )</f>
        <v>0</v>
      </c>
      <c r="K47" s="129">
        <f>IF(Table47[[#This Row],[CODE]]=3, Table47[ [#This Row],[Account Deposit Amount] ]-Table47[ [#This Row],[Account Withdrawl Amount] ], )</f>
        <v>0</v>
      </c>
      <c r="L47" s="128">
        <f>IF(Table47[[#This Row],[CODE]]=4, Table47[ [#This Row],[Account Deposit Amount] ]-Table47[ [#This Row],[Account Withdrawl Amount] ], )</f>
        <v>0</v>
      </c>
      <c r="M47" s="128">
        <f>IF(Table47[[#This Row],[CODE]]=5, Table47[ [#This Row],[Account Deposit Amount] ]-Table47[ [#This Row],[Account Withdrawl Amount] ], )</f>
        <v>0</v>
      </c>
      <c r="N47" s="128">
        <f>IF(Table47[[#This Row],[CODE]]=6, Table47[ [#This Row],[Account Deposit Amount] ]-Table47[ [#This Row],[Account Withdrawl Amount] ], )</f>
        <v>0</v>
      </c>
      <c r="O47" s="128">
        <f>IF(Table47[[#This Row],[CODE]]=11, Table47[ [#This Row],[Account Deposit Amount] ]-Table47[ [#This Row],[Account Withdrawl Amount] ], )</f>
        <v>0</v>
      </c>
      <c r="P47" s="128">
        <f>IF(Table47[[#This Row],[CODE]]=12, Table47[ [#This Row],[Account Deposit Amount] ]-Table47[ [#This Row],[Account Withdrawl Amount] ], )</f>
        <v>0</v>
      </c>
      <c r="Q47" s="128">
        <f>IF(Table47[[#This Row],[CODE]]=13, Table47[ [#This Row],[Account Deposit Amount] ]-Table47[ [#This Row],[Account Withdrawl Amount] ], )</f>
        <v>0</v>
      </c>
      <c r="R47" s="128">
        <f>IF(Table47[[#This Row],[CODE]]=14, Table47[ [#This Row],[Account Deposit Amount] ]-Table47[ [#This Row],[Account Withdrawl Amount] ], )</f>
        <v>0</v>
      </c>
      <c r="S47" s="128">
        <f>IF(Table47[[#This Row],[CODE]]=15, Table47[ [#This Row],[Account Deposit Amount] ]-Table47[ [#This Row],[Account Withdrawl Amount] ], )</f>
        <v>0</v>
      </c>
      <c r="T47" s="128">
        <f>IF(Table47[[#This Row],[CODE]]=16, Table47[ [#This Row],[Account Deposit Amount] ]-Table47[ [#This Row],[Account Withdrawl Amount] ], )</f>
        <v>0</v>
      </c>
      <c r="U47" s="127">
        <f>IF(Table47[[#This Row],[CODE]]=17, Table47[ [#This Row],[Account Deposit Amount] ]-Table47[ [#This Row],[Account Withdrawl Amount] ], )</f>
        <v>0</v>
      </c>
    </row>
    <row r="48" spans="1:21" ht="16.2" thickBot="1">
      <c r="A48" s="130"/>
      <c r="B48" s="133"/>
      <c r="C48" s="130"/>
      <c r="D48" s="132"/>
      <c r="E48" s="128"/>
      <c r="F48" s="128"/>
      <c r="G48" s="134">
        <f t="shared" si="3"/>
        <v>75073.499999999971</v>
      </c>
      <c r="H48" s="130"/>
      <c r="I48" s="127">
        <f>IF(Table47[[#This Row],[CODE]]=1, Table47[ [#This Row],[Account Deposit Amount] ]-Table47[ [#This Row],[Account Withdrawl Amount] ], )</f>
        <v>0</v>
      </c>
      <c r="J48" s="129">
        <f>IF(Table47[[#This Row],[CODE]]=2, Table47[ [#This Row],[Account Deposit Amount] ]-Table47[ [#This Row],[Account Withdrawl Amount] ], )</f>
        <v>0</v>
      </c>
      <c r="K48" s="129">
        <f>IF(Table47[[#This Row],[CODE]]=3, Table47[ [#This Row],[Account Deposit Amount] ]-Table47[ [#This Row],[Account Withdrawl Amount] ], )</f>
        <v>0</v>
      </c>
      <c r="L48" s="128">
        <f>IF(Table47[[#This Row],[CODE]]=4, Table47[ [#This Row],[Account Deposit Amount] ]-Table47[ [#This Row],[Account Withdrawl Amount] ], )</f>
        <v>0</v>
      </c>
      <c r="M48" s="128">
        <f>IF(Table47[[#This Row],[CODE]]=5, Table47[ [#This Row],[Account Deposit Amount] ]-Table47[ [#This Row],[Account Withdrawl Amount] ], )</f>
        <v>0</v>
      </c>
      <c r="N48" s="128">
        <f>IF(Table47[[#This Row],[CODE]]=6, Table47[ [#This Row],[Account Deposit Amount] ]-Table47[ [#This Row],[Account Withdrawl Amount] ], )</f>
        <v>0</v>
      </c>
      <c r="O48" s="128">
        <f>IF(Table47[[#This Row],[CODE]]=11, Table47[ [#This Row],[Account Deposit Amount] ]-Table47[ [#This Row],[Account Withdrawl Amount] ], )</f>
        <v>0</v>
      </c>
      <c r="P48" s="128">
        <f>IF(Table47[[#This Row],[CODE]]=12, Table47[ [#This Row],[Account Deposit Amount] ]-Table47[ [#This Row],[Account Withdrawl Amount] ], )</f>
        <v>0</v>
      </c>
      <c r="Q48" s="128">
        <f>IF(Table47[[#This Row],[CODE]]=13, Table47[ [#This Row],[Account Deposit Amount] ]-Table47[ [#This Row],[Account Withdrawl Amount] ], )</f>
        <v>0</v>
      </c>
      <c r="R48" s="128">
        <f>IF(Table47[[#This Row],[CODE]]=14, Table47[ [#This Row],[Account Deposit Amount] ]-Table47[ [#This Row],[Account Withdrawl Amount] ], )</f>
        <v>0</v>
      </c>
      <c r="S48" s="128">
        <f>IF(Table47[[#This Row],[CODE]]=15, Table47[ [#This Row],[Account Deposit Amount] ]-Table47[ [#This Row],[Account Withdrawl Amount] ], )</f>
        <v>0</v>
      </c>
      <c r="T48" s="128">
        <f>IF(Table47[[#This Row],[CODE]]=16, Table47[ [#This Row],[Account Deposit Amount] ]-Table47[ [#This Row],[Account Withdrawl Amount] ], )</f>
        <v>0</v>
      </c>
      <c r="U48" s="127">
        <f>IF(Table47[[#This Row],[CODE]]=17, Table47[ [#This Row],[Account Deposit Amount] ]-Table47[ [#This Row],[Account Withdrawl Amount] ], )</f>
        <v>0</v>
      </c>
    </row>
    <row r="49" spans="1:21" ht="16.2" thickBot="1">
      <c r="A49" s="130"/>
      <c r="B49" s="133"/>
      <c r="C49" s="130"/>
      <c r="D49" s="132"/>
      <c r="E49" s="128"/>
      <c r="F49" s="128"/>
      <c r="G49" s="134">
        <f t="shared" si="3"/>
        <v>75073.499999999971</v>
      </c>
      <c r="H49" s="130"/>
      <c r="I49" s="127">
        <f>IF(Table47[[#This Row],[CODE]]=1, Table47[ [#This Row],[Account Deposit Amount] ]-Table47[ [#This Row],[Account Withdrawl Amount] ], )</f>
        <v>0</v>
      </c>
      <c r="J49" s="129">
        <f>IF(Table47[[#This Row],[CODE]]=2, Table47[ [#This Row],[Account Deposit Amount] ]-Table47[ [#This Row],[Account Withdrawl Amount] ], )</f>
        <v>0</v>
      </c>
      <c r="K49" s="129">
        <f>IF(Table47[[#This Row],[CODE]]=3, Table47[ [#This Row],[Account Deposit Amount] ]-Table47[ [#This Row],[Account Withdrawl Amount] ], )</f>
        <v>0</v>
      </c>
      <c r="L49" s="128">
        <f>IF(Table47[[#This Row],[CODE]]=4, Table47[ [#This Row],[Account Deposit Amount] ]-Table47[ [#This Row],[Account Withdrawl Amount] ], )</f>
        <v>0</v>
      </c>
      <c r="M49" s="128">
        <f>IF(Table47[[#This Row],[CODE]]=5, Table47[ [#This Row],[Account Deposit Amount] ]-Table47[ [#This Row],[Account Withdrawl Amount] ], )</f>
        <v>0</v>
      </c>
      <c r="N49" s="128">
        <f>IF(Table47[[#This Row],[CODE]]=6, Table47[ [#This Row],[Account Deposit Amount] ]-Table47[ [#This Row],[Account Withdrawl Amount] ], )</f>
        <v>0</v>
      </c>
      <c r="O49" s="128">
        <f>IF(Table47[[#This Row],[CODE]]=11, Table47[ [#This Row],[Account Deposit Amount] ]-Table47[ [#This Row],[Account Withdrawl Amount] ], )</f>
        <v>0</v>
      </c>
      <c r="P49" s="128">
        <f>IF(Table47[[#This Row],[CODE]]=12, Table47[ [#This Row],[Account Deposit Amount] ]-Table47[ [#This Row],[Account Withdrawl Amount] ], )</f>
        <v>0</v>
      </c>
      <c r="Q49" s="128">
        <f>IF(Table47[[#This Row],[CODE]]=13, Table47[ [#This Row],[Account Deposit Amount] ]-Table47[ [#This Row],[Account Withdrawl Amount] ], )</f>
        <v>0</v>
      </c>
      <c r="R49" s="128">
        <f>IF(Table47[[#This Row],[CODE]]=14, Table47[ [#This Row],[Account Deposit Amount] ]-Table47[ [#This Row],[Account Withdrawl Amount] ], )</f>
        <v>0</v>
      </c>
      <c r="S49" s="128">
        <f>IF(Table47[[#This Row],[CODE]]=15, Table47[ [#This Row],[Account Deposit Amount] ]-Table47[ [#This Row],[Account Withdrawl Amount] ], )</f>
        <v>0</v>
      </c>
      <c r="T49" s="128">
        <f>IF(Table47[[#This Row],[CODE]]=16, Table47[ [#This Row],[Account Deposit Amount] ]-Table47[ [#This Row],[Account Withdrawl Amount] ], )</f>
        <v>0</v>
      </c>
      <c r="U49" s="127">
        <f>IF(Table47[[#This Row],[CODE]]=17, Table47[ [#This Row],[Account Deposit Amount] ]-Table47[ [#This Row],[Account Withdrawl Amount] ], )</f>
        <v>0</v>
      </c>
    </row>
    <row r="50" spans="1:21" ht="16.2" thickBot="1">
      <c r="A50" s="130"/>
      <c r="B50" s="133"/>
      <c r="C50" s="130"/>
      <c r="D50" s="132"/>
      <c r="E50" s="128"/>
      <c r="F50" s="128"/>
      <c r="G50" s="131">
        <f t="shared" si="3"/>
        <v>75073.499999999971</v>
      </c>
      <c r="H50" s="130"/>
      <c r="I50" s="127">
        <f>IF(Table47[[#This Row],[CODE]]=1, Table47[ [#This Row],[Account Deposit Amount] ]-Table47[ [#This Row],[Account Withdrawl Amount] ], )</f>
        <v>0</v>
      </c>
      <c r="J50" s="129">
        <f>IF(Table47[[#This Row],[CODE]]=2, Table47[ [#This Row],[Account Deposit Amount] ]-Table47[ [#This Row],[Account Withdrawl Amount] ], )</f>
        <v>0</v>
      </c>
      <c r="K50" s="129">
        <f>IF(Table47[[#This Row],[CODE]]=3, Table47[ [#This Row],[Account Deposit Amount] ]-Table47[ [#This Row],[Account Withdrawl Amount] ], )</f>
        <v>0</v>
      </c>
      <c r="L50" s="128">
        <f>IF(Table47[[#This Row],[CODE]]=4, Table47[ [#This Row],[Account Deposit Amount] ]-Table47[ [#This Row],[Account Withdrawl Amount] ], )</f>
        <v>0</v>
      </c>
      <c r="M50" s="128">
        <f>IF(Table47[[#This Row],[CODE]]=5, Table47[ [#This Row],[Account Deposit Amount] ]-Table47[ [#This Row],[Account Withdrawl Amount] ], )</f>
        <v>0</v>
      </c>
      <c r="N50" s="128">
        <f>IF(Table47[[#This Row],[CODE]]=6, Table47[ [#This Row],[Account Deposit Amount] ]-Table47[ [#This Row],[Account Withdrawl Amount] ], )</f>
        <v>0</v>
      </c>
      <c r="O50" s="128">
        <f>IF(Table47[[#This Row],[CODE]]=11, Table47[ [#This Row],[Account Deposit Amount] ]-Table47[ [#This Row],[Account Withdrawl Amount] ], )</f>
        <v>0</v>
      </c>
      <c r="P50" s="128">
        <f>IF(Table47[[#This Row],[CODE]]=12, Table47[ [#This Row],[Account Deposit Amount] ]-Table47[ [#This Row],[Account Withdrawl Amount] ], )</f>
        <v>0</v>
      </c>
      <c r="Q50" s="128">
        <f>IF(Table47[[#This Row],[CODE]]=13, Table47[ [#This Row],[Account Deposit Amount] ]-Table47[ [#This Row],[Account Withdrawl Amount] ], )</f>
        <v>0</v>
      </c>
      <c r="R50" s="128">
        <f>IF(Table47[[#This Row],[CODE]]=14, Table47[ [#This Row],[Account Deposit Amount] ]-Table47[ [#This Row],[Account Withdrawl Amount] ], )</f>
        <v>0</v>
      </c>
      <c r="S50" s="128">
        <f>IF(Table47[[#This Row],[CODE]]=15, Table47[ [#This Row],[Account Deposit Amount] ]-Table47[ [#This Row],[Account Withdrawl Amount] ], )</f>
        <v>0</v>
      </c>
      <c r="T50" s="128">
        <f>IF(Table47[[#This Row],[CODE]]=16, Table47[ [#This Row],[Account Deposit Amount] ]-Table47[ [#This Row],[Account Withdrawl Amount] ], )</f>
        <v>0</v>
      </c>
      <c r="U50" s="127">
        <f>IF(Table47[[#This Row],[CODE]]=17, Table47[ [#This Row],[Account Deposit Amount] ]-Table47[ [#This Row],[Account Withdrawl Amount] ], )</f>
        <v>0</v>
      </c>
    </row>
    <row r="51" spans="1:21" ht="16.2" thickBot="1">
      <c r="A51" s="130"/>
      <c r="B51" s="133"/>
      <c r="C51" s="130"/>
      <c r="D51" s="132"/>
      <c r="E51" s="128"/>
      <c r="F51" s="128"/>
      <c r="G51" s="131">
        <f t="shared" si="3"/>
        <v>75073.499999999971</v>
      </c>
      <c r="H51" s="130"/>
      <c r="I51" s="127">
        <f>IF(Table47[[#This Row],[CODE]]=1, Table47[ [#This Row],[Account Deposit Amount] ]-Table47[ [#This Row],[Account Withdrawl Amount] ], )</f>
        <v>0</v>
      </c>
      <c r="J51" s="129">
        <f>IF(Table47[[#This Row],[CODE]]=2, Table47[ [#This Row],[Account Deposit Amount] ]-Table47[ [#This Row],[Account Withdrawl Amount] ], )</f>
        <v>0</v>
      </c>
      <c r="K51" s="129">
        <f>IF(Table47[[#This Row],[CODE]]=3, Table47[ [#This Row],[Account Deposit Amount] ]-Table47[ [#This Row],[Account Withdrawl Amount] ], )</f>
        <v>0</v>
      </c>
      <c r="L51" s="128">
        <f>IF(Table47[[#This Row],[CODE]]=4, Table47[ [#This Row],[Account Deposit Amount] ]-Table47[ [#This Row],[Account Withdrawl Amount] ], )</f>
        <v>0</v>
      </c>
      <c r="M51" s="128">
        <f>IF(Table47[[#This Row],[CODE]]=5, Table47[ [#This Row],[Account Deposit Amount] ]-Table47[ [#This Row],[Account Withdrawl Amount] ], )</f>
        <v>0</v>
      </c>
      <c r="N51" s="128">
        <f>IF(Table47[[#This Row],[CODE]]=6, Table47[ [#This Row],[Account Deposit Amount] ]-Table47[ [#This Row],[Account Withdrawl Amount] ], )</f>
        <v>0</v>
      </c>
      <c r="O51" s="128">
        <f>IF(Table47[[#This Row],[CODE]]=11, Table47[ [#This Row],[Account Deposit Amount] ]-Table47[ [#This Row],[Account Withdrawl Amount] ], )</f>
        <v>0</v>
      </c>
      <c r="P51" s="128">
        <f>IF(Table47[[#This Row],[CODE]]=12, Table47[ [#This Row],[Account Deposit Amount] ]-Table47[ [#This Row],[Account Withdrawl Amount] ], )</f>
        <v>0</v>
      </c>
      <c r="Q51" s="128">
        <f>IF(Table47[[#This Row],[CODE]]=13, Table47[ [#This Row],[Account Deposit Amount] ]-Table47[ [#This Row],[Account Withdrawl Amount] ], )</f>
        <v>0</v>
      </c>
      <c r="R51" s="128">
        <f>IF(Table47[[#This Row],[CODE]]=14, Table47[ [#This Row],[Account Deposit Amount] ]-Table47[ [#This Row],[Account Withdrawl Amount] ], )</f>
        <v>0</v>
      </c>
      <c r="S51" s="128">
        <f>IF(Table47[[#This Row],[CODE]]=15, Table47[ [#This Row],[Account Deposit Amount] ]-Table47[ [#This Row],[Account Withdrawl Amount] ], )</f>
        <v>0</v>
      </c>
      <c r="T51" s="128">
        <f>IF(Table47[[#This Row],[CODE]]=16, Table47[ [#This Row],[Account Deposit Amount] ]-Table47[ [#This Row],[Account Withdrawl Amount] ], )</f>
        <v>0</v>
      </c>
      <c r="U51" s="127">
        <f>IF(Table47[[#This Row],[CODE]]=17, Table47[ [#This Row],[Account Deposit Amount] ]-Table47[ [#This Row],[Account Withdrawl Amount] ], )</f>
        <v>0</v>
      </c>
    </row>
    <row r="52" spans="1:21" ht="16.2" thickBot="1">
      <c r="A52" s="130"/>
      <c r="B52" s="133"/>
      <c r="C52" s="130"/>
      <c r="D52" s="132"/>
      <c r="E52" s="128"/>
      <c r="F52" s="128"/>
      <c r="G52" s="131">
        <f t="shared" si="3"/>
        <v>75073.499999999971</v>
      </c>
      <c r="H52" s="130"/>
      <c r="I52" s="127">
        <f>IF(Table47[[#This Row],[CODE]]=1, Table47[ [#This Row],[Account Deposit Amount] ]-Table47[ [#This Row],[Account Withdrawl Amount] ], )</f>
        <v>0</v>
      </c>
      <c r="J52" s="129">
        <f>IF(Table47[[#This Row],[CODE]]=2, Table47[ [#This Row],[Account Deposit Amount] ]-Table47[ [#This Row],[Account Withdrawl Amount] ], )</f>
        <v>0</v>
      </c>
      <c r="K52" s="129">
        <f>IF(Table47[[#This Row],[CODE]]=3, Table47[ [#This Row],[Account Deposit Amount] ]-Table47[ [#This Row],[Account Withdrawl Amount] ], )</f>
        <v>0</v>
      </c>
      <c r="L52" s="128">
        <f>IF(Table47[[#This Row],[CODE]]=4, Table47[ [#This Row],[Account Deposit Amount] ]-Table47[ [#This Row],[Account Withdrawl Amount] ], )</f>
        <v>0</v>
      </c>
      <c r="M52" s="128">
        <f>IF(Table47[[#This Row],[CODE]]=5, Table47[ [#This Row],[Account Deposit Amount] ]-Table47[ [#This Row],[Account Withdrawl Amount] ], )</f>
        <v>0</v>
      </c>
      <c r="N52" s="128">
        <f>IF(Table47[[#This Row],[CODE]]=6, Table47[ [#This Row],[Account Deposit Amount] ]-Table47[ [#This Row],[Account Withdrawl Amount] ], )</f>
        <v>0</v>
      </c>
      <c r="O52" s="128">
        <f>IF(Table47[[#This Row],[CODE]]=11, Table47[ [#This Row],[Account Deposit Amount] ]-Table47[ [#This Row],[Account Withdrawl Amount] ], )</f>
        <v>0</v>
      </c>
      <c r="P52" s="128">
        <f>IF(Table47[[#This Row],[CODE]]=12, Table47[ [#This Row],[Account Deposit Amount] ]-Table47[ [#This Row],[Account Withdrawl Amount] ], )</f>
        <v>0</v>
      </c>
      <c r="Q52" s="128">
        <f>IF(Table47[[#This Row],[CODE]]=13, Table47[ [#This Row],[Account Deposit Amount] ]-Table47[ [#This Row],[Account Withdrawl Amount] ], )</f>
        <v>0</v>
      </c>
      <c r="R52" s="128">
        <f>IF(Table47[[#This Row],[CODE]]=14, Table47[ [#This Row],[Account Deposit Amount] ]-Table47[ [#This Row],[Account Withdrawl Amount] ], )</f>
        <v>0</v>
      </c>
      <c r="S52" s="128">
        <f>IF(Table47[[#This Row],[CODE]]=15, Table47[ [#This Row],[Account Deposit Amount] ]-Table47[ [#This Row],[Account Withdrawl Amount] ], )</f>
        <v>0</v>
      </c>
      <c r="T52" s="128">
        <f>IF(Table47[[#This Row],[CODE]]=16, Table47[ [#This Row],[Account Deposit Amount] ]-Table47[ [#This Row],[Account Withdrawl Amount] ], )</f>
        <v>0</v>
      </c>
      <c r="U52" s="127">
        <f>IF(Table47[[#This Row],[CODE]]=17, Table47[ [#This Row],[Account Deposit Amount] ]-Table47[ [#This Row],[Account Withdrawl Amount] ], )</f>
        <v>0</v>
      </c>
    </row>
    <row r="53" spans="1:21" ht="16.2" thickBot="1">
      <c r="A53" s="130"/>
      <c r="B53" s="133"/>
      <c r="C53" s="130"/>
      <c r="D53" s="132"/>
      <c r="E53" s="128"/>
      <c r="F53" s="128"/>
      <c r="G53" s="131">
        <f t="shared" si="3"/>
        <v>75073.499999999971</v>
      </c>
      <c r="H53" s="130"/>
      <c r="I53" s="127">
        <f>IF(Table47[[#This Row],[CODE]]=1, Table47[ [#This Row],[Account Deposit Amount] ]-Table47[ [#This Row],[Account Withdrawl Amount] ], )</f>
        <v>0</v>
      </c>
      <c r="J53" s="129">
        <f>IF(Table47[[#This Row],[CODE]]=2, Table47[ [#This Row],[Account Deposit Amount] ]-Table47[ [#This Row],[Account Withdrawl Amount] ], )</f>
        <v>0</v>
      </c>
      <c r="K53" s="129">
        <f>IF(Table47[[#This Row],[CODE]]=3, Table47[ [#This Row],[Account Deposit Amount] ]-Table47[ [#This Row],[Account Withdrawl Amount] ], )</f>
        <v>0</v>
      </c>
      <c r="L53" s="128">
        <f>IF(Table47[[#This Row],[CODE]]=4, Table47[ [#This Row],[Account Deposit Amount] ]-Table47[ [#This Row],[Account Withdrawl Amount] ], )</f>
        <v>0</v>
      </c>
      <c r="M53" s="128">
        <f>IF(Table47[[#This Row],[CODE]]=5, Table47[ [#This Row],[Account Deposit Amount] ]-Table47[ [#This Row],[Account Withdrawl Amount] ], )</f>
        <v>0</v>
      </c>
      <c r="N53" s="128">
        <f>IF(Table47[[#This Row],[CODE]]=6, Table47[ [#This Row],[Account Deposit Amount] ]-Table47[ [#This Row],[Account Withdrawl Amount] ], )</f>
        <v>0</v>
      </c>
      <c r="O53" s="128">
        <f>IF(Table47[[#This Row],[CODE]]=11, Table47[ [#This Row],[Account Deposit Amount] ]-Table47[ [#This Row],[Account Withdrawl Amount] ], )</f>
        <v>0</v>
      </c>
      <c r="P53" s="128">
        <f>IF(Table47[[#This Row],[CODE]]=12, Table47[ [#This Row],[Account Deposit Amount] ]-Table47[ [#This Row],[Account Withdrawl Amount] ], )</f>
        <v>0</v>
      </c>
      <c r="Q53" s="128">
        <f>IF(Table47[[#This Row],[CODE]]=13, Table47[ [#This Row],[Account Deposit Amount] ]-Table47[ [#This Row],[Account Withdrawl Amount] ], )</f>
        <v>0</v>
      </c>
      <c r="R53" s="128">
        <f>IF(Table47[[#This Row],[CODE]]=14, Table47[ [#This Row],[Account Deposit Amount] ]-Table47[ [#This Row],[Account Withdrawl Amount] ], )</f>
        <v>0</v>
      </c>
      <c r="S53" s="128">
        <f>IF(Table47[[#This Row],[CODE]]=15, Table47[ [#This Row],[Account Deposit Amount] ]-Table47[ [#This Row],[Account Withdrawl Amount] ], )</f>
        <v>0</v>
      </c>
      <c r="T53" s="128">
        <f>IF(Table47[[#This Row],[CODE]]=16, Table47[ [#This Row],[Account Deposit Amount] ]-Table47[ [#This Row],[Account Withdrawl Amount] ], )</f>
        <v>0</v>
      </c>
      <c r="U53" s="127">
        <f>IF(Table47[[#This Row],[CODE]]=17, Table47[ [#This Row],[Account Deposit Amount] ]-Table47[ [#This Row],[Account Withdrawl Amount] ], )</f>
        <v>0</v>
      </c>
    </row>
    <row r="54" spans="1:21" ht="16.2" thickBot="1">
      <c r="A54" s="130"/>
      <c r="B54" s="133"/>
      <c r="C54" s="130"/>
      <c r="D54" s="132"/>
      <c r="E54" s="128"/>
      <c r="F54" s="128"/>
      <c r="G54" s="131">
        <f t="shared" si="3"/>
        <v>75073.499999999971</v>
      </c>
      <c r="H54" s="130"/>
      <c r="I54" s="127">
        <f>IF(Table47[[#This Row],[CODE]]=1, Table47[ [#This Row],[Account Deposit Amount] ]-Table47[ [#This Row],[Account Withdrawl Amount] ], )</f>
        <v>0</v>
      </c>
      <c r="J54" s="129">
        <f>IF(Table47[[#This Row],[CODE]]=2, Table47[ [#This Row],[Account Deposit Amount] ]-Table47[ [#This Row],[Account Withdrawl Amount] ], )</f>
        <v>0</v>
      </c>
      <c r="K54" s="129">
        <f>IF(Table47[[#This Row],[CODE]]=3, Table47[ [#This Row],[Account Deposit Amount] ]-Table47[ [#This Row],[Account Withdrawl Amount] ], )</f>
        <v>0</v>
      </c>
      <c r="L54" s="128">
        <f>IF(Table47[[#This Row],[CODE]]=4, Table47[ [#This Row],[Account Deposit Amount] ]-Table47[ [#This Row],[Account Withdrawl Amount] ], )</f>
        <v>0</v>
      </c>
      <c r="M54" s="128">
        <f>IF(Table47[[#This Row],[CODE]]=5, Table47[ [#This Row],[Account Deposit Amount] ]-Table47[ [#This Row],[Account Withdrawl Amount] ], )</f>
        <v>0</v>
      </c>
      <c r="N54" s="128">
        <f>IF(Table47[[#This Row],[CODE]]=6, Table47[ [#This Row],[Account Deposit Amount] ]-Table47[ [#This Row],[Account Withdrawl Amount] ], )</f>
        <v>0</v>
      </c>
      <c r="O54" s="128">
        <f>IF(Table47[[#This Row],[CODE]]=11, Table47[ [#This Row],[Account Deposit Amount] ]-Table47[ [#This Row],[Account Withdrawl Amount] ], )</f>
        <v>0</v>
      </c>
      <c r="P54" s="128">
        <f>IF(Table47[[#This Row],[CODE]]=12, Table47[ [#This Row],[Account Deposit Amount] ]-Table47[ [#This Row],[Account Withdrawl Amount] ], )</f>
        <v>0</v>
      </c>
      <c r="Q54" s="128">
        <f>IF(Table47[[#This Row],[CODE]]=13, Table47[ [#This Row],[Account Deposit Amount] ]-Table47[ [#This Row],[Account Withdrawl Amount] ], )</f>
        <v>0</v>
      </c>
      <c r="R54" s="128">
        <f>IF(Table47[[#This Row],[CODE]]=14, Table47[ [#This Row],[Account Deposit Amount] ]-Table47[ [#This Row],[Account Withdrawl Amount] ], )</f>
        <v>0</v>
      </c>
      <c r="S54" s="128">
        <f>IF(Table47[[#This Row],[CODE]]=15, Table47[ [#This Row],[Account Deposit Amount] ]-Table47[ [#This Row],[Account Withdrawl Amount] ], )</f>
        <v>0</v>
      </c>
      <c r="T54" s="128">
        <f>IF(Table47[[#This Row],[CODE]]=16, Table47[ [#This Row],[Account Deposit Amount] ]-Table47[ [#This Row],[Account Withdrawl Amount] ], )</f>
        <v>0</v>
      </c>
      <c r="U54" s="127">
        <f>IF(Table47[[#This Row],[CODE]]=17, Table47[ [#This Row],[Account Deposit Amount] ]-Table47[ [#This Row],[Account Withdrawl Amount] ], )</f>
        <v>0</v>
      </c>
    </row>
    <row r="55" spans="1:21" ht="16.2" thickBot="1">
      <c r="A55" s="130"/>
      <c r="B55" s="133"/>
      <c r="C55" s="130"/>
      <c r="D55" s="132"/>
      <c r="E55" s="128"/>
      <c r="F55" s="128"/>
      <c r="G55" s="131">
        <f t="shared" si="3"/>
        <v>75073.499999999971</v>
      </c>
      <c r="H55" s="130"/>
      <c r="I55" s="127">
        <f>IF(Table47[[#This Row],[CODE]]=1, Table47[ [#This Row],[Account Deposit Amount] ]-Table47[ [#This Row],[Account Withdrawl Amount] ], )</f>
        <v>0</v>
      </c>
      <c r="J55" s="129">
        <f>IF(Table47[[#This Row],[CODE]]=2, Table47[ [#This Row],[Account Deposit Amount] ]-Table47[ [#This Row],[Account Withdrawl Amount] ], )</f>
        <v>0</v>
      </c>
      <c r="K55" s="129">
        <f>IF(Table47[[#This Row],[CODE]]=3, Table47[ [#This Row],[Account Deposit Amount] ]-Table47[ [#This Row],[Account Withdrawl Amount] ], )</f>
        <v>0</v>
      </c>
      <c r="L55" s="128">
        <f>IF(Table47[[#This Row],[CODE]]=4, Table47[ [#This Row],[Account Deposit Amount] ]-Table47[ [#This Row],[Account Withdrawl Amount] ], )</f>
        <v>0</v>
      </c>
      <c r="M55" s="128">
        <f>IF(Table47[[#This Row],[CODE]]=5, Table47[ [#This Row],[Account Deposit Amount] ]-Table47[ [#This Row],[Account Withdrawl Amount] ], )</f>
        <v>0</v>
      </c>
      <c r="N55" s="128">
        <f>IF(Table47[[#This Row],[CODE]]=6, Table47[ [#This Row],[Account Deposit Amount] ]-Table47[ [#This Row],[Account Withdrawl Amount] ], )</f>
        <v>0</v>
      </c>
      <c r="O55" s="128">
        <f>IF(Table47[[#This Row],[CODE]]=11, Table47[ [#This Row],[Account Deposit Amount] ]-Table47[ [#This Row],[Account Withdrawl Amount] ], )</f>
        <v>0</v>
      </c>
      <c r="P55" s="128">
        <f>IF(Table47[[#This Row],[CODE]]=12, Table47[ [#This Row],[Account Deposit Amount] ]-Table47[ [#This Row],[Account Withdrawl Amount] ], )</f>
        <v>0</v>
      </c>
      <c r="Q55" s="128">
        <f>IF(Table47[[#This Row],[CODE]]=13, Table47[ [#This Row],[Account Deposit Amount] ]-Table47[ [#This Row],[Account Withdrawl Amount] ], )</f>
        <v>0</v>
      </c>
      <c r="R55" s="128">
        <f>IF(Table47[[#This Row],[CODE]]=14, Table47[ [#This Row],[Account Deposit Amount] ]-Table47[ [#This Row],[Account Withdrawl Amount] ], )</f>
        <v>0</v>
      </c>
      <c r="S55" s="128">
        <f>IF(Table47[[#This Row],[CODE]]=15, Table47[ [#This Row],[Account Deposit Amount] ]-Table47[ [#This Row],[Account Withdrawl Amount] ], )</f>
        <v>0</v>
      </c>
      <c r="T55" s="128">
        <f>IF(Table47[[#This Row],[CODE]]=16, Table47[ [#This Row],[Account Deposit Amount] ]-Table47[ [#This Row],[Account Withdrawl Amount] ], )</f>
        <v>0</v>
      </c>
      <c r="U55" s="127">
        <f>IF(Table47[[#This Row],[CODE]]=17, Table47[ [#This Row],[Account Deposit Amount] ]-Table47[ [#This Row],[Account Withdrawl Amount] ], )</f>
        <v>0</v>
      </c>
    </row>
    <row r="56" spans="1:21" ht="16.2" thickBot="1">
      <c r="A56" s="130"/>
      <c r="B56" s="133"/>
      <c r="C56" s="130"/>
      <c r="D56" s="132"/>
      <c r="E56" s="128"/>
      <c r="F56" s="128"/>
      <c r="G56" s="131">
        <f t="shared" si="3"/>
        <v>75073.499999999971</v>
      </c>
      <c r="H56" s="130"/>
      <c r="I56" s="127">
        <f>IF(Table47[[#This Row],[CODE]]=1, Table47[ [#This Row],[Account Deposit Amount] ]-Table47[ [#This Row],[Account Withdrawl Amount] ], )</f>
        <v>0</v>
      </c>
      <c r="J56" s="129">
        <f>IF(Table47[[#This Row],[CODE]]=2, Table47[ [#This Row],[Account Deposit Amount] ]-Table47[ [#This Row],[Account Withdrawl Amount] ], )</f>
        <v>0</v>
      </c>
      <c r="K56" s="129">
        <f>IF(Table47[[#This Row],[CODE]]=3, Table47[ [#This Row],[Account Deposit Amount] ]-Table47[ [#This Row],[Account Withdrawl Amount] ], )</f>
        <v>0</v>
      </c>
      <c r="L56" s="128">
        <f>IF(Table47[[#This Row],[CODE]]=4, Table47[ [#This Row],[Account Deposit Amount] ]-Table47[ [#This Row],[Account Withdrawl Amount] ], )</f>
        <v>0</v>
      </c>
      <c r="M56" s="128">
        <f>IF(Table47[[#This Row],[CODE]]=5, Table47[ [#This Row],[Account Deposit Amount] ]-Table47[ [#This Row],[Account Withdrawl Amount] ], )</f>
        <v>0</v>
      </c>
      <c r="N56" s="128">
        <f>IF(Table47[[#This Row],[CODE]]=6, Table47[ [#This Row],[Account Deposit Amount] ]-Table47[ [#This Row],[Account Withdrawl Amount] ], )</f>
        <v>0</v>
      </c>
      <c r="O56" s="128">
        <f>IF(Table47[[#This Row],[CODE]]=11, Table47[ [#This Row],[Account Deposit Amount] ]-Table47[ [#This Row],[Account Withdrawl Amount] ], )</f>
        <v>0</v>
      </c>
      <c r="P56" s="128">
        <f>IF(Table47[[#This Row],[CODE]]=12, Table47[ [#This Row],[Account Deposit Amount] ]-Table47[ [#This Row],[Account Withdrawl Amount] ], )</f>
        <v>0</v>
      </c>
      <c r="Q56" s="128">
        <f>IF(Table47[[#This Row],[CODE]]=13, Table47[ [#This Row],[Account Deposit Amount] ]-Table47[ [#This Row],[Account Withdrawl Amount] ], )</f>
        <v>0</v>
      </c>
      <c r="R56" s="128">
        <f>IF(Table47[[#This Row],[CODE]]=14, Table47[ [#This Row],[Account Deposit Amount] ]-Table47[ [#This Row],[Account Withdrawl Amount] ], )</f>
        <v>0</v>
      </c>
      <c r="S56" s="128">
        <f>IF(Table47[[#This Row],[CODE]]=15, Table47[ [#This Row],[Account Deposit Amount] ]-Table47[ [#This Row],[Account Withdrawl Amount] ], )</f>
        <v>0</v>
      </c>
      <c r="T56" s="128">
        <f>IF(Table47[[#This Row],[CODE]]=16, Table47[ [#This Row],[Account Deposit Amount] ]-Table47[ [#This Row],[Account Withdrawl Amount] ], )</f>
        <v>0</v>
      </c>
      <c r="U56" s="127">
        <f>IF(Table47[[#This Row],[CODE]]=17, Table47[ [#This Row],[Account Deposit Amount] ]-Table47[ [#This Row],[Account Withdrawl Amount] ], )</f>
        <v>0</v>
      </c>
    </row>
    <row r="57" spans="1:21" ht="16.2" thickBot="1">
      <c r="A57" s="130"/>
      <c r="B57" s="133"/>
      <c r="C57" s="130"/>
      <c r="D57" s="132"/>
      <c r="E57" s="128"/>
      <c r="F57" s="128"/>
      <c r="G57" s="131">
        <f t="shared" si="3"/>
        <v>75073.499999999971</v>
      </c>
      <c r="H57" s="130"/>
      <c r="I57" s="127">
        <f>IF(Table47[[#This Row],[CODE]]=1, Table47[ [#This Row],[Account Deposit Amount] ]-Table47[ [#This Row],[Account Withdrawl Amount] ], )</f>
        <v>0</v>
      </c>
      <c r="J57" s="129">
        <f>IF(Table47[[#This Row],[CODE]]=2, Table47[ [#This Row],[Account Deposit Amount] ]-Table47[ [#This Row],[Account Withdrawl Amount] ], )</f>
        <v>0</v>
      </c>
      <c r="K57" s="129">
        <f>IF(Table47[[#This Row],[CODE]]=3, Table47[ [#This Row],[Account Deposit Amount] ]-Table47[ [#This Row],[Account Withdrawl Amount] ], )</f>
        <v>0</v>
      </c>
      <c r="L57" s="128">
        <f>IF(Table47[[#This Row],[CODE]]=4, Table47[ [#This Row],[Account Deposit Amount] ]-Table47[ [#This Row],[Account Withdrawl Amount] ], )</f>
        <v>0</v>
      </c>
      <c r="M57" s="128">
        <f>IF(Table47[[#This Row],[CODE]]=5, Table47[ [#This Row],[Account Deposit Amount] ]-Table47[ [#This Row],[Account Withdrawl Amount] ], )</f>
        <v>0</v>
      </c>
      <c r="N57" s="128">
        <f>IF(Table47[[#This Row],[CODE]]=6, Table47[ [#This Row],[Account Deposit Amount] ]-Table47[ [#This Row],[Account Withdrawl Amount] ], )</f>
        <v>0</v>
      </c>
      <c r="O57" s="128">
        <f>IF(Table47[[#This Row],[CODE]]=11, Table47[ [#This Row],[Account Deposit Amount] ]-Table47[ [#This Row],[Account Withdrawl Amount] ], )</f>
        <v>0</v>
      </c>
      <c r="P57" s="128">
        <f>IF(Table47[[#This Row],[CODE]]=12, Table47[ [#This Row],[Account Deposit Amount] ]-Table47[ [#This Row],[Account Withdrawl Amount] ], )</f>
        <v>0</v>
      </c>
      <c r="Q57" s="128">
        <f>IF(Table47[[#This Row],[CODE]]=13, Table47[ [#This Row],[Account Deposit Amount] ]-Table47[ [#This Row],[Account Withdrawl Amount] ], )</f>
        <v>0</v>
      </c>
      <c r="R57" s="128">
        <f>IF(Table47[[#This Row],[CODE]]=14, Table47[ [#This Row],[Account Deposit Amount] ]-Table47[ [#This Row],[Account Withdrawl Amount] ], )</f>
        <v>0</v>
      </c>
      <c r="S57" s="128">
        <f>IF(Table47[[#This Row],[CODE]]=15, Table47[ [#This Row],[Account Deposit Amount] ]-Table47[ [#This Row],[Account Withdrawl Amount] ], )</f>
        <v>0</v>
      </c>
      <c r="T57" s="128">
        <f>IF(Table47[[#This Row],[CODE]]=16, Table47[ [#This Row],[Account Deposit Amount] ]-Table47[ [#This Row],[Account Withdrawl Amount] ], )</f>
        <v>0</v>
      </c>
      <c r="U57" s="127">
        <f>IF(Table47[[#This Row],[CODE]]=17, Table47[ [#This Row],[Account Deposit Amount] ]-Table47[ [#This Row],[Account Withdrawl Amount] ], )</f>
        <v>0</v>
      </c>
    </row>
    <row r="58" spans="1:21" ht="16.2" thickBot="1">
      <c r="A58" s="130"/>
      <c r="B58" s="133"/>
      <c r="C58" s="130"/>
      <c r="D58" s="132"/>
      <c r="E58" s="128"/>
      <c r="F58" s="128"/>
      <c r="G58" s="131">
        <f t="shared" si="3"/>
        <v>75073.499999999971</v>
      </c>
      <c r="H58" s="130"/>
      <c r="I58" s="127">
        <f>IF(Table47[[#This Row],[CODE]]=1, Table47[ [#This Row],[Account Deposit Amount] ]-Table47[ [#This Row],[Account Withdrawl Amount] ], )</f>
        <v>0</v>
      </c>
      <c r="J58" s="129">
        <f>IF(Table47[[#This Row],[CODE]]=2, Table47[ [#This Row],[Account Deposit Amount] ]-Table47[ [#This Row],[Account Withdrawl Amount] ], )</f>
        <v>0</v>
      </c>
      <c r="K58" s="129">
        <f>IF(Table47[[#This Row],[CODE]]=3, Table47[ [#This Row],[Account Deposit Amount] ]-Table47[ [#This Row],[Account Withdrawl Amount] ], )</f>
        <v>0</v>
      </c>
      <c r="L58" s="128">
        <f>IF(Table47[[#This Row],[CODE]]=4, Table47[ [#This Row],[Account Deposit Amount] ]-Table47[ [#This Row],[Account Withdrawl Amount] ], )</f>
        <v>0</v>
      </c>
      <c r="M58" s="128">
        <f>IF(Table47[[#This Row],[CODE]]=5, Table47[ [#This Row],[Account Deposit Amount] ]-Table47[ [#This Row],[Account Withdrawl Amount] ], )</f>
        <v>0</v>
      </c>
      <c r="N58" s="128">
        <f>IF(Table47[[#This Row],[CODE]]=6, Table47[ [#This Row],[Account Deposit Amount] ]-Table47[ [#This Row],[Account Withdrawl Amount] ], )</f>
        <v>0</v>
      </c>
      <c r="O58" s="128">
        <f>IF(Table47[[#This Row],[CODE]]=11, Table47[ [#This Row],[Account Deposit Amount] ]-Table47[ [#This Row],[Account Withdrawl Amount] ], )</f>
        <v>0</v>
      </c>
      <c r="P58" s="128">
        <f>IF(Table47[[#This Row],[CODE]]=12, Table47[ [#This Row],[Account Deposit Amount] ]-Table47[ [#This Row],[Account Withdrawl Amount] ], )</f>
        <v>0</v>
      </c>
      <c r="Q58" s="128">
        <f>IF(Table47[[#This Row],[CODE]]=13, Table47[ [#This Row],[Account Deposit Amount] ]-Table47[ [#This Row],[Account Withdrawl Amount] ], )</f>
        <v>0</v>
      </c>
      <c r="R58" s="128">
        <f>IF(Table47[[#This Row],[CODE]]=14, Table47[ [#This Row],[Account Deposit Amount] ]-Table47[ [#This Row],[Account Withdrawl Amount] ], )</f>
        <v>0</v>
      </c>
      <c r="S58" s="128">
        <f>IF(Table47[[#This Row],[CODE]]=15, Table47[ [#This Row],[Account Deposit Amount] ]-Table47[ [#This Row],[Account Withdrawl Amount] ], )</f>
        <v>0</v>
      </c>
      <c r="T58" s="128">
        <f>IF(Table47[[#This Row],[CODE]]=16, Table47[ [#This Row],[Account Deposit Amount] ]-Table47[ [#This Row],[Account Withdrawl Amount] ], )</f>
        <v>0</v>
      </c>
      <c r="U58" s="127">
        <f>IF(Table47[[#This Row],[CODE]]=17, Table47[ [#This Row],[Account Deposit Amount] ]-Table47[ [#This Row],[Account Withdrawl Amount] ], )</f>
        <v>0</v>
      </c>
    </row>
    <row r="59" spans="1:21" ht="16.2" thickBot="1">
      <c r="A59" s="130"/>
      <c r="B59" s="133"/>
      <c r="C59" s="130"/>
      <c r="D59" s="132"/>
      <c r="E59" s="128"/>
      <c r="F59" s="128"/>
      <c r="G59" s="131">
        <f t="shared" si="3"/>
        <v>75073.499999999971</v>
      </c>
      <c r="H59" s="130"/>
      <c r="I59" s="127">
        <f>IF(Table47[[#This Row],[CODE]]=1, Table47[ [#This Row],[Account Deposit Amount] ]-Table47[ [#This Row],[Account Withdrawl Amount] ], )</f>
        <v>0</v>
      </c>
      <c r="J59" s="129">
        <f>IF(Table47[[#This Row],[CODE]]=2, Table47[ [#This Row],[Account Deposit Amount] ]-Table47[ [#This Row],[Account Withdrawl Amount] ], )</f>
        <v>0</v>
      </c>
      <c r="K59" s="129">
        <f>IF(Table47[[#This Row],[CODE]]=3, Table47[ [#This Row],[Account Deposit Amount] ]-Table47[ [#This Row],[Account Withdrawl Amount] ], )</f>
        <v>0</v>
      </c>
      <c r="L59" s="128">
        <f>IF(Table47[[#This Row],[CODE]]=4, Table47[ [#This Row],[Account Deposit Amount] ]-Table47[ [#This Row],[Account Withdrawl Amount] ], )</f>
        <v>0</v>
      </c>
      <c r="M59" s="128">
        <f>IF(Table47[[#This Row],[CODE]]=5, Table47[ [#This Row],[Account Deposit Amount] ]-Table47[ [#This Row],[Account Withdrawl Amount] ], )</f>
        <v>0</v>
      </c>
      <c r="N59" s="128">
        <f>IF(Table47[[#This Row],[CODE]]=6, Table47[ [#This Row],[Account Deposit Amount] ]-Table47[ [#This Row],[Account Withdrawl Amount] ], )</f>
        <v>0</v>
      </c>
      <c r="O59" s="128">
        <f>IF(Table47[[#This Row],[CODE]]=11, Table47[ [#This Row],[Account Deposit Amount] ]-Table47[ [#This Row],[Account Withdrawl Amount] ], )</f>
        <v>0</v>
      </c>
      <c r="P59" s="128">
        <f>IF(Table47[[#This Row],[CODE]]=12, Table47[ [#This Row],[Account Deposit Amount] ]-Table47[ [#This Row],[Account Withdrawl Amount] ], )</f>
        <v>0</v>
      </c>
      <c r="Q59" s="128">
        <f>IF(Table47[[#This Row],[CODE]]=13, Table47[ [#This Row],[Account Deposit Amount] ]-Table47[ [#This Row],[Account Withdrawl Amount] ], )</f>
        <v>0</v>
      </c>
      <c r="R59" s="128">
        <f>IF(Table47[[#This Row],[CODE]]=14, Table47[ [#This Row],[Account Deposit Amount] ]-Table47[ [#This Row],[Account Withdrawl Amount] ], )</f>
        <v>0</v>
      </c>
      <c r="S59" s="128">
        <f>IF(Table47[[#This Row],[CODE]]=15, Table47[ [#This Row],[Account Deposit Amount] ]-Table47[ [#This Row],[Account Withdrawl Amount] ], )</f>
        <v>0</v>
      </c>
      <c r="T59" s="128">
        <f>IF(Table47[[#This Row],[CODE]]=16, Table47[ [#This Row],[Account Deposit Amount] ]-Table47[ [#This Row],[Account Withdrawl Amount] ], )</f>
        <v>0</v>
      </c>
      <c r="U59" s="127">
        <f>IF(Table47[[#This Row],[CODE]]=17, Table47[ [#This Row],[Account Deposit Amount] ]-Table47[ [#This Row],[Account Withdrawl Amount] ], )</f>
        <v>0</v>
      </c>
    </row>
    <row r="60" spans="1:21" ht="16.2" thickBot="1">
      <c r="A60" s="130"/>
      <c r="B60" s="133"/>
      <c r="C60" s="130"/>
      <c r="D60" s="132"/>
      <c r="E60" s="128"/>
      <c r="F60" s="128"/>
      <c r="G60" s="131">
        <f t="shared" si="3"/>
        <v>75073.499999999971</v>
      </c>
      <c r="H60" s="130"/>
      <c r="I60" s="127">
        <f>IF(Table47[[#This Row],[CODE]]=1, Table47[ [#This Row],[Account Deposit Amount] ]-Table47[ [#This Row],[Account Withdrawl Amount] ], )</f>
        <v>0</v>
      </c>
      <c r="J60" s="129">
        <f>IF(Table47[[#This Row],[CODE]]=2, Table47[ [#This Row],[Account Deposit Amount] ]-Table47[ [#This Row],[Account Withdrawl Amount] ], )</f>
        <v>0</v>
      </c>
      <c r="K60" s="129">
        <f>IF(Table47[[#This Row],[CODE]]=3, Table47[ [#This Row],[Account Deposit Amount] ]-Table47[ [#This Row],[Account Withdrawl Amount] ], )</f>
        <v>0</v>
      </c>
      <c r="L60" s="128">
        <f>IF(Table47[[#This Row],[CODE]]=4, Table47[ [#This Row],[Account Deposit Amount] ]-Table47[ [#This Row],[Account Withdrawl Amount] ], )</f>
        <v>0</v>
      </c>
      <c r="M60" s="128">
        <f>IF(Table47[[#This Row],[CODE]]=5, Table47[ [#This Row],[Account Deposit Amount] ]-Table47[ [#This Row],[Account Withdrawl Amount] ], )</f>
        <v>0</v>
      </c>
      <c r="N60" s="128">
        <f>IF(Table47[[#This Row],[CODE]]=6, Table47[ [#This Row],[Account Deposit Amount] ]-Table47[ [#This Row],[Account Withdrawl Amount] ], )</f>
        <v>0</v>
      </c>
      <c r="O60" s="128">
        <f>IF(Table47[[#This Row],[CODE]]=11, Table47[ [#This Row],[Account Deposit Amount] ]-Table47[ [#This Row],[Account Withdrawl Amount] ], )</f>
        <v>0</v>
      </c>
      <c r="P60" s="128">
        <f>IF(Table47[[#This Row],[CODE]]=12, Table47[ [#This Row],[Account Deposit Amount] ]-Table47[ [#This Row],[Account Withdrawl Amount] ], )</f>
        <v>0</v>
      </c>
      <c r="Q60" s="128">
        <f>IF(Table47[[#This Row],[CODE]]=13, Table47[ [#This Row],[Account Deposit Amount] ]-Table47[ [#This Row],[Account Withdrawl Amount] ], )</f>
        <v>0</v>
      </c>
      <c r="R60" s="128">
        <f>IF(Table47[[#This Row],[CODE]]=14, Table47[ [#This Row],[Account Deposit Amount] ]-Table47[ [#This Row],[Account Withdrawl Amount] ], )</f>
        <v>0</v>
      </c>
      <c r="S60" s="128">
        <f>IF(Table47[[#This Row],[CODE]]=15, Table47[ [#This Row],[Account Deposit Amount] ]-Table47[ [#This Row],[Account Withdrawl Amount] ], )</f>
        <v>0</v>
      </c>
      <c r="T60" s="128">
        <f>IF(Table47[[#This Row],[CODE]]=16, Table47[ [#This Row],[Account Deposit Amount] ]-Table47[ [#This Row],[Account Withdrawl Amount] ], )</f>
        <v>0</v>
      </c>
      <c r="U60" s="127">
        <f>IF(Table47[[#This Row],[CODE]]=17, Table47[ [#This Row],[Account Deposit Amount] ]-Table47[ [#This Row],[Account Withdrawl Amount] ], )</f>
        <v>0</v>
      </c>
    </row>
    <row r="61" spans="1:21" ht="16.2" thickBot="1">
      <c r="A61" s="130"/>
      <c r="B61" s="133"/>
      <c r="C61" s="130"/>
      <c r="D61" s="132"/>
      <c r="E61" s="128"/>
      <c r="F61" s="128"/>
      <c r="G61" s="131">
        <f t="shared" si="3"/>
        <v>75073.499999999971</v>
      </c>
      <c r="H61" s="130"/>
      <c r="I61" s="127">
        <f>IF(Table47[[#This Row],[CODE]]=1, Table47[ [#This Row],[Account Deposit Amount] ]-Table47[ [#This Row],[Account Withdrawl Amount] ], )</f>
        <v>0</v>
      </c>
      <c r="J61" s="129">
        <f>IF(Table47[[#This Row],[CODE]]=2, Table47[ [#This Row],[Account Deposit Amount] ]-Table47[ [#This Row],[Account Withdrawl Amount] ], )</f>
        <v>0</v>
      </c>
      <c r="K61" s="129">
        <f>IF(Table47[[#This Row],[CODE]]=3, Table47[ [#This Row],[Account Deposit Amount] ]-Table47[ [#This Row],[Account Withdrawl Amount] ], )</f>
        <v>0</v>
      </c>
      <c r="L61" s="128">
        <f>IF(Table47[[#This Row],[CODE]]=4, Table47[ [#This Row],[Account Deposit Amount] ]-Table47[ [#This Row],[Account Withdrawl Amount] ], )</f>
        <v>0</v>
      </c>
      <c r="M61" s="128">
        <f>IF(Table47[[#This Row],[CODE]]=5, Table47[ [#This Row],[Account Deposit Amount] ]-Table47[ [#This Row],[Account Withdrawl Amount] ], )</f>
        <v>0</v>
      </c>
      <c r="N61" s="128">
        <f>IF(Table47[[#This Row],[CODE]]=6, Table47[ [#This Row],[Account Deposit Amount] ]-Table47[ [#This Row],[Account Withdrawl Amount] ], )</f>
        <v>0</v>
      </c>
      <c r="O61" s="128">
        <f>IF(Table47[[#This Row],[CODE]]=11, Table47[ [#This Row],[Account Deposit Amount] ]-Table47[ [#This Row],[Account Withdrawl Amount] ], )</f>
        <v>0</v>
      </c>
      <c r="P61" s="128">
        <f>IF(Table47[[#This Row],[CODE]]=12, Table47[ [#This Row],[Account Deposit Amount] ]-Table47[ [#This Row],[Account Withdrawl Amount] ], )</f>
        <v>0</v>
      </c>
      <c r="Q61" s="128">
        <f>IF(Table47[[#This Row],[CODE]]=13, Table47[ [#This Row],[Account Deposit Amount] ]-Table47[ [#This Row],[Account Withdrawl Amount] ], )</f>
        <v>0</v>
      </c>
      <c r="R61" s="128">
        <f>IF(Table47[[#This Row],[CODE]]=14, Table47[ [#This Row],[Account Deposit Amount] ]-Table47[ [#This Row],[Account Withdrawl Amount] ], )</f>
        <v>0</v>
      </c>
      <c r="S61" s="128">
        <f>IF(Table47[[#This Row],[CODE]]=15, Table47[ [#This Row],[Account Deposit Amount] ]-Table47[ [#This Row],[Account Withdrawl Amount] ], )</f>
        <v>0</v>
      </c>
      <c r="T61" s="128">
        <f>IF(Table47[[#This Row],[CODE]]=16, Table47[ [#This Row],[Account Deposit Amount] ]-Table47[ [#This Row],[Account Withdrawl Amount] ], )</f>
        <v>0</v>
      </c>
      <c r="U61" s="127">
        <f>IF(Table47[[#This Row],[CODE]]=17, Table47[ [#This Row],[Account Deposit Amount] ]-Table47[ [#This Row],[Account Withdrawl Amount] ], )</f>
        <v>0</v>
      </c>
    </row>
    <row r="62" spans="1:21" ht="16.2" thickBot="1">
      <c r="A62" s="130"/>
      <c r="B62" s="133"/>
      <c r="C62" s="130"/>
      <c r="D62" s="132"/>
      <c r="E62" s="128"/>
      <c r="F62" s="128"/>
      <c r="G62" s="131">
        <f t="shared" si="3"/>
        <v>75073.499999999971</v>
      </c>
      <c r="H62" s="130"/>
      <c r="I62" s="127">
        <f>IF(Table47[[#This Row],[CODE]]=1, Table47[ [#This Row],[Account Deposit Amount] ]-Table47[ [#This Row],[Account Withdrawl Amount] ], )</f>
        <v>0</v>
      </c>
      <c r="J62" s="129">
        <f>IF(Table47[[#This Row],[CODE]]=2, Table47[ [#This Row],[Account Deposit Amount] ]-Table47[ [#This Row],[Account Withdrawl Amount] ], )</f>
        <v>0</v>
      </c>
      <c r="K62" s="129">
        <f>IF(Table47[[#This Row],[CODE]]=3, Table47[ [#This Row],[Account Deposit Amount] ]-Table47[ [#This Row],[Account Withdrawl Amount] ], )</f>
        <v>0</v>
      </c>
      <c r="L62" s="128">
        <f>IF(Table47[[#This Row],[CODE]]=4, Table47[ [#This Row],[Account Deposit Amount] ]-Table47[ [#This Row],[Account Withdrawl Amount] ], )</f>
        <v>0</v>
      </c>
      <c r="M62" s="128">
        <f>IF(Table47[[#This Row],[CODE]]=5, Table47[ [#This Row],[Account Deposit Amount] ]-Table47[ [#This Row],[Account Withdrawl Amount] ], )</f>
        <v>0</v>
      </c>
      <c r="N62" s="128">
        <f>IF(Table47[[#This Row],[CODE]]=6, Table47[ [#This Row],[Account Deposit Amount] ]-Table47[ [#This Row],[Account Withdrawl Amount] ], )</f>
        <v>0</v>
      </c>
      <c r="O62" s="128">
        <f>IF(Table47[[#This Row],[CODE]]=11, Table47[ [#This Row],[Account Deposit Amount] ]-Table47[ [#This Row],[Account Withdrawl Amount] ], )</f>
        <v>0</v>
      </c>
      <c r="P62" s="128">
        <f>IF(Table47[[#This Row],[CODE]]=12, Table47[ [#This Row],[Account Deposit Amount] ]-Table47[ [#This Row],[Account Withdrawl Amount] ], )</f>
        <v>0</v>
      </c>
      <c r="Q62" s="128">
        <f>IF(Table47[[#This Row],[CODE]]=13, Table47[ [#This Row],[Account Deposit Amount] ]-Table47[ [#This Row],[Account Withdrawl Amount] ], )</f>
        <v>0</v>
      </c>
      <c r="R62" s="128">
        <f>IF(Table47[[#This Row],[CODE]]=14, Table47[ [#This Row],[Account Deposit Amount] ]-Table47[ [#This Row],[Account Withdrawl Amount] ], )</f>
        <v>0</v>
      </c>
      <c r="S62" s="128">
        <f>IF(Table47[[#This Row],[CODE]]=15, Table47[ [#This Row],[Account Deposit Amount] ]-Table47[ [#This Row],[Account Withdrawl Amount] ], )</f>
        <v>0</v>
      </c>
      <c r="T62" s="128">
        <f>IF(Table47[[#This Row],[CODE]]=16, Table47[ [#This Row],[Account Deposit Amount] ]-Table47[ [#This Row],[Account Withdrawl Amount] ], )</f>
        <v>0</v>
      </c>
      <c r="U62" s="127">
        <f>IF(Table47[[#This Row],[CODE]]=17, Table47[ [#This Row],[Account Deposit Amount] ]-Table47[ [#This Row],[Account Withdrawl Amount] ], )</f>
        <v>0</v>
      </c>
    </row>
    <row r="63" spans="1:21" ht="16.2" thickBot="1">
      <c r="A63" s="130"/>
      <c r="B63" s="133"/>
      <c r="C63" s="130"/>
      <c r="D63" s="132"/>
      <c r="E63" s="128"/>
      <c r="F63" s="128"/>
      <c r="G63" s="131">
        <f t="shared" si="3"/>
        <v>75073.499999999971</v>
      </c>
      <c r="H63" s="130"/>
      <c r="I63" s="127">
        <f>IF(Table47[[#This Row],[CODE]]=1, Table47[ [#This Row],[Account Deposit Amount] ]-Table47[ [#This Row],[Account Withdrawl Amount] ], )</f>
        <v>0</v>
      </c>
      <c r="J63" s="129">
        <f>IF(Table47[[#This Row],[CODE]]=2, Table47[ [#This Row],[Account Deposit Amount] ]-Table47[ [#This Row],[Account Withdrawl Amount] ], )</f>
        <v>0</v>
      </c>
      <c r="K63" s="129">
        <f>IF(Table47[[#This Row],[CODE]]=3, Table47[ [#This Row],[Account Deposit Amount] ]-Table47[ [#This Row],[Account Withdrawl Amount] ], )</f>
        <v>0</v>
      </c>
      <c r="L63" s="128">
        <f>IF(Table47[[#This Row],[CODE]]=4, Table47[ [#This Row],[Account Deposit Amount] ]-Table47[ [#This Row],[Account Withdrawl Amount] ], )</f>
        <v>0</v>
      </c>
      <c r="M63" s="128">
        <f>IF(Table47[[#This Row],[CODE]]=5, Table47[ [#This Row],[Account Deposit Amount] ]-Table47[ [#This Row],[Account Withdrawl Amount] ], )</f>
        <v>0</v>
      </c>
      <c r="N63" s="128">
        <f>IF(Table47[[#This Row],[CODE]]=6, Table47[ [#This Row],[Account Deposit Amount] ]-Table47[ [#This Row],[Account Withdrawl Amount] ], )</f>
        <v>0</v>
      </c>
      <c r="O63" s="128">
        <f>IF(Table47[[#This Row],[CODE]]=11, Table47[ [#This Row],[Account Deposit Amount] ]-Table47[ [#This Row],[Account Withdrawl Amount] ], )</f>
        <v>0</v>
      </c>
      <c r="P63" s="128">
        <f>IF(Table47[[#This Row],[CODE]]=12, Table47[ [#This Row],[Account Deposit Amount] ]-Table47[ [#This Row],[Account Withdrawl Amount] ], )</f>
        <v>0</v>
      </c>
      <c r="Q63" s="128">
        <f>IF(Table47[[#This Row],[CODE]]=13, Table47[ [#This Row],[Account Deposit Amount] ]-Table47[ [#This Row],[Account Withdrawl Amount] ], )</f>
        <v>0</v>
      </c>
      <c r="R63" s="128">
        <f>IF(Table47[[#This Row],[CODE]]=14, Table47[ [#This Row],[Account Deposit Amount] ]-Table47[ [#This Row],[Account Withdrawl Amount] ], )</f>
        <v>0</v>
      </c>
      <c r="S63" s="128">
        <f>IF(Table47[[#This Row],[CODE]]=15, Table47[ [#This Row],[Account Deposit Amount] ]-Table47[ [#This Row],[Account Withdrawl Amount] ], )</f>
        <v>0</v>
      </c>
      <c r="T63" s="128">
        <f>IF(Table47[[#This Row],[CODE]]=16, Table47[ [#This Row],[Account Deposit Amount] ]-Table47[ [#This Row],[Account Withdrawl Amount] ], )</f>
        <v>0</v>
      </c>
      <c r="U63" s="127">
        <f>IF(Table47[[#This Row],[CODE]]=17, Table47[ [#This Row],[Account Deposit Amount] ]-Table47[ [#This Row],[Account Withdrawl Amount] ], )</f>
        <v>0</v>
      </c>
    </row>
    <row r="64" spans="1:21" ht="16.2" thickBot="1">
      <c r="A64" s="130"/>
      <c r="B64" s="133"/>
      <c r="C64" s="130"/>
      <c r="D64" s="132"/>
      <c r="E64" s="128"/>
      <c r="F64" s="128"/>
      <c r="G64" s="131">
        <f t="shared" si="3"/>
        <v>75073.499999999971</v>
      </c>
      <c r="H64" s="130"/>
      <c r="I64" s="127">
        <f>IF(Table47[[#This Row],[CODE]]=1, Table47[ [#This Row],[Account Deposit Amount] ]-Table47[ [#This Row],[Account Withdrawl Amount] ], )</f>
        <v>0</v>
      </c>
      <c r="J64" s="129">
        <f>IF(Table47[[#This Row],[CODE]]=2, Table47[ [#This Row],[Account Deposit Amount] ]-Table47[ [#This Row],[Account Withdrawl Amount] ], )</f>
        <v>0</v>
      </c>
      <c r="K64" s="129">
        <f>IF(Table47[[#This Row],[CODE]]=3, Table47[ [#This Row],[Account Deposit Amount] ]-Table47[ [#This Row],[Account Withdrawl Amount] ], )</f>
        <v>0</v>
      </c>
      <c r="L64" s="128">
        <f>IF(Table47[[#This Row],[CODE]]=4, Table47[ [#This Row],[Account Deposit Amount] ]-Table47[ [#This Row],[Account Withdrawl Amount] ], )</f>
        <v>0</v>
      </c>
      <c r="M64" s="128">
        <f>IF(Table47[[#This Row],[CODE]]=5, Table47[ [#This Row],[Account Deposit Amount] ]-Table47[ [#This Row],[Account Withdrawl Amount] ], )</f>
        <v>0</v>
      </c>
      <c r="N64" s="128">
        <f>IF(Table47[[#This Row],[CODE]]=6, Table47[ [#This Row],[Account Deposit Amount] ]-Table47[ [#This Row],[Account Withdrawl Amount] ], )</f>
        <v>0</v>
      </c>
      <c r="O64" s="128">
        <f>IF(Table47[[#This Row],[CODE]]=11, Table47[ [#This Row],[Account Deposit Amount] ]-Table47[ [#This Row],[Account Withdrawl Amount] ], )</f>
        <v>0</v>
      </c>
      <c r="P64" s="128">
        <f>IF(Table47[[#This Row],[CODE]]=12, Table47[ [#This Row],[Account Deposit Amount] ]-Table47[ [#This Row],[Account Withdrawl Amount] ], )</f>
        <v>0</v>
      </c>
      <c r="Q64" s="128">
        <f>IF(Table47[[#This Row],[CODE]]=13, Table47[ [#This Row],[Account Deposit Amount] ]-Table47[ [#This Row],[Account Withdrawl Amount] ], )</f>
        <v>0</v>
      </c>
      <c r="R64" s="128">
        <f>IF(Table47[[#This Row],[CODE]]=14, Table47[ [#This Row],[Account Deposit Amount] ]-Table47[ [#This Row],[Account Withdrawl Amount] ], )</f>
        <v>0</v>
      </c>
      <c r="S64" s="128">
        <f>IF(Table47[[#This Row],[CODE]]=15, Table47[ [#This Row],[Account Deposit Amount] ]-Table47[ [#This Row],[Account Withdrawl Amount] ], )</f>
        <v>0</v>
      </c>
      <c r="T64" s="128">
        <f>IF(Table47[[#This Row],[CODE]]=16, Table47[ [#This Row],[Account Deposit Amount] ]-Table47[ [#This Row],[Account Withdrawl Amount] ], )</f>
        <v>0</v>
      </c>
      <c r="U64" s="127">
        <f>IF(Table47[[#This Row],[CODE]]=17, Table47[ [#This Row],[Account Deposit Amount] ]-Table47[ [#This Row],[Account Withdrawl Amount] ], )</f>
        <v>0</v>
      </c>
    </row>
    <row r="65" spans="1:21" ht="16.2" thickBot="1">
      <c r="A65" s="130"/>
      <c r="B65" s="133"/>
      <c r="C65" s="130"/>
      <c r="D65" s="132"/>
      <c r="E65" s="128"/>
      <c r="F65" s="128"/>
      <c r="G65" s="131">
        <f t="shared" si="3"/>
        <v>75073.499999999971</v>
      </c>
      <c r="H65" s="130"/>
      <c r="I65" s="127">
        <f>IF(Table47[[#This Row],[CODE]]=1, Table47[ [#This Row],[Account Deposit Amount] ]-Table47[ [#This Row],[Account Withdrawl Amount] ], )</f>
        <v>0</v>
      </c>
      <c r="J65" s="129">
        <f>IF(Table47[[#This Row],[CODE]]=2, Table47[ [#This Row],[Account Deposit Amount] ]-Table47[ [#This Row],[Account Withdrawl Amount] ], )</f>
        <v>0</v>
      </c>
      <c r="K65" s="129">
        <f>IF(Table47[[#This Row],[CODE]]=3, Table47[ [#This Row],[Account Deposit Amount] ]-Table47[ [#This Row],[Account Withdrawl Amount] ], )</f>
        <v>0</v>
      </c>
      <c r="L65" s="128">
        <f>IF(Table47[[#This Row],[CODE]]=4, Table47[ [#This Row],[Account Deposit Amount] ]-Table47[ [#This Row],[Account Withdrawl Amount] ], )</f>
        <v>0</v>
      </c>
      <c r="M65" s="128">
        <f>IF(Table47[[#This Row],[CODE]]=5, Table47[ [#This Row],[Account Deposit Amount] ]-Table47[ [#This Row],[Account Withdrawl Amount] ], )</f>
        <v>0</v>
      </c>
      <c r="N65" s="128">
        <f>IF(Table47[[#This Row],[CODE]]=6, Table47[ [#This Row],[Account Deposit Amount] ]-Table47[ [#This Row],[Account Withdrawl Amount] ], )</f>
        <v>0</v>
      </c>
      <c r="O65" s="128">
        <f>IF(Table47[[#This Row],[CODE]]=11, Table47[ [#This Row],[Account Deposit Amount] ]-Table47[ [#This Row],[Account Withdrawl Amount] ], )</f>
        <v>0</v>
      </c>
      <c r="P65" s="128">
        <f>IF(Table47[[#This Row],[CODE]]=12, Table47[ [#This Row],[Account Deposit Amount] ]-Table47[ [#This Row],[Account Withdrawl Amount] ], )</f>
        <v>0</v>
      </c>
      <c r="Q65" s="128">
        <f>IF(Table47[[#This Row],[CODE]]=13, Table47[ [#This Row],[Account Deposit Amount] ]-Table47[ [#This Row],[Account Withdrawl Amount] ], )</f>
        <v>0</v>
      </c>
      <c r="R65" s="128">
        <f>IF(Table47[[#This Row],[CODE]]=14, Table47[ [#This Row],[Account Deposit Amount] ]-Table47[ [#This Row],[Account Withdrawl Amount] ], )</f>
        <v>0</v>
      </c>
      <c r="S65" s="128">
        <f>IF(Table47[[#This Row],[CODE]]=15, Table47[ [#This Row],[Account Deposit Amount] ]-Table47[ [#This Row],[Account Withdrawl Amount] ], )</f>
        <v>0</v>
      </c>
      <c r="T65" s="128">
        <f>IF(Table47[[#This Row],[CODE]]=16, Table47[ [#This Row],[Account Deposit Amount] ]-Table47[ [#This Row],[Account Withdrawl Amount] ], )</f>
        <v>0</v>
      </c>
      <c r="U65" s="127">
        <f>IF(Table47[[#This Row],[CODE]]=17, Table47[ [#This Row],[Account Deposit Amount] ]-Table47[ [#This Row],[Account Withdrawl Amount] ], )</f>
        <v>0</v>
      </c>
    </row>
    <row r="66" spans="1:21" ht="16.2" thickBot="1">
      <c r="A66" s="130"/>
      <c r="B66" s="133"/>
      <c r="C66" s="130"/>
      <c r="D66" s="132"/>
      <c r="E66" s="128"/>
      <c r="F66" s="128"/>
      <c r="G66" s="131">
        <f t="shared" si="3"/>
        <v>75073.499999999971</v>
      </c>
      <c r="H66" s="130"/>
      <c r="I66" s="127">
        <f>IF(Table47[[#This Row],[CODE]]=1, Table47[ [#This Row],[Account Deposit Amount] ]-Table47[ [#This Row],[Account Withdrawl Amount] ], )</f>
        <v>0</v>
      </c>
      <c r="J66" s="129">
        <f>IF(Table47[[#This Row],[CODE]]=2, Table47[ [#This Row],[Account Deposit Amount] ]-Table47[ [#This Row],[Account Withdrawl Amount] ], )</f>
        <v>0</v>
      </c>
      <c r="K66" s="129">
        <f>IF(Table47[[#This Row],[CODE]]=3, Table47[ [#This Row],[Account Deposit Amount] ]-Table47[ [#This Row],[Account Withdrawl Amount] ], )</f>
        <v>0</v>
      </c>
      <c r="L66" s="128">
        <f>IF(Table47[[#This Row],[CODE]]=4, Table47[ [#This Row],[Account Deposit Amount] ]-Table47[ [#This Row],[Account Withdrawl Amount] ], )</f>
        <v>0</v>
      </c>
      <c r="M66" s="128">
        <f>IF(Table47[[#This Row],[CODE]]=5, Table47[ [#This Row],[Account Deposit Amount] ]-Table47[ [#This Row],[Account Withdrawl Amount] ], )</f>
        <v>0</v>
      </c>
      <c r="N66" s="128">
        <f>IF(Table47[[#This Row],[CODE]]=6, Table47[ [#This Row],[Account Deposit Amount] ]-Table47[ [#This Row],[Account Withdrawl Amount] ], )</f>
        <v>0</v>
      </c>
      <c r="O66" s="128">
        <f>IF(Table47[[#This Row],[CODE]]=11, Table47[ [#This Row],[Account Deposit Amount] ]-Table47[ [#This Row],[Account Withdrawl Amount] ], )</f>
        <v>0</v>
      </c>
      <c r="P66" s="128">
        <f>IF(Table47[[#This Row],[CODE]]=12, Table47[ [#This Row],[Account Deposit Amount] ]-Table47[ [#This Row],[Account Withdrawl Amount] ], )</f>
        <v>0</v>
      </c>
      <c r="Q66" s="128">
        <f>IF(Table47[[#This Row],[CODE]]=13, Table47[ [#This Row],[Account Deposit Amount] ]-Table47[ [#This Row],[Account Withdrawl Amount] ], )</f>
        <v>0</v>
      </c>
      <c r="R66" s="128">
        <f>IF(Table47[[#This Row],[CODE]]=14, Table47[ [#This Row],[Account Deposit Amount] ]-Table47[ [#This Row],[Account Withdrawl Amount] ], )</f>
        <v>0</v>
      </c>
      <c r="S66" s="128">
        <f>IF(Table47[[#This Row],[CODE]]=15, Table47[ [#This Row],[Account Deposit Amount] ]-Table47[ [#This Row],[Account Withdrawl Amount] ], )</f>
        <v>0</v>
      </c>
      <c r="T66" s="128">
        <f>IF(Table47[[#This Row],[CODE]]=16, Table47[ [#This Row],[Account Deposit Amount] ]-Table47[ [#This Row],[Account Withdrawl Amount] ], )</f>
        <v>0</v>
      </c>
      <c r="U66" s="127">
        <f>IF(Table47[[#This Row],[CODE]]=17, Table47[ [#This Row],[Account Deposit Amount] ]-Table47[ [#This Row],[Account Withdrawl Amount] ], )</f>
        <v>0</v>
      </c>
    </row>
    <row r="67" spans="1:21" ht="16.2" thickBot="1">
      <c r="A67" s="130"/>
      <c r="B67" s="133"/>
      <c r="C67" s="130"/>
      <c r="D67" s="132"/>
      <c r="E67" s="128"/>
      <c r="F67" s="128"/>
      <c r="G67" s="131">
        <f t="shared" si="3"/>
        <v>75073.499999999971</v>
      </c>
      <c r="H67" s="130"/>
      <c r="I67" s="127">
        <f>IF(Table47[[#This Row],[CODE]]=1, Table47[ [#This Row],[Account Deposit Amount] ]-Table47[ [#This Row],[Account Withdrawl Amount] ], )</f>
        <v>0</v>
      </c>
      <c r="J67" s="129">
        <f>IF(Table47[[#This Row],[CODE]]=2, Table47[ [#This Row],[Account Deposit Amount] ]-Table47[ [#This Row],[Account Withdrawl Amount] ], )</f>
        <v>0</v>
      </c>
      <c r="K67" s="129">
        <f>IF(Table47[[#This Row],[CODE]]=3, Table47[ [#This Row],[Account Deposit Amount] ]-Table47[ [#This Row],[Account Withdrawl Amount] ], )</f>
        <v>0</v>
      </c>
      <c r="L67" s="128">
        <f>IF(Table47[[#This Row],[CODE]]=4, Table47[ [#This Row],[Account Deposit Amount] ]-Table47[ [#This Row],[Account Withdrawl Amount] ], )</f>
        <v>0</v>
      </c>
      <c r="M67" s="128">
        <f>IF(Table47[[#This Row],[CODE]]=5, Table47[ [#This Row],[Account Deposit Amount] ]-Table47[ [#This Row],[Account Withdrawl Amount] ], )</f>
        <v>0</v>
      </c>
      <c r="N67" s="128">
        <f>IF(Table47[[#This Row],[CODE]]=6, Table47[ [#This Row],[Account Deposit Amount] ]-Table47[ [#This Row],[Account Withdrawl Amount] ], )</f>
        <v>0</v>
      </c>
      <c r="O67" s="128">
        <f>IF(Table47[[#This Row],[CODE]]=11, Table47[ [#This Row],[Account Deposit Amount] ]-Table47[ [#This Row],[Account Withdrawl Amount] ], )</f>
        <v>0</v>
      </c>
      <c r="P67" s="128">
        <f>IF(Table47[[#This Row],[CODE]]=12, Table47[ [#This Row],[Account Deposit Amount] ]-Table47[ [#This Row],[Account Withdrawl Amount] ], )</f>
        <v>0</v>
      </c>
      <c r="Q67" s="128">
        <f>IF(Table47[[#This Row],[CODE]]=13, Table47[ [#This Row],[Account Deposit Amount] ]-Table47[ [#This Row],[Account Withdrawl Amount] ], )</f>
        <v>0</v>
      </c>
      <c r="R67" s="128">
        <f>IF(Table47[[#This Row],[CODE]]=14, Table47[ [#This Row],[Account Deposit Amount] ]-Table47[ [#This Row],[Account Withdrawl Amount] ], )</f>
        <v>0</v>
      </c>
      <c r="S67" s="128">
        <f>IF(Table47[[#This Row],[CODE]]=15, Table47[ [#This Row],[Account Deposit Amount] ]-Table47[ [#This Row],[Account Withdrawl Amount] ], )</f>
        <v>0</v>
      </c>
      <c r="T67" s="128">
        <f>IF(Table47[[#This Row],[CODE]]=16, Table47[ [#This Row],[Account Deposit Amount] ]-Table47[ [#This Row],[Account Withdrawl Amount] ], )</f>
        <v>0</v>
      </c>
      <c r="U67" s="127">
        <f>IF(Table47[[#This Row],[CODE]]=17, Table47[ [#This Row],[Account Deposit Amount] ]-Table47[ [#This Row],[Account Withdrawl Amount] ], )</f>
        <v>0</v>
      </c>
    </row>
    <row r="68" spans="1:21" ht="16.2" thickBot="1">
      <c r="A68" s="130"/>
      <c r="B68" s="133"/>
      <c r="C68" s="130"/>
      <c r="D68" s="132"/>
      <c r="E68" s="128"/>
      <c r="F68" s="128"/>
      <c r="G68" s="131">
        <f t="shared" si="3"/>
        <v>75073.499999999971</v>
      </c>
      <c r="H68" s="130"/>
      <c r="I68" s="127">
        <f>IF(Table47[[#This Row],[CODE]]=1, Table47[ [#This Row],[Account Deposit Amount] ]-Table47[ [#This Row],[Account Withdrawl Amount] ], )</f>
        <v>0</v>
      </c>
      <c r="J68" s="129">
        <f>IF(Table47[[#This Row],[CODE]]=2, Table47[ [#This Row],[Account Deposit Amount] ]-Table47[ [#This Row],[Account Withdrawl Amount] ], )</f>
        <v>0</v>
      </c>
      <c r="K68" s="129">
        <f>IF(Table47[[#This Row],[CODE]]=3, Table47[ [#This Row],[Account Deposit Amount] ]-Table47[ [#This Row],[Account Withdrawl Amount] ], )</f>
        <v>0</v>
      </c>
      <c r="L68" s="128">
        <f>IF(Table47[[#This Row],[CODE]]=4, Table47[ [#This Row],[Account Deposit Amount] ]-Table47[ [#This Row],[Account Withdrawl Amount] ], )</f>
        <v>0</v>
      </c>
      <c r="M68" s="128">
        <f>IF(Table47[[#This Row],[CODE]]=5, Table47[ [#This Row],[Account Deposit Amount] ]-Table47[ [#This Row],[Account Withdrawl Amount] ], )</f>
        <v>0</v>
      </c>
      <c r="N68" s="128">
        <f>IF(Table47[[#This Row],[CODE]]=6, Table47[ [#This Row],[Account Deposit Amount] ]-Table47[ [#This Row],[Account Withdrawl Amount] ], )</f>
        <v>0</v>
      </c>
      <c r="O68" s="128">
        <f>IF(Table47[[#This Row],[CODE]]=11, Table47[ [#This Row],[Account Deposit Amount] ]-Table47[ [#This Row],[Account Withdrawl Amount] ], )</f>
        <v>0</v>
      </c>
      <c r="P68" s="128">
        <f>IF(Table47[[#This Row],[CODE]]=12, Table47[ [#This Row],[Account Deposit Amount] ]-Table47[ [#This Row],[Account Withdrawl Amount] ], )</f>
        <v>0</v>
      </c>
      <c r="Q68" s="128">
        <f>IF(Table47[[#This Row],[CODE]]=13, Table47[ [#This Row],[Account Deposit Amount] ]-Table47[ [#This Row],[Account Withdrawl Amount] ], )</f>
        <v>0</v>
      </c>
      <c r="R68" s="128">
        <f>IF(Table47[[#This Row],[CODE]]=14, Table47[ [#This Row],[Account Deposit Amount] ]-Table47[ [#This Row],[Account Withdrawl Amount] ], )</f>
        <v>0</v>
      </c>
      <c r="S68" s="128">
        <f>IF(Table47[[#This Row],[CODE]]=15, Table47[ [#This Row],[Account Deposit Amount] ]-Table47[ [#This Row],[Account Withdrawl Amount] ], )</f>
        <v>0</v>
      </c>
      <c r="T68" s="128">
        <f>IF(Table47[[#This Row],[CODE]]=16, Table47[ [#This Row],[Account Deposit Amount] ]-Table47[ [#This Row],[Account Withdrawl Amount] ], )</f>
        <v>0</v>
      </c>
      <c r="U68" s="127">
        <f>IF(Table47[[#This Row],[CODE]]=17, Table47[ [#This Row],[Account Deposit Amount] ]-Table47[ [#This Row],[Account Withdrawl Amount] ], )</f>
        <v>0</v>
      </c>
    </row>
    <row r="69" spans="1:21" ht="16.2" thickBot="1">
      <c r="A69" s="130"/>
      <c r="B69" s="133"/>
      <c r="C69" s="130"/>
      <c r="D69" s="132"/>
      <c r="E69" s="128"/>
      <c r="F69" s="128"/>
      <c r="G69" s="131">
        <f t="shared" ref="G69:G100" si="4">G68+E69-F69</f>
        <v>75073.499999999971</v>
      </c>
      <c r="H69" s="130"/>
      <c r="I69" s="127">
        <f>IF(Table47[[#This Row],[CODE]]=1, Table47[ [#This Row],[Account Deposit Amount] ]-Table47[ [#This Row],[Account Withdrawl Amount] ], )</f>
        <v>0</v>
      </c>
      <c r="J69" s="129">
        <f>IF(Table47[[#This Row],[CODE]]=2, Table47[ [#This Row],[Account Deposit Amount] ]-Table47[ [#This Row],[Account Withdrawl Amount] ], )</f>
        <v>0</v>
      </c>
      <c r="K69" s="129">
        <f>IF(Table47[[#This Row],[CODE]]=3, Table47[ [#This Row],[Account Deposit Amount] ]-Table47[ [#This Row],[Account Withdrawl Amount] ], )</f>
        <v>0</v>
      </c>
      <c r="L69" s="128">
        <f>IF(Table47[[#This Row],[CODE]]=4, Table47[ [#This Row],[Account Deposit Amount] ]-Table47[ [#This Row],[Account Withdrawl Amount] ], )</f>
        <v>0</v>
      </c>
      <c r="M69" s="128">
        <f>IF(Table47[[#This Row],[CODE]]=5, Table47[ [#This Row],[Account Deposit Amount] ]-Table47[ [#This Row],[Account Withdrawl Amount] ], )</f>
        <v>0</v>
      </c>
      <c r="N69" s="128">
        <f>IF(Table47[[#This Row],[CODE]]=6, Table47[ [#This Row],[Account Deposit Amount] ]-Table47[ [#This Row],[Account Withdrawl Amount] ], )</f>
        <v>0</v>
      </c>
      <c r="O69" s="128">
        <f>IF(Table47[[#This Row],[CODE]]=11, Table47[ [#This Row],[Account Deposit Amount] ]-Table47[ [#This Row],[Account Withdrawl Amount] ], )</f>
        <v>0</v>
      </c>
      <c r="P69" s="128">
        <f>IF(Table47[[#This Row],[CODE]]=12, Table47[ [#This Row],[Account Deposit Amount] ]-Table47[ [#This Row],[Account Withdrawl Amount] ], )</f>
        <v>0</v>
      </c>
      <c r="Q69" s="128">
        <f>IF(Table47[[#This Row],[CODE]]=13, Table47[ [#This Row],[Account Deposit Amount] ]-Table47[ [#This Row],[Account Withdrawl Amount] ], )</f>
        <v>0</v>
      </c>
      <c r="R69" s="128">
        <f>IF(Table47[[#This Row],[CODE]]=14, Table47[ [#This Row],[Account Deposit Amount] ]-Table47[ [#This Row],[Account Withdrawl Amount] ], )</f>
        <v>0</v>
      </c>
      <c r="S69" s="128">
        <f>IF(Table47[[#This Row],[CODE]]=15, Table47[ [#This Row],[Account Deposit Amount] ]-Table47[ [#This Row],[Account Withdrawl Amount] ], )</f>
        <v>0</v>
      </c>
      <c r="T69" s="128">
        <f>IF(Table47[[#This Row],[CODE]]=16, Table47[ [#This Row],[Account Deposit Amount] ]-Table47[ [#This Row],[Account Withdrawl Amount] ], )</f>
        <v>0</v>
      </c>
      <c r="U69" s="127">
        <f>IF(Table47[[#This Row],[CODE]]=17, Table47[ [#This Row],[Account Deposit Amount] ]-Table47[ [#This Row],[Account Withdrawl Amount] ], )</f>
        <v>0</v>
      </c>
    </row>
    <row r="70" spans="1:21" ht="16.2" thickBot="1">
      <c r="A70" s="130"/>
      <c r="B70" s="133"/>
      <c r="C70" s="130"/>
      <c r="D70" s="132"/>
      <c r="E70" s="128"/>
      <c r="F70" s="128"/>
      <c r="G70" s="131">
        <f t="shared" si="4"/>
        <v>75073.499999999971</v>
      </c>
      <c r="H70" s="130"/>
      <c r="I70" s="127">
        <f>IF(Table47[[#This Row],[CODE]]=1, Table47[ [#This Row],[Account Deposit Amount] ]-Table47[ [#This Row],[Account Withdrawl Amount] ], )</f>
        <v>0</v>
      </c>
      <c r="J70" s="129">
        <f>IF(Table47[[#This Row],[CODE]]=2, Table47[ [#This Row],[Account Deposit Amount] ]-Table47[ [#This Row],[Account Withdrawl Amount] ], )</f>
        <v>0</v>
      </c>
      <c r="K70" s="129">
        <f>IF(Table47[[#This Row],[CODE]]=3, Table47[ [#This Row],[Account Deposit Amount] ]-Table47[ [#This Row],[Account Withdrawl Amount] ], )</f>
        <v>0</v>
      </c>
      <c r="L70" s="128">
        <f>IF(Table47[[#This Row],[CODE]]=4, Table47[ [#This Row],[Account Deposit Amount] ]-Table47[ [#This Row],[Account Withdrawl Amount] ], )</f>
        <v>0</v>
      </c>
      <c r="M70" s="128">
        <f>IF(Table47[[#This Row],[CODE]]=5, Table47[ [#This Row],[Account Deposit Amount] ]-Table47[ [#This Row],[Account Withdrawl Amount] ], )</f>
        <v>0</v>
      </c>
      <c r="N70" s="128">
        <f>IF(Table47[[#This Row],[CODE]]=6, Table47[ [#This Row],[Account Deposit Amount] ]-Table47[ [#This Row],[Account Withdrawl Amount] ], )</f>
        <v>0</v>
      </c>
      <c r="O70" s="128">
        <f>IF(Table47[[#This Row],[CODE]]=11, Table47[ [#This Row],[Account Deposit Amount] ]-Table47[ [#This Row],[Account Withdrawl Amount] ], )</f>
        <v>0</v>
      </c>
      <c r="P70" s="128">
        <f>IF(Table47[[#This Row],[CODE]]=12, Table47[ [#This Row],[Account Deposit Amount] ]-Table47[ [#This Row],[Account Withdrawl Amount] ], )</f>
        <v>0</v>
      </c>
      <c r="Q70" s="128">
        <f>IF(Table47[[#This Row],[CODE]]=13, Table47[ [#This Row],[Account Deposit Amount] ]-Table47[ [#This Row],[Account Withdrawl Amount] ], )</f>
        <v>0</v>
      </c>
      <c r="R70" s="128">
        <f>IF(Table47[[#This Row],[CODE]]=14, Table47[ [#This Row],[Account Deposit Amount] ]-Table47[ [#This Row],[Account Withdrawl Amount] ], )</f>
        <v>0</v>
      </c>
      <c r="S70" s="128">
        <f>IF(Table47[[#This Row],[CODE]]=15, Table47[ [#This Row],[Account Deposit Amount] ]-Table47[ [#This Row],[Account Withdrawl Amount] ], )</f>
        <v>0</v>
      </c>
      <c r="T70" s="128">
        <f>IF(Table47[[#This Row],[CODE]]=16, Table47[ [#This Row],[Account Deposit Amount] ]-Table47[ [#This Row],[Account Withdrawl Amount] ], )</f>
        <v>0</v>
      </c>
      <c r="U70" s="127">
        <f>IF(Table47[[#This Row],[CODE]]=17, Table47[ [#This Row],[Account Deposit Amount] ]-Table47[ [#This Row],[Account Withdrawl Amount] ], )</f>
        <v>0</v>
      </c>
    </row>
    <row r="71" spans="1:21" ht="16.2" thickBot="1">
      <c r="A71" s="130"/>
      <c r="B71" s="133"/>
      <c r="C71" s="130"/>
      <c r="D71" s="132"/>
      <c r="E71" s="128"/>
      <c r="F71" s="128"/>
      <c r="G71" s="131">
        <f t="shared" si="4"/>
        <v>75073.499999999971</v>
      </c>
      <c r="H71" s="130"/>
      <c r="I71" s="127">
        <f>IF(Table47[[#This Row],[CODE]]=1, Table47[ [#This Row],[Account Deposit Amount] ]-Table47[ [#This Row],[Account Withdrawl Amount] ], )</f>
        <v>0</v>
      </c>
      <c r="J71" s="129">
        <f>IF(Table47[[#This Row],[CODE]]=2, Table47[ [#This Row],[Account Deposit Amount] ]-Table47[ [#This Row],[Account Withdrawl Amount] ], )</f>
        <v>0</v>
      </c>
      <c r="K71" s="129">
        <f>IF(Table47[[#This Row],[CODE]]=3, Table47[ [#This Row],[Account Deposit Amount] ]-Table47[ [#This Row],[Account Withdrawl Amount] ], )</f>
        <v>0</v>
      </c>
      <c r="L71" s="128">
        <f>IF(Table47[[#This Row],[CODE]]=4, Table47[ [#This Row],[Account Deposit Amount] ]-Table47[ [#This Row],[Account Withdrawl Amount] ], )</f>
        <v>0</v>
      </c>
      <c r="M71" s="128">
        <f>IF(Table47[[#This Row],[CODE]]=5, Table47[ [#This Row],[Account Deposit Amount] ]-Table47[ [#This Row],[Account Withdrawl Amount] ], )</f>
        <v>0</v>
      </c>
      <c r="N71" s="128">
        <f>IF(Table47[[#This Row],[CODE]]=6, Table47[ [#This Row],[Account Deposit Amount] ]-Table47[ [#This Row],[Account Withdrawl Amount] ], )</f>
        <v>0</v>
      </c>
      <c r="O71" s="128">
        <f>IF(Table47[[#This Row],[CODE]]=11, Table47[ [#This Row],[Account Deposit Amount] ]-Table47[ [#This Row],[Account Withdrawl Amount] ], )</f>
        <v>0</v>
      </c>
      <c r="P71" s="128">
        <f>IF(Table47[[#This Row],[CODE]]=12, Table47[ [#This Row],[Account Deposit Amount] ]-Table47[ [#This Row],[Account Withdrawl Amount] ], )</f>
        <v>0</v>
      </c>
      <c r="Q71" s="128">
        <f>IF(Table47[[#This Row],[CODE]]=13, Table47[ [#This Row],[Account Deposit Amount] ]-Table47[ [#This Row],[Account Withdrawl Amount] ], )</f>
        <v>0</v>
      </c>
      <c r="R71" s="128">
        <f>IF(Table47[[#This Row],[CODE]]=14, Table47[ [#This Row],[Account Deposit Amount] ]-Table47[ [#This Row],[Account Withdrawl Amount] ], )</f>
        <v>0</v>
      </c>
      <c r="S71" s="128">
        <f>IF(Table47[[#This Row],[CODE]]=15, Table47[ [#This Row],[Account Deposit Amount] ]-Table47[ [#This Row],[Account Withdrawl Amount] ], )</f>
        <v>0</v>
      </c>
      <c r="T71" s="128">
        <f>IF(Table47[[#This Row],[CODE]]=16, Table47[ [#This Row],[Account Deposit Amount] ]-Table47[ [#This Row],[Account Withdrawl Amount] ], )</f>
        <v>0</v>
      </c>
      <c r="U71" s="127">
        <f>IF(Table47[[#This Row],[CODE]]=17, Table47[ [#This Row],[Account Deposit Amount] ]-Table47[ [#This Row],[Account Withdrawl Amount] ], )</f>
        <v>0</v>
      </c>
    </row>
    <row r="72" spans="1:21" ht="16.2" thickBot="1">
      <c r="A72" s="130"/>
      <c r="B72" s="133"/>
      <c r="C72" s="130"/>
      <c r="D72" s="132"/>
      <c r="E72" s="128"/>
      <c r="F72" s="128"/>
      <c r="G72" s="131">
        <f t="shared" si="4"/>
        <v>75073.499999999971</v>
      </c>
      <c r="H72" s="130"/>
      <c r="I72" s="127">
        <f>IF(Table47[[#This Row],[CODE]]=1, Table47[ [#This Row],[Account Deposit Amount] ]-Table47[ [#This Row],[Account Withdrawl Amount] ], )</f>
        <v>0</v>
      </c>
      <c r="J72" s="129">
        <f>IF(Table47[[#This Row],[CODE]]=2, Table47[ [#This Row],[Account Deposit Amount] ]-Table47[ [#This Row],[Account Withdrawl Amount] ], )</f>
        <v>0</v>
      </c>
      <c r="K72" s="129">
        <f>IF(Table47[[#This Row],[CODE]]=3, Table47[ [#This Row],[Account Deposit Amount] ]-Table47[ [#This Row],[Account Withdrawl Amount] ], )</f>
        <v>0</v>
      </c>
      <c r="L72" s="128">
        <f>IF(Table47[[#This Row],[CODE]]=4, Table47[ [#This Row],[Account Deposit Amount] ]-Table47[ [#This Row],[Account Withdrawl Amount] ], )</f>
        <v>0</v>
      </c>
      <c r="M72" s="128">
        <f>IF(Table47[[#This Row],[CODE]]=5, Table47[ [#This Row],[Account Deposit Amount] ]-Table47[ [#This Row],[Account Withdrawl Amount] ], )</f>
        <v>0</v>
      </c>
      <c r="N72" s="128">
        <f>IF(Table47[[#This Row],[CODE]]=6, Table47[ [#This Row],[Account Deposit Amount] ]-Table47[ [#This Row],[Account Withdrawl Amount] ], )</f>
        <v>0</v>
      </c>
      <c r="O72" s="128">
        <f>IF(Table47[[#This Row],[CODE]]=11, Table47[ [#This Row],[Account Deposit Amount] ]-Table47[ [#This Row],[Account Withdrawl Amount] ], )</f>
        <v>0</v>
      </c>
      <c r="P72" s="128">
        <f>IF(Table47[[#This Row],[CODE]]=12, Table47[ [#This Row],[Account Deposit Amount] ]-Table47[ [#This Row],[Account Withdrawl Amount] ], )</f>
        <v>0</v>
      </c>
      <c r="Q72" s="128">
        <f>IF(Table47[[#This Row],[CODE]]=13, Table47[ [#This Row],[Account Deposit Amount] ]-Table47[ [#This Row],[Account Withdrawl Amount] ], )</f>
        <v>0</v>
      </c>
      <c r="R72" s="128">
        <f>IF(Table47[[#This Row],[CODE]]=14, Table47[ [#This Row],[Account Deposit Amount] ]-Table47[ [#This Row],[Account Withdrawl Amount] ], )</f>
        <v>0</v>
      </c>
      <c r="S72" s="128">
        <f>IF(Table47[[#This Row],[CODE]]=15, Table47[ [#This Row],[Account Deposit Amount] ]-Table47[ [#This Row],[Account Withdrawl Amount] ], )</f>
        <v>0</v>
      </c>
      <c r="T72" s="128">
        <f>IF(Table47[[#This Row],[CODE]]=16, Table47[ [#This Row],[Account Deposit Amount] ]-Table47[ [#This Row],[Account Withdrawl Amount] ], )</f>
        <v>0</v>
      </c>
      <c r="U72" s="127">
        <f>IF(Table47[[#This Row],[CODE]]=17, Table47[ [#This Row],[Account Deposit Amount] ]-Table47[ [#This Row],[Account Withdrawl Amount] ], )</f>
        <v>0</v>
      </c>
    </row>
    <row r="73" spans="1:21" ht="16.2" thickBot="1">
      <c r="A73" s="130"/>
      <c r="B73" s="133"/>
      <c r="C73" s="130"/>
      <c r="D73" s="132"/>
      <c r="E73" s="128"/>
      <c r="F73" s="128"/>
      <c r="G73" s="131">
        <f t="shared" si="4"/>
        <v>75073.499999999971</v>
      </c>
      <c r="H73" s="130"/>
      <c r="I73" s="127">
        <f>IF(Table47[[#This Row],[CODE]]=1, Table47[ [#This Row],[Account Deposit Amount] ]-Table47[ [#This Row],[Account Withdrawl Amount] ], )</f>
        <v>0</v>
      </c>
      <c r="J73" s="129">
        <f>IF(Table47[[#This Row],[CODE]]=2, Table47[ [#This Row],[Account Deposit Amount] ]-Table47[ [#This Row],[Account Withdrawl Amount] ], )</f>
        <v>0</v>
      </c>
      <c r="K73" s="129">
        <f>IF(Table47[[#This Row],[CODE]]=3, Table47[ [#This Row],[Account Deposit Amount] ]-Table47[ [#This Row],[Account Withdrawl Amount] ], )</f>
        <v>0</v>
      </c>
      <c r="L73" s="128">
        <f>IF(Table47[[#This Row],[CODE]]=4, Table47[ [#This Row],[Account Deposit Amount] ]-Table47[ [#This Row],[Account Withdrawl Amount] ], )</f>
        <v>0</v>
      </c>
      <c r="M73" s="128">
        <f>IF(Table47[[#This Row],[CODE]]=5, Table47[ [#This Row],[Account Deposit Amount] ]-Table47[ [#This Row],[Account Withdrawl Amount] ], )</f>
        <v>0</v>
      </c>
      <c r="N73" s="128">
        <f>IF(Table47[[#This Row],[CODE]]=6, Table47[ [#This Row],[Account Deposit Amount] ]-Table47[ [#This Row],[Account Withdrawl Amount] ], )</f>
        <v>0</v>
      </c>
      <c r="O73" s="128">
        <f>IF(Table47[[#This Row],[CODE]]=11, Table47[ [#This Row],[Account Deposit Amount] ]-Table47[ [#This Row],[Account Withdrawl Amount] ], )</f>
        <v>0</v>
      </c>
      <c r="P73" s="128">
        <f>IF(Table47[[#This Row],[CODE]]=12, Table47[ [#This Row],[Account Deposit Amount] ]-Table47[ [#This Row],[Account Withdrawl Amount] ], )</f>
        <v>0</v>
      </c>
      <c r="Q73" s="128">
        <f>IF(Table47[[#This Row],[CODE]]=13, Table47[ [#This Row],[Account Deposit Amount] ]-Table47[ [#This Row],[Account Withdrawl Amount] ], )</f>
        <v>0</v>
      </c>
      <c r="R73" s="128">
        <f>IF(Table47[[#This Row],[CODE]]=14, Table47[ [#This Row],[Account Deposit Amount] ]-Table47[ [#This Row],[Account Withdrawl Amount] ], )</f>
        <v>0</v>
      </c>
      <c r="S73" s="128">
        <f>IF(Table47[[#This Row],[CODE]]=15, Table47[ [#This Row],[Account Deposit Amount] ]-Table47[ [#This Row],[Account Withdrawl Amount] ], )</f>
        <v>0</v>
      </c>
      <c r="T73" s="128">
        <f>IF(Table47[[#This Row],[CODE]]=16, Table47[ [#This Row],[Account Deposit Amount] ]-Table47[ [#This Row],[Account Withdrawl Amount] ], )</f>
        <v>0</v>
      </c>
      <c r="U73" s="127">
        <f>IF(Table47[[#This Row],[CODE]]=17, Table47[ [#This Row],[Account Deposit Amount] ]-Table47[ [#This Row],[Account Withdrawl Amount] ], )</f>
        <v>0</v>
      </c>
    </row>
    <row r="74" spans="1:21" ht="16.2" thickBot="1">
      <c r="A74" s="130"/>
      <c r="B74" s="133"/>
      <c r="C74" s="130"/>
      <c r="D74" s="132"/>
      <c r="E74" s="128"/>
      <c r="F74" s="128"/>
      <c r="G74" s="131">
        <f t="shared" si="4"/>
        <v>75073.499999999971</v>
      </c>
      <c r="H74" s="130"/>
      <c r="I74" s="127">
        <f>IF(Table47[[#This Row],[CODE]]=1, Table47[ [#This Row],[Account Deposit Amount] ]-Table47[ [#This Row],[Account Withdrawl Amount] ], )</f>
        <v>0</v>
      </c>
      <c r="J74" s="129">
        <f>IF(Table47[[#This Row],[CODE]]=2, Table47[ [#This Row],[Account Deposit Amount] ]-Table47[ [#This Row],[Account Withdrawl Amount] ], )</f>
        <v>0</v>
      </c>
      <c r="K74" s="129">
        <f>IF(Table47[[#This Row],[CODE]]=3, Table47[ [#This Row],[Account Deposit Amount] ]-Table47[ [#This Row],[Account Withdrawl Amount] ], )</f>
        <v>0</v>
      </c>
      <c r="L74" s="128">
        <f>IF(Table47[[#This Row],[CODE]]=4, Table47[ [#This Row],[Account Deposit Amount] ]-Table47[ [#This Row],[Account Withdrawl Amount] ], )</f>
        <v>0</v>
      </c>
      <c r="M74" s="128">
        <f>IF(Table47[[#This Row],[CODE]]=5, Table47[ [#This Row],[Account Deposit Amount] ]-Table47[ [#This Row],[Account Withdrawl Amount] ], )</f>
        <v>0</v>
      </c>
      <c r="N74" s="128">
        <f>IF(Table47[[#This Row],[CODE]]=6, Table47[ [#This Row],[Account Deposit Amount] ]-Table47[ [#This Row],[Account Withdrawl Amount] ], )</f>
        <v>0</v>
      </c>
      <c r="O74" s="128">
        <f>IF(Table47[[#This Row],[CODE]]=11, Table47[ [#This Row],[Account Deposit Amount] ]-Table47[ [#This Row],[Account Withdrawl Amount] ], )</f>
        <v>0</v>
      </c>
      <c r="P74" s="128">
        <f>IF(Table47[[#This Row],[CODE]]=12, Table47[ [#This Row],[Account Deposit Amount] ]-Table47[ [#This Row],[Account Withdrawl Amount] ], )</f>
        <v>0</v>
      </c>
      <c r="Q74" s="128">
        <f>IF(Table47[[#This Row],[CODE]]=13, Table47[ [#This Row],[Account Deposit Amount] ]-Table47[ [#This Row],[Account Withdrawl Amount] ], )</f>
        <v>0</v>
      </c>
      <c r="R74" s="128">
        <f>IF(Table47[[#This Row],[CODE]]=14, Table47[ [#This Row],[Account Deposit Amount] ]-Table47[ [#This Row],[Account Withdrawl Amount] ], )</f>
        <v>0</v>
      </c>
      <c r="S74" s="128">
        <f>IF(Table47[[#This Row],[CODE]]=15, Table47[ [#This Row],[Account Deposit Amount] ]-Table47[ [#This Row],[Account Withdrawl Amount] ], )</f>
        <v>0</v>
      </c>
      <c r="T74" s="128">
        <f>IF(Table47[[#This Row],[CODE]]=16, Table47[ [#This Row],[Account Deposit Amount] ]-Table47[ [#This Row],[Account Withdrawl Amount] ], )</f>
        <v>0</v>
      </c>
      <c r="U74" s="127">
        <f>IF(Table47[[#This Row],[CODE]]=17, Table47[ [#This Row],[Account Deposit Amount] ]-Table47[ [#This Row],[Account Withdrawl Amount] ], )</f>
        <v>0</v>
      </c>
    </row>
    <row r="75" spans="1:21" ht="16.2" thickBot="1">
      <c r="A75" s="130"/>
      <c r="B75" s="133"/>
      <c r="C75" s="130"/>
      <c r="D75" s="132"/>
      <c r="E75" s="128"/>
      <c r="F75" s="128"/>
      <c r="G75" s="131">
        <f t="shared" si="4"/>
        <v>75073.499999999971</v>
      </c>
      <c r="H75" s="130"/>
      <c r="I75" s="127">
        <f>IF(Table47[[#This Row],[CODE]]=1, Table47[ [#This Row],[Account Deposit Amount] ]-Table47[ [#This Row],[Account Withdrawl Amount] ], )</f>
        <v>0</v>
      </c>
      <c r="J75" s="129">
        <f>IF(Table47[[#This Row],[CODE]]=2, Table47[ [#This Row],[Account Deposit Amount] ]-Table47[ [#This Row],[Account Withdrawl Amount] ], )</f>
        <v>0</v>
      </c>
      <c r="K75" s="129">
        <f>IF(Table47[[#This Row],[CODE]]=3, Table47[ [#This Row],[Account Deposit Amount] ]-Table47[ [#This Row],[Account Withdrawl Amount] ], )</f>
        <v>0</v>
      </c>
      <c r="L75" s="128">
        <f>IF(Table47[[#This Row],[CODE]]=4, Table47[ [#This Row],[Account Deposit Amount] ]-Table47[ [#This Row],[Account Withdrawl Amount] ], )</f>
        <v>0</v>
      </c>
      <c r="M75" s="128">
        <f>IF(Table47[[#This Row],[CODE]]=5, Table47[ [#This Row],[Account Deposit Amount] ]-Table47[ [#This Row],[Account Withdrawl Amount] ], )</f>
        <v>0</v>
      </c>
      <c r="N75" s="128">
        <f>IF(Table47[[#This Row],[CODE]]=6, Table47[ [#This Row],[Account Deposit Amount] ]-Table47[ [#This Row],[Account Withdrawl Amount] ], )</f>
        <v>0</v>
      </c>
      <c r="O75" s="128">
        <f>IF(Table47[[#This Row],[CODE]]=11, Table47[ [#This Row],[Account Deposit Amount] ]-Table47[ [#This Row],[Account Withdrawl Amount] ], )</f>
        <v>0</v>
      </c>
      <c r="P75" s="128">
        <f>IF(Table47[[#This Row],[CODE]]=12, Table47[ [#This Row],[Account Deposit Amount] ]-Table47[ [#This Row],[Account Withdrawl Amount] ], )</f>
        <v>0</v>
      </c>
      <c r="Q75" s="128">
        <f>IF(Table47[[#This Row],[CODE]]=13, Table47[ [#This Row],[Account Deposit Amount] ]-Table47[ [#This Row],[Account Withdrawl Amount] ], )</f>
        <v>0</v>
      </c>
      <c r="R75" s="128">
        <f>IF(Table47[[#This Row],[CODE]]=14, Table47[ [#This Row],[Account Deposit Amount] ]-Table47[ [#This Row],[Account Withdrawl Amount] ], )</f>
        <v>0</v>
      </c>
      <c r="S75" s="128">
        <f>IF(Table47[[#This Row],[CODE]]=15, Table47[ [#This Row],[Account Deposit Amount] ]-Table47[ [#This Row],[Account Withdrawl Amount] ], )</f>
        <v>0</v>
      </c>
      <c r="T75" s="128">
        <f>IF(Table47[[#This Row],[CODE]]=16, Table47[ [#This Row],[Account Deposit Amount] ]-Table47[ [#This Row],[Account Withdrawl Amount] ], )</f>
        <v>0</v>
      </c>
      <c r="U75" s="127">
        <f>IF(Table47[[#This Row],[CODE]]=17, Table47[ [#This Row],[Account Deposit Amount] ]-Table47[ [#This Row],[Account Withdrawl Amount] ], )</f>
        <v>0</v>
      </c>
    </row>
    <row r="76" spans="1:21" ht="16.2" thickBot="1">
      <c r="A76" s="130"/>
      <c r="B76" s="133"/>
      <c r="C76" s="130"/>
      <c r="D76" s="132"/>
      <c r="E76" s="128"/>
      <c r="F76" s="128"/>
      <c r="G76" s="131">
        <f t="shared" si="4"/>
        <v>75073.499999999971</v>
      </c>
      <c r="H76" s="130"/>
      <c r="I76" s="127">
        <f>IF(Table47[[#This Row],[CODE]]=1, Table47[ [#This Row],[Account Deposit Amount] ]-Table47[ [#This Row],[Account Withdrawl Amount] ], )</f>
        <v>0</v>
      </c>
      <c r="J76" s="129">
        <f>IF(Table47[[#This Row],[CODE]]=2, Table47[ [#This Row],[Account Deposit Amount] ]-Table47[ [#This Row],[Account Withdrawl Amount] ], )</f>
        <v>0</v>
      </c>
      <c r="K76" s="129">
        <f>IF(Table47[[#This Row],[CODE]]=3, Table47[ [#This Row],[Account Deposit Amount] ]-Table47[ [#This Row],[Account Withdrawl Amount] ], )</f>
        <v>0</v>
      </c>
      <c r="L76" s="128">
        <f>IF(Table47[[#This Row],[CODE]]=4, Table47[ [#This Row],[Account Deposit Amount] ]-Table47[ [#This Row],[Account Withdrawl Amount] ], )</f>
        <v>0</v>
      </c>
      <c r="M76" s="128">
        <f>IF(Table47[[#This Row],[CODE]]=5, Table47[ [#This Row],[Account Deposit Amount] ]-Table47[ [#This Row],[Account Withdrawl Amount] ], )</f>
        <v>0</v>
      </c>
      <c r="N76" s="128">
        <f>IF(Table47[[#This Row],[CODE]]=6, Table47[ [#This Row],[Account Deposit Amount] ]-Table47[ [#This Row],[Account Withdrawl Amount] ], )</f>
        <v>0</v>
      </c>
      <c r="O76" s="128">
        <f>IF(Table47[[#This Row],[CODE]]=11, Table47[ [#This Row],[Account Deposit Amount] ]-Table47[ [#This Row],[Account Withdrawl Amount] ], )</f>
        <v>0</v>
      </c>
      <c r="P76" s="128">
        <f>IF(Table47[[#This Row],[CODE]]=12, Table47[ [#This Row],[Account Deposit Amount] ]-Table47[ [#This Row],[Account Withdrawl Amount] ], )</f>
        <v>0</v>
      </c>
      <c r="Q76" s="128">
        <f>IF(Table47[[#This Row],[CODE]]=13, Table47[ [#This Row],[Account Deposit Amount] ]-Table47[ [#This Row],[Account Withdrawl Amount] ], )</f>
        <v>0</v>
      </c>
      <c r="R76" s="128">
        <f>IF(Table47[[#This Row],[CODE]]=14, Table47[ [#This Row],[Account Deposit Amount] ]-Table47[ [#This Row],[Account Withdrawl Amount] ], )</f>
        <v>0</v>
      </c>
      <c r="S76" s="128">
        <f>IF(Table47[[#This Row],[CODE]]=15, Table47[ [#This Row],[Account Deposit Amount] ]-Table47[ [#This Row],[Account Withdrawl Amount] ], )</f>
        <v>0</v>
      </c>
      <c r="T76" s="128">
        <f>IF(Table47[[#This Row],[CODE]]=16, Table47[ [#This Row],[Account Deposit Amount] ]-Table47[ [#This Row],[Account Withdrawl Amount] ], )</f>
        <v>0</v>
      </c>
      <c r="U76" s="127">
        <f>IF(Table47[[#This Row],[CODE]]=17, Table47[ [#This Row],[Account Deposit Amount] ]-Table47[ [#This Row],[Account Withdrawl Amount] ], )</f>
        <v>0</v>
      </c>
    </row>
    <row r="77" spans="1:21" ht="16.2" thickBot="1">
      <c r="A77" s="130"/>
      <c r="B77" s="133"/>
      <c r="C77" s="130"/>
      <c r="D77" s="132"/>
      <c r="E77" s="128"/>
      <c r="F77" s="128"/>
      <c r="G77" s="131">
        <f t="shared" si="4"/>
        <v>75073.499999999971</v>
      </c>
      <c r="H77" s="130"/>
      <c r="I77" s="127">
        <f>IF(Table47[[#This Row],[CODE]]=1, Table47[ [#This Row],[Account Deposit Amount] ]-Table47[ [#This Row],[Account Withdrawl Amount] ], )</f>
        <v>0</v>
      </c>
      <c r="J77" s="129">
        <f>IF(Table47[[#This Row],[CODE]]=2, Table47[ [#This Row],[Account Deposit Amount] ]-Table47[ [#This Row],[Account Withdrawl Amount] ], )</f>
        <v>0</v>
      </c>
      <c r="K77" s="129">
        <f>IF(Table47[[#This Row],[CODE]]=3, Table47[ [#This Row],[Account Deposit Amount] ]-Table47[ [#This Row],[Account Withdrawl Amount] ], )</f>
        <v>0</v>
      </c>
      <c r="L77" s="128">
        <f>IF(Table47[[#This Row],[CODE]]=4, Table47[ [#This Row],[Account Deposit Amount] ]-Table47[ [#This Row],[Account Withdrawl Amount] ], )</f>
        <v>0</v>
      </c>
      <c r="M77" s="128">
        <f>IF(Table47[[#This Row],[CODE]]=5, Table47[ [#This Row],[Account Deposit Amount] ]-Table47[ [#This Row],[Account Withdrawl Amount] ], )</f>
        <v>0</v>
      </c>
      <c r="N77" s="128">
        <f>IF(Table47[[#This Row],[CODE]]=6, Table47[ [#This Row],[Account Deposit Amount] ]-Table47[ [#This Row],[Account Withdrawl Amount] ], )</f>
        <v>0</v>
      </c>
      <c r="O77" s="128">
        <f>IF(Table47[[#This Row],[CODE]]=11, Table47[ [#This Row],[Account Deposit Amount] ]-Table47[ [#This Row],[Account Withdrawl Amount] ], )</f>
        <v>0</v>
      </c>
      <c r="P77" s="128">
        <f>IF(Table47[[#This Row],[CODE]]=12, Table47[ [#This Row],[Account Deposit Amount] ]-Table47[ [#This Row],[Account Withdrawl Amount] ], )</f>
        <v>0</v>
      </c>
      <c r="Q77" s="128">
        <f>IF(Table47[[#This Row],[CODE]]=13, Table47[ [#This Row],[Account Deposit Amount] ]-Table47[ [#This Row],[Account Withdrawl Amount] ], )</f>
        <v>0</v>
      </c>
      <c r="R77" s="128">
        <f>IF(Table47[[#This Row],[CODE]]=14, Table47[ [#This Row],[Account Deposit Amount] ]-Table47[ [#This Row],[Account Withdrawl Amount] ], )</f>
        <v>0</v>
      </c>
      <c r="S77" s="128">
        <f>IF(Table47[[#This Row],[CODE]]=15, Table47[ [#This Row],[Account Deposit Amount] ]-Table47[ [#This Row],[Account Withdrawl Amount] ], )</f>
        <v>0</v>
      </c>
      <c r="T77" s="128">
        <f>IF(Table47[[#This Row],[CODE]]=16, Table47[ [#This Row],[Account Deposit Amount] ]-Table47[ [#This Row],[Account Withdrawl Amount] ], )</f>
        <v>0</v>
      </c>
      <c r="U77" s="127">
        <f>IF(Table47[[#This Row],[CODE]]=17, Table47[ [#This Row],[Account Deposit Amount] ]-Table47[ [#This Row],[Account Withdrawl Amount] ], )</f>
        <v>0</v>
      </c>
    </row>
    <row r="78" spans="1:21" ht="16.2" thickBot="1">
      <c r="A78" s="130"/>
      <c r="B78" s="133"/>
      <c r="C78" s="130"/>
      <c r="D78" s="132"/>
      <c r="E78" s="128"/>
      <c r="F78" s="128"/>
      <c r="G78" s="131">
        <f t="shared" si="4"/>
        <v>75073.499999999971</v>
      </c>
      <c r="H78" s="130"/>
      <c r="I78" s="127">
        <f>IF(Table47[[#This Row],[CODE]]=1, Table47[ [#This Row],[Account Deposit Amount] ]-Table47[ [#This Row],[Account Withdrawl Amount] ], )</f>
        <v>0</v>
      </c>
      <c r="J78" s="129">
        <f>IF(Table47[[#This Row],[CODE]]=2, Table47[ [#This Row],[Account Deposit Amount] ]-Table47[ [#This Row],[Account Withdrawl Amount] ], )</f>
        <v>0</v>
      </c>
      <c r="K78" s="129">
        <f>IF(Table47[[#This Row],[CODE]]=3, Table47[ [#This Row],[Account Deposit Amount] ]-Table47[ [#This Row],[Account Withdrawl Amount] ], )</f>
        <v>0</v>
      </c>
      <c r="L78" s="128">
        <f>IF(Table47[[#This Row],[CODE]]=4, Table47[ [#This Row],[Account Deposit Amount] ]-Table47[ [#This Row],[Account Withdrawl Amount] ], )</f>
        <v>0</v>
      </c>
      <c r="M78" s="128">
        <f>IF(Table47[[#This Row],[CODE]]=5, Table47[ [#This Row],[Account Deposit Amount] ]-Table47[ [#This Row],[Account Withdrawl Amount] ], )</f>
        <v>0</v>
      </c>
      <c r="N78" s="128">
        <f>IF(Table47[[#This Row],[CODE]]=6, Table47[ [#This Row],[Account Deposit Amount] ]-Table47[ [#This Row],[Account Withdrawl Amount] ], )</f>
        <v>0</v>
      </c>
      <c r="O78" s="128">
        <f>IF(Table47[[#This Row],[CODE]]=11, Table47[ [#This Row],[Account Deposit Amount] ]-Table47[ [#This Row],[Account Withdrawl Amount] ], )</f>
        <v>0</v>
      </c>
      <c r="P78" s="128">
        <f>IF(Table47[[#This Row],[CODE]]=12, Table47[ [#This Row],[Account Deposit Amount] ]-Table47[ [#This Row],[Account Withdrawl Amount] ], )</f>
        <v>0</v>
      </c>
      <c r="Q78" s="128">
        <f>IF(Table47[[#This Row],[CODE]]=13, Table47[ [#This Row],[Account Deposit Amount] ]-Table47[ [#This Row],[Account Withdrawl Amount] ], )</f>
        <v>0</v>
      </c>
      <c r="R78" s="128">
        <f>IF(Table47[[#This Row],[CODE]]=14, Table47[ [#This Row],[Account Deposit Amount] ]-Table47[ [#This Row],[Account Withdrawl Amount] ], )</f>
        <v>0</v>
      </c>
      <c r="S78" s="128">
        <f>IF(Table47[[#This Row],[CODE]]=15, Table47[ [#This Row],[Account Deposit Amount] ]-Table47[ [#This Row],[Account Withdrawl Amount] ], )</f>
        <v>0</v>
      </c>
      <c r="T78" s="128">
        <f>IF(Table47[[#This Row],[CODE]]=16, Table47[ [#This Row],[Account Deposit Amount] ]-Table47[ [#This Row],[Account Withdrawl Amount] ], )</f>
        <v>0</v>
      </c>
      <c r="U78" s="127">
        <f>IF(Table47[[#This Row],[CODE]]=17, Table47[ [#This Row],[Account Deposit Amount] ]-Table47[ [#This Row],[Account Withdrawl Amount] ], )</f>
        <v>0</v>
      </c>
    </row>
    <row r="79" spans="1:21" ht="16.2" thickBot="1">
      <c r="A79" s="130"/>
      <c r="B79" s="133"/>
      <c r="C79" s="130"/>
      <c r="D79" s="132"/>
      <c r="E79" s="128"/>
      <c r="F79" s="128"/>
      <c r="G79" s="131">
        <f t="shared" si="4"/>
        <v>75073.499999999971</v>
      </c>
      <c r="H79" s="130"/>
      <c r="I79" s="127">
        <f>IF(Table47[[#This Row],[CODE]]=1, Table47[ [#This Row],[Account Deposit Amount] ]-Table47[ [#This Row],[Account Withdrawl Amount] ], )</f>
        <v>0</v>
      </c>
      <c r="J79" s="129">
        <f>IF(Table47[[#This Row],[CODE]]=2, Table47[ [#This Row],[Account Deposit Amount] ]-Table47[ [#This Row],[Account Withdrawl Amount] ], )</f>
        <v>0</v>
      </c>
      <c r="K79" s="129">
        <f>IF(Table47[[#This Row],[CODE]]=3, Table47[ [#This Row],[Account Deposit Amount] ]-Table47[ [#This Row],[Account Withdrawl Amount] ], )</f>
        <v>0</v>
      </c>
      <c r="L79" s="128">
        <f>IF(Table47[[#This Row],[CODE]]=4, Table47[ [#This Row],[Account Deposit Amount] ]-Table47[ [#This Row],[Account Withdrawl Amount] ], )</f>
        <v>0</v>
      </c>
      <c r="M79" s="128">
        <f>IF(Table47[[#This Row],[CODE]]=5, Table47[ [#This Row],[Account Deposit Amount] ]-Table47[ [#This Row],[Account Withdrawl Amount] ], )</f>
        <v>0</v>
      </c>
      <c r="N79" s="128">
        <f>IF(Table47[[#This Row],[CODE]]=6, Table47[ [#This Row],[Account Deposit Amount] ]-Table47[ [#This Row],[Account Withdrawl Amount] ], )</f>
        <v>0</v>
      </c>
      <c r="O79" s="128">
        <f>IF(Table47[[#This Row],[CODE]]=11, Table47[ [#This Row],[Account Deposit Amount] ]-Table47[ [#This Row],[Account Withdrawl Amount] ], )</f>
        <v>0</v>
      </c>
      <c r="P79" s="128">
        <f>IF(Table47[[#This Row],[CODE]]=12, Table47[ [#This Row],[Account Deposit Amount] ]-Table47[ [#This Row],[Account Withdrawl Amount] ], )</f>
        <v>0</v>
      </c>
      <c r="Q79" s="128">
        <f>IF(Table47[[#This Row],[CODE]]=13, Table47[ [#This Row],[Account Deposit Amount] ]-Table47[ [#This Row],[Account Withdrawl Amount] ], )</f>
        <v>0</v>
      </c>
      <c r="R79" s="128">
        <f>IF(Table47[[#This Row],[CODE]]=14, Table47[ [#This Row],[Account Deposit Amount] ]-Table47[ [#This Row],[Account Withdrawl Amount] ], )</f>
        <v>0</v>
      </c>
      <c r="S79" s="128">
        <f>IF(Table47[[#This Row],[CODE]]=15, Table47[ [#This Row],[Account Deposit Amount] ]-Table47[ [#This Row],[Account Withdrawl Amount] ], )</f>
        <v>0</v>
      </c>
      <c r="T79" s="128">
        <f>IF(Table47[[#This Row],[CODE]]=16, Table47[ [#This Row],[Account Deposit Amount] ]-Table47[ [#This Row],[Account Withdrawl Amount] ], )</f>
        <v>0</v>
      </c>
      <c r="U79" s="127">
        <f>IF(Table47[[#This Row],[CODE]]=17, Table47[ [#This Row],[Account Deposit Amount] ]-Table47[ [#This Row],[Account Withdrawl Amount] ], )</f>
        <v>0</v>
      </c>
    </row>
    <row r="80" spans="1:21" ht="16.2" thickBot="1">
      <c r="A80" s="130"/>
      <c r="B80" s="133"/>
      <c r="C80" s="130"/>
      <c r="D80" s="132"/>
      <c r="E80" s="128"/>
      <c r="F80" s="128"/>
      <c r="G80" s="131">
        <f t="shared" si="4"/>
        <v>75073.499999999971</v>
      </c>
      <c r="H80" s="130"/>
      <c r="I80" s="127">
        <f>IF(Table47[[#This Row],[CODE]]=1, Table47[ [#This Row],[Account Deposit Amount] ]-Table47[ [#This Row],[Account Withdrawl Amount] ], )</f>
        <v>0</v>
      </c>
      <c r="J80" s="129">
        <f>IF(Table47[[#This Row],[CODE]]=2, Table47[ [#This Row],[Account Deposit Amount] ]-Table47[ [#This Row],[Account Withdrawl Amount] ], )</f>
        <v>0</v>
      </c>
      <c r="K80" s="129">
        <f>IF(Table47[[#This Row],[CODE]]=3, Table47[ [#This Row],[Account Deposit Amount] ]-Table47[ [#This Row],[Account Withdrawl Amount] ], )</f>
        <v>0</v>
      </c>
      <c r="L80" s="128">
        <f>IF(Table47[[#This Row],[CODE]]=4, Table47[ [#This Row],[Account Deposit Amount] ]-Table47[ [#This Row],[Account Withdrawl Amount] ], )</f>
        <v>0</v>
      </c>
      <c r="M80" s="128">
        <f>IF(Table47[[#This Row],[CODE]]=5, Table47[ [#This Row],[Account Deposit Amount] ]-Table47[ [#This Row],[Account Withdrawl Amount] ], )</f>
        <v>0</v>
      </c>
      <c r="N80" s="128">
        <f>IF(Table47[[#This Row],[CODE]]=6, Table47[ [#This Row],[Account Deposit Amount] ]-Table47[ [#This Row],[Account Withdrawl Amount] ], )</f>
        <v>0</v>
      </c>
      <c r="O80" s="128">
        <f>IF(Table47[[#This Row],[CODE]]=11, Table47[ [#This Row],[Account Deposit Amount] ]-Table47[ [#This Row],[Account Withdrawl Amount] ], )</f>
        <v>0</v>
      </c>
      <c r="P80" s="128">
        <f>IF(Table47[[#This Row],[CODE]]=12, Table47[ [#This Row],[Account Deposit Amount] ]-Table47[ [#This Row],[Account Withdrawl Amount] ], )</f>
        <v>0</v>
      </c>
      <c r="Q80" s="128">
        <f>IF(Table47[[#This Row],[CODE]]=13, Table47[ [#This Row],[Account Deposit Amount] ]-Table47[ [#This Row],[Account Withdrawl Amount] ], )</f>
        <v>0</v>
      </c>
      <c r="R80" s="128">
        <f>IF(Table47[[#This Row],[CODE]]=14, Table47[ [#This Row],[Account Deposit Amount] ]-Table47[ [#This Row],[Account Withdrawl Amount] ], )</f>
        <v>0</v>
      </c>
      <c r="S80" s="128">
        <f>IF(Table47[[#This Row],[CODE]]=15, Table47[ [#This Row],[Account Deposit Amount] ]-Table47[ [#This Row],[Account Withdrawl Amount] ], )</f>
        <v>0</v>
      </c>
      <c r="T80" s="128">
        <f>IF(Table47[[#This Row],[CODE]]=16, Table47[ [#This Row],[Account Deposit Amount] ]-Table47[ [#This Row],[Account Withdrawl Amount] ], )</f>
        <v>0</v>
      </c>
      <c r="U80" s="127">
        <f>IF(Table47[[#This Row],[CODE]]=17, Table47[ [#This Row],[Account Deposit Amount] ]-Table47[ [#This Row],[Account Withdrawl Amount] ], )</f>
        <v>0</v>
      </c>
    </row>
    <row r="81" spans="1:21" ht="16.2" thickBot="1">
      <c r="A81" s="130"/>
      <c r="B81" s="133"/>
      <c r="C81" s="130"/>
      <c r="D81" s="132"/>
      <c r="E81" s="128"/>
      <c r="F81" s="128"/>
      <c r="G81" s="131">
        <f t="shared" si="4"/>
        <v>75073.499999999971</v>
      </c>
      <c r="H81" s="130"/>
      <c r="I81" s="127">
        <f>IF(Table47[[#This Row],[CODE]]=1, Table47[ [#This Row],[Account Deposit Amount] ]-Table47[ [#This Row],[Account Withdrawl Amount] ], )</f>
        <v>0</v>
      </c>
      <c r="J81" s="129">
        <f>IF(Table47[[#This Row],[CODE]]=2, Table47[ [#This Row],[Account Deposit Amount] ]-Table47[ [#This Row],[Account Withdrawl Amount] ], )</f>
        <v>0</v>
      </c>
      <c r="K81" s="129">
        <f>IF(Table47[[#This Row],[CODE]]=3, Table47[ [#This Row],[Account Deposit Amount] ]-Table47[ [#This Row],[Account Withdrawl Amount] ], )</f>
        <v>0</v>
      </c>
      <c r="L81" s="128">
        <f>IF(Table47[[#This Row],[CODE]]=4, Table47[ [#This Row],[Account Deposit Amount] ]-Table47[ [#This Row],[Account Withdrawl Amount] ], )</f>
        <v>0</v>
      </c>
      <c r="M81" s="128">
        <f>IF(Table47[[#This Row],[CODE]]=5, Table47[ [#This Row],[Account Deposit Amount] ]-Table47[ [#This Row],[Account Withdrawl Amount] ], )</f>
        <v>0</v>
      </c>
      <c r="N81" s="128">
        <f>IF(Table47[[#This Row],[CODE]]=6, Table47[ [#This Row],[Account Deposit Amount] ]-Table47[ [#This Row],[Account Withdrawl Amount] ], )</f>
        <v>0</v>
      </c>
      <c r="O81" s="128">
        <f>IF(Table47[[#This Row],[CODE]]=11, Table47[ [#This Row],[Account Deposit Amount] ]-Table47[ [#This Row],[Account Withdrawl Amount] ], )</f>
        <v>0</v>
      </c>
      <c r="P81" s="128">
        <f>IF(Table47[[#This Row],[CODE]]=12, Table47[ [#This Row],[Account Deposit Amount] ]-Table47[ [#This Row],[Account Withdrawl Amount] ], )</f>
        <v>0</v>
      </c>
      <c r="Q81" s="128">
        <f>IF(Table47[[#This Row],[CODE]]=13, Table47[ [#This Row],[Account Deposit Amount] ]-Table47[ [#This Row],[Account Withdrawl Amount] ], )</f>
        <v>0</v>
      </c>
      <c r="R81" s="128">
        <f>IF(Table47[[#This Row],[CODE]]=14, Table47[ [#This Row],[Account Deposit Amount] ]-Table47[ [#This Row],[Account Withdrawl Amount] ], )</f>
        <v>0</v>
      </c>
      <c r="S81" s="128">
        <f>IF(Table47[[#This Row],[CODE]]=15, Table47[ [#This Row],[Account Deposit Amount] ]-Table47[ [#This Row],[Account Withdrawl Amount] ], )</f>
        <v>0</v>
      </c>
      <c r="T81" s="128">
        <f>IF(Table47[[#This Row],[CODE]]=16, Table47[ [#This Row],[Account Deposit Amount] ]-Table47[ [#This Row],[Account Withdrawl Amount] ], )</f>
        <v>0</v>
      </c>
      <c r="U81" s="127">
        <f>IF(Table47[[#This Row],[CODE]]=17, Table47[ [#This Row],[Account Deposit Amount] ]-Table47[ [#This Row],[Account Withdrawl Amount] ], )</f>
        <v>0</v>
      </c>
    </row>
    <row r="82" spans="1:21" ht="16.2" thickBot="1">
      <c r="A82" s="130"/>
      <c r="B82" s="133"/>
      <c r="C82" s="130"/>
      <c r="D82" s="132"/>
      <c r="E82" s="128"/>
      <c r="F82" s="128"/>
      <c r="G82" s="131">
        <f t="shared" si="4"/>
        <v>75073.499999999971</v>
      </c>
      <c r="H82" s="130"/>
      <c r="I82" s="127">
        <f>IF(Table47[[#This Row],[CODE]]=1, Table47[ [#This Row],[Account Deposit Amount] ]-Table47[ [#This Row],[Account Withdrawl Amount] ], )</f>
        <v>0</v>
      </c>
      <c r="J82" s="129">
        <f>IF(Table47[[#This Row],[CODE]]=2, Table47[ [#This Row],[Account Deposit Amount] ]-Table47[ [#This Row],[Account Withdrawl Amount] ], )</f>
        <v>0</v>
      </c>
      <c r="K82" s="129">
        <f>IF(Table47[[#This Row],[CODE]]=3, Table47[ [#This Row],[Account Deposit Amount] ]-Table47[ [#This Row],[Account Withdrawl Amount] ], )</f>
        <v>0</v>
      </c>
      <c r="L82" s="128">
        <f>IF(Table47[[#This Row],[CODE]]=4, Table47[ [#This Row],[Account Deposit Amount] ]-Table47[ [#This Row],[Account Withdrawl Amount] ], )</f>
        <v>0</v>
      </c>
      <c r="M82" s="128">
        <f>IF(Table47[[#This Row],[CODE]]=5, Table47[ [#This Row],[Account Deposit Amount] ]-Table47[ [#This Row],[Account Withdrawl Amount] ], )</f>
        <v>0</v>
      </c>
      <c r="N82" s="128">
        <f>IF(Table47[[#This Row],[CODE]]=6, Table47[ [#This Row],[Account Deposit Amount] ]-Table47[ [#This Row],[Account Withdrawl Amount] ], )</f>
        <v>0</v>
      </c>
      <c r="O82" s="128">
        <f>IF(Table47[[#This Row],[CODE]]=11, Table47[ [#This Row],[Account Deposit Amount] ]-Table47[ [#This Row],[Account Withdrawl Amount] ], )</f>
        <v>0</v>
      </c>
      <c r="P82" s="128">
        <f>IF(Table47[[#This Row],[CODE]]=12, Table47[ [#This Row],[Account Deposit Amount] ]-Table47[ [#This Row],[Account Withdrawl Amount] ], )</f>
        <v>0</v>
      </c>
      <c r="Q82" s="128">
        <f>IF(Table47[[#This Row],[CODE]]=13, Table47[ [#This Row],[Account Deposit Amount] ]-Table47[ [#This Row],[Account Withdrawl Amount] ], )</f>
        <v>0</v>
      </c>
      <c r="R82" s="128">
        <f>IF(Table47[[#This Row],[CODE]]=14, Table47[ [#This Row],[Account Deposit Amount] ]-Table47[ [#This Row],[Account Withdrawl Amount] ], )</f>
        <v>0</v>
      </c>
      <c r="S82" s="128">
        <f>IF(Table47[[#This Row],[CODE]]=15, Table47[ [#This Row],[Account Deposit Amount] ]-Table47[ [#This Row],[Account Withdrawl Amount] ], )</f>
        <v>0</v>
      </c>
      <c r="T82" s="128">
        <f>IF(Table47[[#This Row],[CODE]]=16, Table47[ [#This Row],[Account Deposit Amount] ]-Table47[ [#This Row],[Account Withdrawl Amount] ], )</f>
        <v>0</v>
      </c>
      <c r="U82" s="127">
        <f>IF(Table47[[#This Row],[CODE]]=17, Table47[ [#This Row],[Account Deposit Amount] ]-Table47[ [#This Row],[Account Withdrawl Amount] ], )</f>
        <v>0</v>
      </c>
    </row>
    <row r="83" spans="1:21" ht="16.2" thickBot="1">
      <c r="A83" s="130"/>
      <c r="B83" s="133"/>
      <c r="C83" s="130"/>
      <c r="D83" s="132"/>
      <c r="E83" s="128"/>
      <c r="F83" s="128"/>
      <c r="G83" s="131">
        <f t="shared" si="4"/>
        <v>75073.499999999971</v>
      </c>
      <c r="H83" s="130"/>
      <c r="I83" s="127">
        <f>IF(Table47[[#This Row],[CODE]]=1, Table47[ [#This Row],[Account Deposit Amount] ]-Table47[ [#This Row],[Account Withdrawl Amount] ], )</f>
        <v>0</v>
      </c>
      <c r="J83" s="129">
        <f>IF(Table47[[#This Row],[CODE]]=2, Table47[ [#This Row],[Account Deposit Amount] ]-Table47[ [#This Row],[Account Withdrawl Amount] ], )</f>
        <v>0</v>
      </c>
      <c r="K83" s="129">
        <f>IF(Table47[[#This Row],[CODE]]=3, Table47[ [#This Row],[Account Deposit Amount] ]-Table47[ [#This Row],[Account Withdrawl Amount] ], )</f>
        <v>0</v>
      </c>
      <c r="L83" s="128">
        <f>IF(Table47[[#This Row],[CODE]]=4, Table47[ [#This Row],[Account Deposit Amount] ]-Table47[ [#This Row],[Account Withdrawl Amount] ], )</f>
        <v>0</v>
      </c>
      <c r="M83" s="128">
        <f>IF(Table47[[#This Row],[CODE]]=5, Table47[ [#This Row],[Account Deposit Amount] ]-Table47[ [#This Row],[Account Withdrawl Amount] ], )</f>
        <v>0</v>
      </c>
      <c r="N83" s="128">
        <f>IF(Table47[[#This Row],[CODE]]=6, Table47[ [#This Row],[Account Deposit Amount] ]-Table47[ [#This Row],[Account Withdrawl Amount] ], )</f>
        <v>0</v>
      </c>
      <c r="O83" s="128">
        <f>IF(Table47[[#This Row],[CODE]]=11, Table47[ [#This Row],[Account Deposit Amount] ]-Table47[ [#This Row],[Account Withdrawl Amount] ], )</f>
        <v>0</v>
      </c>
      <c r="P83" s="128">
        <f>IF(Table47[[#This Row],[CODE]]=12, Table47[ [#This Row],[Account Deposit Amount] ]-Table47[ [#This Row],[Account Withdrawl Amount] ], )</f>
        <v>0</v>
      </c>
      <c r="Q83" s="128">
        <f>IF(Table47[[#This Row],[CODE]]=13, Table47[ [#This Row],[Account Deposit Amount] ]-Table47[ [#This Row],[Account Withdrawl Amount] ], )</f>
        <v>0</v>
      </c>
      <c r="R83" s="128">
        <f>IF(Table47[[#This Row],[CODE]]=14, Table47[ [#This Row],[Account Deposit Amount] ]-Table47[ [#This Row],[Account Withdrawl Amount] ], )</f>
        <v>0</v>
      </c>
      <c r="S83" s="128">
        <f>IF(Table47[[#This Row],[CODE]]=15, Table47[ [#This Row],[Account Deposit Amount] ]-Table47[ [#This Row],[Account Withdrawl Amount] ], )</f>
        <v>0</v>
      </c>
      <c r="T83" s="128">
        <f>IF(Table47[[#This Row],[CODE]]=16, Table47[ [#This Row],[Account Deposit Amount] ]-Table47[ [#This Row],[Account Withdrawl Amount] ], )</f>
        <v>0</v>
      </c>
      <c r="U83" s="127">
        <f>IF(Table47[[#This Row],[CODE]]=17, Table47[ [#This Row],[Account Deposit Amount] ]-Table47[ [#This Row],[Account Withdrawl Amount] ], )</f>
        <v>0</v>
      </c>
    </row>
    <row r="84" spans="1:21" ht="16.2" thickBot="1">
      <c r="A84" s="130"/>
      <c r="B84" s="133"/>
      <c r="C84" s="130"/>
      <c r="D84" s="132"/>
      <c r="E84" s="128"/>
      <c r="F84" s="128"/>
      <c r="G84" s="131">
        <f t="shared" si="4"/>
        <v>75073.499999999971</v>
      </c>
      <c r="H84" s="130"/>
      <c r="I84" s="127">
        <f>IF(Table47[[#This Row],[CODE]]=1, Table47[ [#This Row],[Account Deposit Amount] ]-Table47[ [#This Row],[Account Withdrawl Amount] ], )</f>
        <v>0</v>
      </c>
      <c r="J84" s="129">
        <f>IF(Table47[[#This Row],[CODE]]=2, Table47[ [#This Row],[Account Deposit Amount] ]-Table47[ [#This Row],[Account Withdrawl Amount] ], )</f>
        <v>0</v>
      </c>
      <c r="K84" s="129">
        <f>IF(Table47[[#This Row],[CODE]]=3, Table47[ [#This Row],[Account Deposit Amount] ]-Table47[ [#This Row],[Account Withdrawl Amount] ], )</f>
        <v>0</v>
      </c>
      <c r="L84" s="128">
        <f>IF(Table47[[#This Row],[CODE]]=4, Table47[ [#This Row],[Account Deposit Amount] ]-Table47[ [#This Row],[Account Withdrawl Amount] ], )</f>
        <v>0</v>
      </c>
      <c r="M84" s="128">
        <f>IF(Table47[[#This Row],[CODE]]=5, Table47[ [#This Row],[Account Deposit Amount] ]-Table47[ [#This Row],[Account Withdrawl Amount] ], )</f>
        <v>0</v>
      </c>
      <c r="N84" s="128">
        <f>IF(Table47[[#This Row],[CODE]]=6, Table47[ [#This Row],[Account Deposit Amount] ]-Table47[ [#This Row],[Account Withdrawl Amount] ], )</f>
        <v>0</v>
      </c>
      <c r="O84" s="128">
        <f>IF(Table47[[#This Row],[CODE]]=11, Table47[ [#This Row],[Account Deposit Amount] ]-Table47[ [#This Row],[Account Withdrawl Amount] ], )</f>
        <v>0</v>
      </c>
      <c r="P84" s="128">
        <f>IF(Table47[[#This Row],[CODE]]=12, Table47[ [#This Row],[Account Deposit Amount] ]-Table47[ [#This Row],[Account Withdrawl Amount] ], )</f>
        <v>0</v>
      </c>
      <c r="Q84" s="128">
        <f>IF(Table47[[#This Row],[CODE]]=13, Table47[ [#This Row],[Account Deposit Amount] ]-Table47[ [#This Row],[Account Withdrawl Amount] ], )</f>
        <v>0</v>
      </c>
      <c r="R84" s="128">
        <f>IF(Table47[[#This Row],[CODE]]=14, Table47[ [#This Row],[Account Deposit Amount] ]-Table47[ [#This Row],[Account Withdrawl Amount] ], )</f>
        <v>0</v>
      </c>
      <c r="S84" s="128">
        <f>IF(Table47[[#This Row],[CODE]]=15, Table47[ [#This Row],[Account Deposit Amount] ]-Table47[ [#This Row],[Account Withdrawl Amount] ], )</f>
        <v>0</v>
      </c>
      <c r="T84" s="128">
        <f>IF(Table47[[#This Row],[CODE]]=16, Table47[ [#This Row],[Account Deposit Amount] ]-Table47[ [#This Row],[Account Withdrawl Amount] ], )</f>
        <v>0</v>
      </c>
      <c r="U84" s="127">
        <f>IF(Table47[[#This Row],[CODE]]=17, Table47[ [#This Row],[Account Deposit Amount] ]-Table47[ [#This Row],[Account Withdrawl Amount] ], )</f>
        <v>0</v>
      </c>
    </row>
    <row r="85" spans="1:21" ht="16.2" thickBot="1">
      <c r="A85" s="130"/>
      <c r="B85" s="133"/>
      <c r="C85" s="130"/>
      <c r="D85" s="132"/>
      <c r="E85" s="128"/>
      <c r="F85" s="128"/>
      <c r="G85" s="131">
        <f t="shared" si="4"/>
        <v>75073.499999999971</v>
      </c>
      <c r="H85" s="130"/>
      <c r="I85" s="127">
        <f>IF(Table47[[#This Row],[CODE]]=1, Table47[ [#This Row],[Account Deposit Amount] ]-Table47[ [#This Row],[Account Withdrawl Amount] ], )</f>
        <v>0</v>
      </c>
      <c r="J85" s="129">
        <f>IF(Table47[[#This Row],[CODE]]=2, Table47[ [#This Row],[Account Deposit Amount] ]-Table47[ [#This Row],[Account Withdrawl Amount] ], )</f>
        <v>0</v>
      </c>
      <c r="K85" s="129">
        <f>IF(Table47[[#This Row],[CODE]]=3, Table47[ [#This Row],[Account Deposit Amount] ]-Table47[ [#This Row],[Account Withdrawl Amount] ], )</f>
        <v>0</v>
      </c>
      <c r="L85" s="128">
        <f>IF(Table47[[#This Row],[CODE]]=4, Table47[ [#This Row],[Account Deposit Amount] ]-Table47[ [#This Row],[Account Withdrawl Amount] ], )</f>
        <v>0</v>
      </c>
      <c r="M85" s="128">
        <f>IF(Table47[[#This Row],[CODE]]=5, Table47[ [#This Row],[Account Deposit Amount] ]-Table47[ [#This Row],[Account Withdrawl Amount] ], )</f>
        <v>0</v>
      </c>
      <c r="N85" s="128">
        <f>IF(Table47[[#This Row],[CODE]]=6, Table47[ [#This Row],[Account Deposit Amount] ]-Table47[ [#This Row],[Account Withdrawl Amount] ], )</f>
        <v>0</v>
      </c>
      <c r="O85" s="128">
        <f>IF(Table47[[#This Row],[CODE]]=11, Table47[ [#This Row],[Account Deposit Amount] ]-Table47[ [#This Row],[Account Withdrawl Amount] ], )</f>
        <v>0</v>
      </c>
      <c r="P85" s="128">
        <f>IF(Table47[[#This Row],[CODE]]=12, Table47[ [#This Row],[Account Deposit Amount] ]-Table47[ [#This Row],[Account Withdrawl Amount] ], )</f>
        <v>0</v>
      </c>
      <c r="Q85" s="128">
        <f>IF(Table47[[#This Row],[CODE]]=13, Table47[ [#This Row],[Account Deposit Amount] ]-Table47[ [#This Row],[Account Withdrawl Amount] ], )</f>
        <v>0</v>
      </c>
      <c r="R85" s="128">
        <f>IF(Table47[[#This Row],[CODE]]=14, Table47[ [#This Row],[Account Deposit Amount] ]-Table47[ [#This Row],[Account Withdrawl Amount] ], )</f>
        <v>0</v>
      </c>
      <c r="S85" s="128">
        <f>IF(Table47[[#This Row],[CODE]]=15, Table47[ [#This Row],[Account Deposit Amount] ]-Table47[ [#This Row],[Account Withdrawl Amount] ], )</f>
        <v>0</v>
      </c>
      <c r="T85" s="128">
        <f>IF(Table47[[#This Row],[CODE]]=16, Table47[ [#This Row],[Account Deposit Amount] ]-Table47[ [#This Row],[Account Withdrawl Amount] ], )</f>
        <v>0</v>
      </c>
      <c r="U85" s="127">
        <f>IF(Table47[[#This Row],[CODE]]=17, Table47[ [#This Row],[Account Deposit Amount] ]-Table47[ [#This Row],[Account Withdrawl Amount] ], )</f>
        <v>0</v>
      </c>
    </row>
    <row r="86" spans="1:21" ht="16.2" thickBot="1">
      <c r="A86" s="130"/>
      <c r="B86" s="133"/>
      <c r="C86" s="130"/>
      <c r="D86" s="132"/>
      <c r="E86" s="128"/>
      <c r="F86" s="128"/>
      <c r="G86" s="131">
        <f t="shared" si="4"/>
        <v>75073.499999999971</v>
      </c>
      <c r="H86" s="130"/>
      <c r="I86" s="127">
        <f>IF(Table47[[#This Row],[CODE]]=1, Table47[ [#This Row],[Account Deposit Amount] ]-Table47[ [#This Row],[Account Withdrawl Amount] ], )</f>
        <v>0</v>
      </c>
      <c r="J86" s="129">
        <f>IF(Table47[[#This Row],[CODE]]=2, Table47[ [#This Row],[Account Deposit Amount] ]-Table47[ [#This Row],[Account Withdrawl Amount] ], )</f>
        <v>0</v>
      </c>
      <c r="K86" s="129">
        <f>IF(Table47[[#This Row],[CODE]]=3, Table47[ [#This Row],[Account Deposit Amount] ]-Table47[ [#This Row],[Account Withdrawl Amount] ], )</f>
        <v>0</v>
      </c>
      <c r="L86" s="128">
        <f>IF(Table47[[#This Row],[CODE]]=4, Table47[ [#This Row],[Account Deposit Amount] ]-Table47[ [#This Row],[Account Withdrawl Amount] ], )</f>
        <v>0</v>
      </c>
      <c r="M86" s="128">
        <f>IF(Table47[[#This Row],[CODE]]=5, Table47[ [#This Row],[Account Deposit Amount] ]-Table47[ [#This Row],[Account Withdrawl Amount] ], )</f>
        <v>0</v>
      </c>
      <c r="N86" s="128">
        <f>IF(Table47[[#This Row],[CODE]]=6, Table47[ [#This Row],[Account Deposit Amount] ]-Table47[ [#This Row],[Account Withdrawl Amount] ], )</f>
        <v>0</v>
      </c>
      <c r="O86" s="128">
        <f>IF(Table47[[#This Row],[CODE]]=11, Table47[ [#This Row],[Account Deposit Amount] ]-Table47[ [#This Row],[Account Withdrawl Amount] ], )</f>
        <v>0</v>
      </c>
      <c r="P86" s="128">
        <f>IF(Table47[[#This Row],[CODE]]=12, Table47[ [#This Row],[Account Deposit Amount] ]-Table47[ [#This Row],[Account Withdrawl Amount] ], )</f>
        <v>0</v>
      </c>
      <c r="Q86" s="128">
        <f>IF(Table47[[#This Row],[CODE]]=13, Table47[ [#This Row],[Account Deposit Amount] ]-Table47[ [#This Row],[Account Withdrawl Amount] ], )</f>
        <v>0</v>
      </c>
      <c r="R86" s="128">
        <f>IF(Table47[[#This Row],[CODE]]=14, Table47[ [#This Row],[Account Deposit Amount] ]-Table47[ [#This Row],[Account Withdrawl Amount] ], )</f>
        <v>0</v>
      </c>
      <c r="S86" s="128">
        <f>IF(Table47[[#This Row],[CODE]]=15, Table47[ [#This Row],[Account Deposit Amount] ]-Table47[ [#This Row],[Account Withdrawl Amount] ], )</f>
        <v>0</v>
      </c>
      <c r="T86" s="128">
        <f>IF(Table47[[#This Row],[CODE]]=16, Table47[ [#This Row],[Account Deposit Amount] ]-Table47[ [#This Row],[Account Withdrawl Amount] ], )</f>
        <v>0</v>
      </c>
      <c r="U86" s="127">
        <f>IF(Table47[[#This Row],[CODE]]=17, Table47[ [#This Row],[Account Deposit Amount] ]-Table47[ [#This Row],[Account Withdrawl Amount] ], )</f>
        <v>0</v>
      </c>
    </row>
    <row r="87" spans="1:21" ht="16.2" thickBot="1">
      <c r="A87" s="130"/>
      <c r="B87" s="133"/>
      <c r="C87" s="130"/>
      <c r="D87" s="132"/>
      <c r="E87" s="128"/>
      <c r="F87" s="128"/>
      <c r="G87" s="131">
        <f t="shared" si="4"/>
        <v>75073.499999999971</v>
      </c>
      <c r="H87" s="130"/>
      <c r="I87" s="127">
        <f>IF(Table47[[#This Row],[CODE]]=1, Table47[ [#This Row],[Account Deposit Amount] ]-Table47[ [#This Row],[Account Withdrawl Amount] ], )</f>
        <v>0</v>
      </c>
      <c r="J87" s="129">
        <f>IF(Table47[[#This Row],[CODE]]=2, Table47[ [#This Row],[Account Deposit Amount] ]-Table47[ [#This Row],[Account Withdrawl Amount] ], )</f>
        <v>0</v>
      </c>
      <c r="K87" s="129">
        <f>IF(Table47[[#This Row],[CODE]]=3, Table47[ [#This Row],[Account Deposit Amount] ]-Table47[ [#This Row],[Account Withdrawl Amount] ], )</f>
        <v>0</v>
      </c>
      <c r="L87" s="128">
        <f>IF(Table47[[#This Row],[CODE]]=4, Table47[ [#This Row],[Account Deposit Amount] ]-Table47[ [#This Row],[Account Withdrawl Amount] ], )</f>
        <v>0</v>
      </c>
      <c r="M87" s="128">
        <f>IF(Table47[[#This Row],[CODE]]=5, Table47[ [#This Row],[Account Deposit Amount] ]-Table47[ [#This Row],[Account Withdrawl Amount] ], )</f>
        <v>0</v>
      </c>
      <c r="N87" s="128">
        <f>IF(Table47[[#This Row],[CODE]]=6, Table47[ [#This Row],[Account Deposit Amount] ]-Table47[ [#This Row],[Account Withdrawl Amount] ], )</f>
        <v>0</v>
      </c>
      <c r="O87" s="128">
        <f>IF(Table47[[#This Row],[CODE]]=11, Table47[ [#This Row],[Account Deposit Amount] ]-Table47[ [#This Row],[Account Withdrawl Amount] ], )</f>
        <v>0</v>
      </c>
      <c r="P87" s="128">
        <f>IF(Table47[[#This Row],[CODE]]=12, Table47[ [#This Row],[Account Deposit Amount] ]-Table47[ [#This Row],[Account Withdrawl Amount] ], )</f>
        <v>0</v>
      </c>
      <c r="Q87" s="128">
        <f>IF(Table47[[#This Row],[CODE]]=13, Table47[ [#This Row],[Account Deposit Amount] ]-Table47[ [#This Row],[Account Withdrawl Amount] ], )</f>
        <v>0</v>
      </c>
      <c r="R87" s="128">
        <f>IF(Table47[[#This Row],[CODE]]=14, Table47[ [#This Row],[Account Deposit Amount] ]-Table47[ [#This Row],[Account Withdrawl Amount] ], )</f>
        <v>0</v>
      </c>
      <c r="S87" s="128">
        <f>IF(Table47[[#This Row],[CODE]]=15, Table47[ [#This Row],[Account Deposit Amount] ]-Table47[ [#This Row],[Account Withdrawl Amount] ], )</f>
        <v>0</v>
      </c>
      <c r="T87" s="128">
        <f>IF(Table47[[#This Row],[CODE]]=16, Table47[ [#This Row],[Account Deposit Amount] ]-Table47[ [#This Row],[Account Withdrawl Amount] ], )</f>
        <v>0</v>
      </c>
      <c r="U87" s="127">
        <f>IF(Table47[[#This Row],[CODE]]=17, Table47[ [#This Row],[Account Deposit Amount] ]-Table47[ [#This Row],[Account Withdrawl Amount] ], )</f>
        <v>0</v>
      </c>
    </row>
    <row r="88" spans="1:21" ht="16.2" thickBot="1">
      <c r="A88" s="130"/>
      <c r="B88" s="133"/>
      <c r="C88" s="130"/>
      <c r="D88" s="132"/>
      <c r="E88" s="128"/>
      <c r="F88" s="128"/>
      <c r="G88" s="131">
        <f t="shared" si="4"/>
        <v>75073.499999999971</v>
      </c>
      <c r="H88" s="130"/>
      <c r="I88" s="127">
        <f>IF(Table47[[#This Row],[CODE]]=1, Table47[ [#This Row],[Account Deposit Amount] ]-Table47[ [#This Row],[Account Withdrawl Amount] ], )</f>
        <v>0</v>
      </c>
      <c r="J88" s="129">
        <f>IF(Table47[[#This Row],[CODE]]=2, Table47[ [#This Row],[Account Deposit Amount] ]-Table47[ [#This Row],[Account Withdrawl Amount] ], )</f>
        <v>0</v>
      </c>
      <c r="K88" s="129">
        <f>IF(Table47[[#This Row],[CODE]]=3, Table47[ [#This Row],[Account Deposit Amount] ]-Table47[ [#This Row],[Account Withdrawl Amount] ], )</f>
        <v>0</v>
      </c>
      <c r="L88" s="128">
        <f>IF(Table47[[#This Row],[CODE]]=4, Table47[ [#This Row],[Account Deposit Amount] ]-Table47[ [#This Row],[Account Withdrawl Amount] ], )</f>
        <v>0</v>
      </c>
      <c r="M88" s="128">
        <f>IF(Table47[[#This Row],[CODE]]=5, Table47[ [#This Row],[Account Deposit Amount] ]-Table47[ [#This Row],[Account Withdrawl Amount] ], )</f>
        <v>0</v>
      </c>
      <c r="N88" s="128">
        <f>IF(Table47[[#This Row],[CODE]]=6, Table47[ [#This Row],[Account Deposit Amount] ]-Table47[ [#This Row],[Account Withdrawl Amount] ], )</f>
        <v>0</v>
      </c>
      <c r="O88" s="128">
        <f>IF(Table47[[#This Row],[CODE]]=11, Table47[ [#This Row],[Account Deposit Amount] ]-Table47[ [#This Row],[Account Withdrawl Amount] ], )</f>
        <v>0</v>
      </c>
      <c r="P88" s="128">
        <f>IF(Table47[[#This Row],[CODE]]=12, Table47[ [#This Row],[Account Deposit Amount] ]-Table47[ [#This Row],[Account Withdrawl Amount] ], )</f>
        <v>0</v>
      </c>
      <c r="Q88" s="128">
        <f>IF(Table47[[#This Row],[CODE]]=13, Table47[ [#This Row],[Account Deposit Amount] ]-Table47[ [#This Row],[Account Withdrawl Amount] ], )</f>
        <v>0</v>
      </c>
      <c r="R88" s="128">
        <f>IF(Table47[[#This Row],[CODE]]=14, Table47[ [#This Row],[Account Deposit Amount] ]-Table47[ [#This Row],[Account Withdrawl Amount] ], )</f>
        <v>0</v>
      </c>
      <c r="S88" s="128">
        <f>IF(Table47[[#This Row],[CODE]]=15, Table47[ [#This Row],[Account Deposit Amount] ]-Table47[ [#This Row],[Account Withdrawl Amount] ], )</f>
        <v>0</v>
      </c>
      <c r="T88" s="128">
        <f>IF(Table47[[#This Row],[CODE]]=16, Table47[ [#This Row],[Account Deposit Amount] ]-Table47[ [#This Row],[Account Withdrawl Amount] ], )</f>
        <v>0</v>
      </c>
      <c r="U88" s="127">
        <f>IF(Table47[[#This Row],[CODE]]=17, Table47[ [#This Row],[Account Deposit Amount] ]-Table47[ [#This Row],[Account Withdrawl Amount] ], )</f>
        <v>0</v>
      </c>
    </row>
    <row r="89" spans="1:21" ht="16.2" thickBot="1">
      <c r="A89" s="130"/>
      <c r="B89" s="133"/>
      <c r="C89" s="130"/>
      <c r="D89" s="132"/>
      <c r="E89" s="128"/>
      <c r="F89" s="128"/>
      <c r="G89" s="131">
        <f t="shared" si="4"/>
        <v>75073.499999999971</v>
      </c>
      <c r="H89" s="130"/>
      <c r="I89" s="127">
        <f>IF(Table47[[#This Row],[CODE]]=1, Table47[ [#This Row],[Account Deposit Amount] ]-Table47[ [#This Row],[Account Withdrawl Amount] ], )</f>
        <v>0</v>
      </c>
      <c r="J89" s="129">
        <f>IF(Table47[[#This Row],[CODE]]=2, Table47[ [#This Row],[Account Deposit Amount] ]-Table47[ [#This Row],[Account Withdrawl Amount] ], )</f>
        <v>0</v>
      </c>
      <c r="K89" s="129">
        <f>IF(Table47[[#This Row],[CODE]]=3, Table47[ [#This Row],[Account Deposit Amount] ]-Table47[ [#This Row],[Account Withdrawl Amount] ], )</f>
        <v>0</v>
      </c>
      <c r="L89" s="128">
        <f>IF(Table47[[#This Row],[CODE]]=4, Table47[ [#This Row],[Account Deposit Amount] ]-Table47[ [#This Row],[Account Withdrawl Amount] ], )</f>
        <v>0</v>
      </c>
      <c r="M89" s="128">
        <f>IF(Table47[[#This Row],[CODE]]=5, Table47[ [#This Row],[Account Deposit Amount] ]-Table47[ [#This Row],[Account Withdrawl Amount] ], )</f>
        <v>0</v>
      </c>
      <c r="N89" s="128">
        <f>IF(Table47[[#This Row],[CODE]]=6, Table47[ [#This Row],[Account Deposit Amount] ]-Table47[ [#This Row],[Account Withdrawl Amount] ], )</f>
        <v>0</v>
      </c>
      <c r="O89" s="128">
        <f>IF(Table47[[#This Row],[CODE]]=11, Table47[ [#This Row],[Account Deposit Amount] ]-Table47[ [#This Row],[Account Withdrawl Amount] ], )</f>
        <v>0</v>
      </c>
      <c r="P89" s="128">
        <f>IF(Table47[[#This Row],[CODE]]=12, Table47[ [#This Row],[Account Deposit Amount] ]-Table47[ [#This Row],[Account Withdrawl Amount] ], )</f>
        <v>0</v>
      </c>
      <c r="Q89" s="128">
        <f>IF(Table47[[#This Row],[CODE]]=13, Table47[ [#This Row],[Account Deposit Amount] ]-Table47[ [#This Row],[Account Withdrawl Amount] ], )</f>
        <v>0</v>
      </c>
      <c r="R89" s="128">
        <f>IF(Table47[[#This Row],[CODE]]=14, Table47[ [#This Row],[Account Deposit Amount] ]-Table47[ [#This Row],[Account Withdrawl Amount] ], )</f>
        <v>0</v>
      </c>
      <c r="S89" s="128">
        <f>IF(Table47[[#This Row],[CODE]]=15, Table47[ [#This Row],[Account Deposit Amount] ]-Table47[ [#This Row],[Account Withdrawl Amount] ], )</f>
        <v>0</v>
      </c>
      <c r="T89" s="128">
        <f>IF(Table47[[#This Row],[CODE]]=16, Table47[ [#This Row],[Account Deposit Amount] ]-Table47[ [#This Row],[Account Withdrawl Amount] ], )</f>
        <v>0</v>
      </c>
      <c r="U89" s="127">
        <f>IF(Table47[[#This Row],[CODE]]=17, Table47[ [#This Row],[Account Deposit Amount] ]-Table47[ [#This Row],[Account Withdrawl Amount] ], )</f>
        <v>0</v>
      </c>
    </row>
    <row r="90" spans="1:21" ht="16.2" thickBot="1">
      <c r="A90" s="130"/>
      <c r="B90" s="133"/>
      <c r="C90" s="130"/>
      <c r="D90" s="132"/>
      <c r="E90" s="128"/>
      <c r="F90" s="128"/>
      <c r="G90" s="131">
        <f t="shared" si="4"/>
        <v>75073.499999999971</v>
      </c>
      <c r="H90" s="130"/>
      <c r="I90" s="127">
        <f>IF(Table47[[#This Row],[CODE]]=1, Table47[ [#This Row],[Account Deposit Amount] ]-Table47[ [#This Row],[Account Withdrawl Amount] ], )</f>
        <v>0</v>
      </c>
      <c r="J90" s="129">
        <f>IF(Table47[[#This Row],[CODE]]=2, Table47[ [#This Row],[Account Deposit Amount] ]-Table47[ [#This Row],[Account Withdrawl Amount] ], )</f>
        <v>0</v>
      </c>
      <c r="K90" s="129">
        <f>IF(Table47[[#This Row],[CODE]]=3, Table47[ [#This Row],[Account Deposit Amount] ]-Table47[ [#This Row],[Account Withdrawl Amount] ], )</f>
        <v>0</v>
      </c>
      <c r="L90" s="128">
        <f>IF(Table47[[#This Row],[CODE]]=4, Table47[ [#This Row],[Account Deposit Amount] ]-Table47[ [#This Row],[Account Withdrawl Amount] ], )</f>
        <v>0</v>
      </c>
      <c r="M90" s="128">
        <f>IF(Table47[[#This Row],[CODE]]=5, Table47[ [#This Row],[Account Deposit Amount] ]-Table47[ [#This Row],[Account Withdrawl Amount] ], )</f>
        <v>0</v>
      </c>
      <c r="N90" s="128">
        <f>IF(Table47[[#This Row],[CODE]]=6, Table47[ [#This Row],[Account Deposit Amount] ]-Table47[ [#This Row],[Account Withdrawl Amount] ], )</f>
        <v>0</v>
      </c>
      <c r="O90" s="128">
        <f>IF(Table47[[#This Row],[CODE]]=11, Table47[ [#This Row],[Account Deposit Amount] ]-Table47[ [#This Row],[Account Withdrawl Amount] ], )</f>
        <v>0</v>
      </c>
      <c r="P90" s="128">
        <f>IF(Table47[[#This Row],[CODE]]=12, Table47[ [#This Row],[Account Deposit Amount] ]-Table47[ [#This Row],[Account Withdrawl Amount] ], )</f>
        <v>0</v>
      </c>
      <c r="Q90" s="128">
        <f>IF(Table47[[#This Row],[CODE]]=13, Table47[ [#This Row],[Account Deposit Amount] ]-Table47[ [#This Row],[Account Withdrawl Amount] ], )</f>
        <v>0</v>
      </c>
      <c r="R90" s="128">
        <f>IF(Table47[[#This Row],[CODE]]=14, Table47[ [#This Row],[Account Deposit Amount] ]-Table47[ [#This Row],[Account Withdrawl Amount] ], )</f>
        <v>0</v>
      </c>
      <c r="S90" s="128">
        <f>IF(Table47[[#This Row],[CODE]]=15, Table47[ [#This Row],[Account Deposit Amount] ]-Table47[ [#This Row],[Account Withdrawl Amount] ], )</f>
        <v>0</v>
      </c>
      <c r="T90" s="128">
        <f>IF(Table47[[#This Row],[CODE]]=16, Table47[ [#This Row],[Account Deposit Amount] ]-Table47[ [#This Row],[Account Withdrawl Amount] ], )</f>
        <v>0</v>
      </c>
      <c r="U90" s="127">
        <f>IF(Table47[[#This Row],[CODE]]=17, Table47[ [#This Row],[Account Deposit Amount] ]-Table47[ [#This Row],[Account Withdrawl Amount] ], )</f>
        <v>0</v>
      </c>
    </row>
    <row r="91" spans="1:21" ht="16.2" thickBot="1">
      <c r="A91" s="130"/>
      <c r="B91" s="133"/>
      <c r="C91" s="130"/>
      <c r="D91" s="132"/>
      <c r="E91" s="128"/>
      <c r="F91" s="128"/>
      <c r="G91" s="131">
        <f t="shared" si="4"/>
        <v>75073.499999999971</v>
      </c>
      <c r="H91" s="130"/>
      <c r="I91" s="127">
        <f>IF(Table47[[#This Row],[CODE]]=1, Table47[ [#This Row],[Account Deposit Amount] ]-Table47[ [#This Row],[Account Withdrawl Amount] ], )</f>
        <v>0</v>
      </c>
      <c r="J91" s="129">
        <f>IF(Table47[[#This Row],[CODE]]=2, Table47[ [#This Row],[Account Deposit Amount] ]-Table47[ [#This Row],[Account Withdrawl Amount] ], )</f>
        <v>0</v>
      </c>
      <c r="K91" s="129">
        <f>IF(Table47[[#This Row],[CODE]]=3, Table47[ [#This Row],[Account Deposit Amount] ]-Table47[ [#This Row],[Account Withdrawl Amount] ], )</f>
        <v>0</v>
      </c>
      <c r="L91" s="128">
        <f>IF(Table47[[#This Row],[CODE]]=4, Table47[ [#This Row],[Account Deposit Amount] ]-Table47[ [#This Row],[Account Withdrawl Amount] ], )</f>
        <v>0</v>
      </c>
      <c r="M91" s="128">
        <f>IF(Table47[[#This Row],[CODE]]=5, Table47[ [#This Row],[Account Deposit Amount] ]-Table47[ [#This Row],[Account Withdrawl Amount] ], )</f>
        <v>0</v>
      </c>
      <c r="N91" s="128">
        <f>IF(Table47[[#This Row],[CODE]]=6, Table47[ [#This Row],[Account Deposit Amount] ]-Table47[ [#This Row],[Account Withdrawl Amount] ], )</f>
        <v>0</v>
      </c>
      <c r="O91" s="128">
        <f>IF(Table47[[#This Row],[CODE]]=11, Table47[ [#This Row],[Account Deposit Amount] ]-Table47[ [#This Row],[Account Withdrawl Amount] ], )</f>
        <v>0</v>
      </c>
      <c r="P91" s="128">
        <f>IF(Table47[[#This Row],[CODE]]=12, Table47[ [#This Row],[Account Deposit Amount] ]-Table47[ [#This Row],[Account Withdrawl Amount] ], )</f>
        <v>0</v>
      </c>
      <c r="Q91" s="128">
        <f>IF(Table47[[#This Row],[CODE]]=13, Table47[ [#This Row],[Account Deposit Amount] ]-Table47[ [#This Row],[Account Withdrawl Amount] ], )</f>
        <v>0</v>
      </c>
      <c r="R91" s="128">
        <f>IF(Table47[[#This Row],[CODE]]=14, Table47[ [#This Row],[Account Deposit Amount] ]-Table47[ [#This Row],[Account Withdrawl Amount] ], )</f>
        <v>0</v>
      </c>
      <c r="S91" s="128">
        <f>IF(Table47[[#This Row],[CODE]]=15, Table47[ [#This Row],[Account Deposit Amount] ]-Table47[ [#This Row],[Account Withdrawl Amount] ], )</f>
        <v>0</v>
      </c>
      <c r="T91" s="128">
        <f>IF(Table47[[#This Row],[CODE]]=16, Table47[ [#This Row],[Account Deposit Amount] ]-Table47[ [#This Row],[Account Withdrawl Amount] ], )</f>
        <v>0</v>
      </c>
      <c r="U91" s="127">
        <f>IF(Table47[[#This Row],[CODE]]=17, Table47[ [#This Row],[Account Deposit Amount] ]-Table47[ [#This Row],[Account Withdrawl Amount] ], )</f>
        <v>0</v>
      </c>
    </row>
    <row r="92" spans="1:21" ht="16.2" thickBot="1">
      <c r="A92" s="130"/>
      <c r="B92" s="133"/>
      <c r="C92" s="130"/>
      <c r="D92" s="132"/>
      <c r="E92" s="128"/>
      <c r="F92" s="128"/>
      <c r="G92" s="131">
        <f t="shared" si="4"/>
        <v>75073.499999999971</v>
      </c>
      <c r="H92" s="130"/>
      <c r="I92" s="127">
        <f>IF(Table47[[#This Row],[CODE]]=1, Table47[ [#This Row],[Account Deposit Amount] ]-Table47[ [#This Row],[Account Withdrawl Amount] ], )</f>
        <v>0</v>
      </c>
      <c r="J92" s="129">
        <f>IF(Table47[[#This Row],[CODE]]=2, Table47[ [#This Row],[Account Deposit Amount] ]-Table47[ [#This Row],[Account Withdrawl Amount] ], )</f>
        <v>0</v>
      </c>
      <c r="K92" s="129">
        <f>IF(Table47[[#This Row],[CODE]]=3, Table47[ [#This Row],[Account Deposit Amount] ]-Table47[ [#This Row],[Account Withdrawl Amount] ], )</f>
        <v>0</v>
      </c>
      <c r="L92" s="128">
        <f>IF(Table47[[#This Row],[CODE]]=4, Table47[ [#This Row],[Account Deposit Amount] ]-Table47[ [#This Row],[Account Withdrawl Amount] ], )</f>
        <v>0</v>
      </c>
      <c r="M92" s="128">
        <f>IF(Table47[[#This Row],[CODE]]=5, Table47[ [#This Row],[Account Deposit Amount] ]-Table47[ [#This Row],[Account Withdrawl Amount] ], )</f>
        <v>0</v>
      </c>
      <c r="N92" s="128">
        <f>IF(Table47[[#This Row],[CODE]]=6, Table47[ [#This Row],[Account Deposit Amount] ]-Table47[ [#This Row],[Account Withdrawl Amount] ], )</f>
        <v>0</v>
      </c>
      <c r="O92" s="128">
        <f>IF(Table47[[#This Row],[CODE]]=11, Table47[ [#This Row],[Account Deposit Amount] ]-Table47[ [#This Row],[Account Withdrawl Amount] ], )</f>
        <v>0</v>
      </c>
      <c r="P92" s="128">
        <f>IF(Table47[[#This Row],[CODE]]=12, Table47[ [#This Row],[Account Deposit Amount] ]-Table47[ [#This Row],[Account Withdrawl Amount] ], )</f>
        <v>0</v>
      </c>
      <c r="Q92" s="128">
        <f>IF(Table47[[#This Row],[CODE]]=13, Table47[ [#This Row],[Account Deposit Amount] ]-Table47[ [#This Row],[Account Withdrawl Amount] ], )</f>
        <v>0</v>
      </c>
      <c r="R92" s="128">
        <f>IF(Table47[[#This Row],[CODE]]=14, Table47[ [#This Row],[Account Deposit Amount] ]-Table47[ [#This Row],[Account Withdrawl Amount] ], )</f>
        <v>0</v>
      </c>
      <c r="S92" s="128">
        <f>IF(Table47[[#This Row],[CODE]]=15, Table47[ [#This Row],[Account Deposit Amount] ]-Table47[ [#This Row],[Account Withdrawl Amount] ], )</f>
        <v>0</v>
      </c>
      <c r="T92" s="128">
        <f>IF(Table47[[#This Row],[CODE]]=16, Table47[ [#This Row],[Account Deposit Amount] ]-Table47[ [#This Row],[Account Withdrawl Amount] ], )</f>
        <v>0</v>
      </c>
      <c r="U92" s="127">
        <f>IF(Table47[[#This Row],[CODE]]=17, Table47[ [#This Row],[Account Deposit Amount] ]-Table47[ [#This Row],[Account Withdrawl Amount] ], )</f>
        <v>0</v>
      </c>
    </row>
    <row r="93" spans="1:21" ht="16.2" thickBot="1">
      <c r="A93" s="130"/>
      <c r="B93" s="133"/>
      <c r="C93" s="130"/>
      <c r="D93" s="132"/>
      <c r="E93" s="128"/>
      <c r="F93" s="128"/>
      <c r="G93" s="131">
        <f t="shared" si="4"/>
        <v>75073.499999999971</v>
      </c>
      <c r="H93" s="130"/>
      <c r="I93" s="127">
        <f>IF(Table47[[#This Row],[CODE]]=1, Table47[ [#This Row],[Account Deposit Amount] ]-Table47[ [#This Row],[Account Withdrawl Amount] ], )</f>
        <v>0</v>
      </c>
      <c r="J93" s="129">
        <f>IF(Table47[[#This Row],[CODE]]=2, Table47[ [#This Row],[Account Deposit Amount] ]-Table47[ [#This Row],[Account Withdrawl Amount] ], )</f>
        <v>0</v>
      </c>
      <c r="K93" s="129">
        <f>IF(Table47[[#This Row],[CODE]]=3, Table47[ [#This Row],[Account Deposit Amount] ]-Table47[ [#This Row],[Account Withdrawl Amount] ], )</f>
        <v>0</v>
      </c>
      <c r="L93" s="128">
        <f>IF(Table47[[#This Row],[CODE]]=4, Table47[ [#This Row],[Account Deposit Amount] ]-Table47[ [#This Row],[Account Withdrawl Amount] ], )</f>
        <v>0</v>
      </c>
      <c r="M93" s="128">
        <f>IF(Table47[[#This Row],[CODE]]=5, Table47[ [#This Row],[Account Deposit Amount] ]-Table47[ [#This Row],[Account Withdrawl Amount] ], )</f>
        <v>0</v>
      </c>
      <c r="N93" s="128">
        <f>IF(Table47[[#This Row],[CODE]]=6, Table47[ [#This Row],[Account Deposit Amount] ]-Table47[ [#This Row],[Account Withdrawl Amount] ], )</f>
        <v>0</v>
      </c>
      <c r="O93" s="128">
        <f>IF(Table47[[#This Row],[CODE]]=11, Table47[ [#This Row],[Account Deposit Amount] ]-Table47[ [#This Row],[Account Withdrawl Amount] ], )</f>
        <v>0</v>
      </c>
      <c r="P93" s="128">
        <f>IF(Table47[[#This Row],[CODE]]=12, Table47[ [#This Row],[Account Deposit Amount] ]-Table47[ [#This Row],[Account Withdrawl Amount] ], )</f>
        <v>0</v>
      </c>
      <c r="Q93" s="128">
        <f>IF(Table47[[#This Row],[CODE]]=13, Table47[ [#This Row],[Account Deposit Amount] ]-Table47[ [#This Row],[Account Withdrawl Amount] ], )</f>
        <v>0</v>
      </c>
      <c r="R93" s="128">
        <f>IF(Table47[[#This Row],[CODE]]=14, Table47[ [#This Row],[Account Deposit Amount] ]-Table47[ [#This Row],[Account Withdrawl Amount] ], )</f>
        <v>0</v>
      </c>
      <c r="S93" s="128">
        <f>IF(Table47[[#This Row],[CODE]]=15, Table47[ [#This Row],[Account Deposit Amount] ]-Table47[ [#This Row],[Account Withdrawl Amount] ], )</f>
        <v>0</v>
      </c>
      <c r="T93" s="128">
        <f>IF(Table47[[#This Row],[CODE]]=16, Table47[ [#This Row],[Account Deposit Amount] ]-Table47[ [#This Row],[Account Withdrawl Amount] ], )</f>
        <v>0</v>
      </c>
      <c r="U93" s="127">
        <f>IF(Table47[[#This Row],[CODE]]=17, Table47[ [#This Row],[Account Deposit Amount] ]-Table47[ [#This Row],[Account Withdrawl Amount] ], )</f>
        <v>0</v>
      </c>
    </row>
    <row r="94" spans="1:21" ht="16.2" thickBot="1">
      <c r="A94" s="130"/>
      <c r="B94" s="133"/>
      <c r="C94" s="130"/>
      <c r="D94" s="132"/>
      <c r="E94" s="128"/>
      <c r="F94" s="128"/>
      <c r="G94" s="131">
        <f t="shared" si="4"/>
        <v>75073.499999999971</v>
      </c>
      <c r="H94" s="130"/>
      <c r="I94" s="127">
        <f>IF(Table47[[#This Row],[CODE]]=1, Table47[ [#This Row],[Account Deposit Amount] ]-Table47[ [#This Row],[Account Withdrawl Amount] ], )</f>
        <v>0</v>
      </c>
      <c r="J94" s="129">
        <f>IF(Table47[[#This Row],[CODE]]=2, Table47[ [#This Row],[Account Deposit Amount] ]-Table47[ [#This Row],[Account Withdrawl Amount] ], )</f>
        <v>0</v>
      </c>
      <c r="K94" s="129">
        <f>IF(Table47[[#This Row],[CODE]]=3, Table47[ [#This Row],[Account Deposit Amount] ]-Table47[ [#This Row],[Account Withdrawl Amount] ], )</f>
        <v>0</v>
      </c>
      <c r="L94" s="128">
        <f>IF(Table47[[#This Row],[CODE]]=4, Table47[ [#This Row],[Account Deposit Amount] ]-Table47[ [#This Row],[Account Withdrawl Amount] ], )</f>
        <v>0</v>
      </c>
      <c r="M94" s="128">
        <f>IF(Table47[[#This Row],[CODE]]=5, Table47[ [#This Row],[Account Deposit Amount] ]-Table47[ [#This Row],[Account Withdrawl Amount] ], )</f>
        <v>0</v>
      </c>
      <c r="N94" s="128">
        <f>IF(Table47[[#This Row],[CODE]]=6, Table47[ [#This Row],[Account Deposit Amount] ]-Table47[ [#This Row],[Account Withdrawl Amount] ], )</f>
        <v>0</v>
      </c>
      <c r="O94" s="128">
        <f>IF(Table47[[#This Row],[CODE]]=11, Table47[ [#This Row],[Account Deposit Amount] ]-Table47[ [#This Row],[Account Withdrawl Amount] ], )</f>
        <v>0</v>
      </c>
      <c r="P94" s="128">
        <f>IF(Table47[[#This Row],[CODE]]=12, Table47[ [#This Row],[Account Deposit Amount] ]-Table47[ [#This Row],[Account Withdrawl Amount] ], )</f>
        <v>0</v>
      </c>
      <c r="Q94" s="128">
        <f>IF(Table47[[#This Row],[CODE]]=13, Table47[ [#This Row],[Account Deposit Amount] ]-Table47[ [#This Row],[Account Withdrawl Amount] ], )</f>
        <v>0</v>
      </c>
      <c r="R94" s="128">
        <f>IF(Table47[[#This Row],[CODE]]=14, Table47[ [#This Row],[Account Deposit Amount] ]-Table47[ [#This Row],[Account Withdrawl Amount] ], )</f>
        <v>0</v>
      </c>
      <c r="S94" s="128">
        <f>IF(Table47[[#This Row],[CODE]]=15, Table47[ [#This Row],[Account Deposit Amount] ]-Table47[ [#This Row],[Account Withdrawl Amount] ], )</f>
        <v>0</v>
      </c>
      <c r="T94" s="128">
        <f>IF(Table47[[#This Row],[CODE]]=16, Table47[ [#This Row],[Account Deposit Amount] ]-Table47[ [#This Row],[Account Withdrawl Amount] ], )</f>
        <v>0</v>
      </c>
      <c r="U94" s="127">
        <f>IF(Table47[[#This Row],[CODE]]=17, Table47[ [#This Row],[Account Deposit Amount] ]-Table47[ [#This Row],[Account Withdrawl Amount] ], )</f>
        <v>0</v>
      </c>
    </row>
    <row r="95" spans="1:21" ht="16.2" thickBot="1">
      <c r="A95" s="130"/>
      <c r="B95" s="133"/>
      <c r="C95" s="130"/>
      <c r="D95" s="132"/>
      <c r="E95" s="128"/>
      <c r="F95" s="128"/>
      <c r="G95" s="131">
        <f t="shared" si="4"/>
        <v>75073.499999999971</v>
      </c>
      <c r="H95" s="130"/>
      <c r="I95" s="127">
        <f>IF(Table47[[#This Row],[CODE]]=1, Table47[ [#This Row],[Account Deposit Amount] ]-Table47[ [#This Row],[Account Withdrawl Amount] ], )</f>
        <v>0</v>
      </c>
      <c r="J95" s="129">
        <f>IF(Table47[[#This Row],[CODE]]=2, Table47[ [#This Row],[Account Deposit Amount] ]-Table47[ [#This Row],[Account Withdrawl Amount] ], )</f>
        <v>0</v>
      </c>
      <c r="K95" s="129">
        <f>IF(Table47[[#This Row],[CODE]]=3, Table47[ [#This Row],[Account Deposit Amount] ]-Table47[ [#This Row],[Account Withdrawl Amount] ], )</f>
        <v>0</v>
      </c>
      <c r="L95" s="128">
        <f>IF(Table47[[#This Row],[CODE]]=4, Table47[ [#This Row],[Account Deposit Amount] ]-Table47[ [#This Row],[Account Withdrawl Amount] ], )</f>
        <v>0</v>
      </c>
      <c r="M95" s="128">
        <f>IF(Table47[[#This Row],[CODE]]=5, Table47[ [#This Row],[Account Deposit Amount] ]-Table47[ [#This Row],[Account Withdrawl Amount] ], )</f>
        <v>0</v>
      </c>
      <c r="N95" s="128">
        <f>IF(Table47[[#This Row],[CODE]]=6, Table47[ [#This Row],[Account Deposit Amount] ]-Table47[ [#This Row],[Account Withdrawl Amount] ], )</f>
        <v>0</v>
      </c>
      <c r="O95" s="128">
        <f>IF(Table47[[#This Row],[CODE]]=11, Table47[ [#This Row],[Account Deposit Amount] ]-Table47[ [#This Row],[Account Withdrawl Amount] ], )</f>
        <v>0</v>
      </c>
      <c r="P95" s="128">
        <f>IF(Table47[[#This Row],[CODE]]=12, Table47[ [#This Row],[Account Deposit Amount] ]-Table47[ [#This Row],[Account Withdrawl Amount] ], )</f>
        <v>0</v>
      </c>
      <c r="Q95" s="128">
        <f>IF(Table47[[#This Row],[CODE]]=13, Table47[ [#This Row],[Account Deposit Amount] ]-Table47[ [#This Row],[Account Withdrawl Amount] ], )</f>
        <v>0</v>
      </c>
      <c r="R95" s="128">
        <f>IF(Table47[[#This Row],[CODE]]=14, Table47[ [#This Row],[Account Deposit Amount] ]-Table47[ [#This Row],[Account Withdrawl Amount] ], )</f>
        <v>0</v>
      </c>
      <c r="S95" s="128">
        <f>IF(Table47[[#This Row],[CODE]]=15, Table47[ [#This Row],[Account Deposit Amount] ]-Table47[ [#This Row],[Account Withdrawl Amount] ], )</f>
        <v>0</v>
      </c>
      <c r="T95" s="128">
        <f>IF(Table47[[#This Row],[CODE]]=16, Table47[ [#This Row],[Account Deposit Amount] ]-Table47[ [#This Row],[Account Withdrawl Amount] ], )</f>
        <v>0</v>
      </c>
      <c r="U95" s="127">
        <f>IF(Table47[[#This Row],[CODE]]=17, Table47[ [#This Row],[Account Deposit Amount] ]-Table47[ [#This Row],[Account Withdrawl Amount] ], )</f>
        <v>0</v>
      </c>
    </row>
    <row r="96" spans="1:21" ht="16.2" thickBot="1">
      <c r="A96" s="130"/>
      <c r="B96" s="133"/>
      <c r="C96" s="130"/>
      <c r="D96" s="132"/>
      <c r="E96" s="128"/>
      <c r="F96" s="128"/>
      <c r="G96" s="131">
        <f t="shared" si="4"/>
        <v>75073.499999999971</v>
      </c>
      <c r="H96" s="130"/>
      <c r="I96" s="127">
        <f>IF(Table47[[#This Row],[CODE]]=1, Table47[ [#This Row],[Account Deposit Amount] ]-Table47[ [#This Row],[Account Withdrawl Amount] ], )</f>
        <v>0</v>
      </c>
      <c r="J96" s="129">
        <f>IF(Table47[[#This Row],[CODE]]=2, Table47[ [#This Row],[Account Deposit Amount] ]-Table47[ [#This Row],[Account Withdrawl Amount] ], )</f>
        <v>0</v>
      </c>
      <c r="K96" s="129">
        <f>IF(Table47[[#This Row],[CODE]]=3, Table47[ [#This Row],[Account Deposit Amount] ]-Table47[ [#This Row],[Account Withdrawl Amount] ], )</f>
        <v>0</v>
      </c>
      <c r="L96" s="128">
        <f>IF(Table47[[#This Row],[CODE]]=4, Table47[ [#This Row],[Account Deposit Amount] ]-Table47[ [#This Row],[Account Withdrawl Amount] ], )</f>
        <v>0</v>
      </c>
      <c r="M96" s="128">
        <f>IF(Table47[[#This Row],[CODE]]=5, Table47[ [#This Row],[Account Deposit Amount] ]-Table47[ [#This Row],[Account Withdrawl Amount] ], )</f>
        <v>0</v>
      </c>
      <c r="N96" s="128">
        <f>IF(Table47[[#This Row],[CODE]]=6, Table47[ [#This Row],[Account Deposit Amount] ]-Table47[ [#This Row],[Account Withdrawl Amount] ], )</f>
        <v>0</v>
      </c>
      <c r="O96" s="128">
        <f>IF(Table47[[#This Row],[CODE]]=11, Table47[ [#This Row],[Account Deposit Amount] ]-Table47[ [#This Row],[Account Withdrawl Amount] ], )</f>
        <v>0</v>
      </c>
      <c r="P96" s="128">
        <f>IF(Table47[[#This Row],[CODE]]=12, Table47[ [#This Row],[Account Deposit Amount] ]-Table47[ [#This Row],[Account Withdrawl Amount] ], )</f>
        <v>0</v>
      </c>
      <c r="Q96" s="128">
        <f>IF(Table47[[#This Row],[CODE]]=13, Table47[ [#This Row],[Account Deposit Amount] ]-Table47[ [#This Row],[Account Withdrawl Amount] ], )</f>
        <v>0</v>
      </c>
      <c r="R96" s="128">
        <f>IF(Table47[[#This Row],[CODE]]=14, Table47[ [#This Row],[Account Deposit Amount] ]-Table47[ [#This Row],[Account Withdrawl Amount] ], )</f>
        <v>0</v>
      </c>
      <c r="S96" s="128">
        <f>IF(Table47[[#This Row],[CODE]]=15, Table47[ [#This Row],[Account Deposit Amount] ]-Table47[ [#This Row],[Account Withdrawl Amount] ], )</f>
        <v>0</v>
      </c>
      <c r="T96" s="128">
        <f>IF(Table47[[#This Row],[CODE]]=16, Table47[ [#This Row],[Account Deposit Amount] ]-Table47[ [#This Row],[Account Withdrawl Amount] ], )</f>
        <v>0</v>
      </c>
      <c r="U96" s="127">
        <f>IF(Table47[[#This Row],[CODE]]=17, Table47[ [#This Row],[Account Deposit Amount] ]-Table47[ [#This Row],[Account Withdrawl Amount] ], )</f>
        <v>0</v>
      </c>
    </row>
    <row r="97" spans="1:21" ht="16.2" thickBot="1">
      <c r="A97" s="130"/>
      <c r="B97" s="133"/>
      <c r="C97" s="130"/>
      <c r="D97" s="132"/>
      <c r="E97" s="128"/>
      <c r="F97" s="128"/>
      <c r="G97" s="131">
        <f t="shared" si="4"/>
        <v>75073.499999999971</v>
      </c>
      <c r="H97" s="130"/>
      <c r="I97" s="127">
        <f>IF(Table47[[#This Row],[CODE]]=1, Table47[ [#This Row],[Account Deposit Amount] ]-Table47[ [#This Row],[Account Withdrawl Amount] ], )</f>
        <v>0</v>
      </c>
      <c r="J97" s="129">
        <f>IF(Table47[[#This Row],[CODE]]=2, Table47[ [#This Row],[Account Deposit Amount] ]-Table47[ [#This Row],[Account Withdrawl Amount] ], )</f>
        <v>0</v>
      </c>
      <c r="K97" s="129">
        <f>IF(Table47[[#This Row],[CODE]]=3, Table47[ [#This Row],[Account Deposit Amount] ]-Table47[ [#This Row],[Account Withdrawl Amount] ], )</f>
        <v>0</v>
      </c>
      <c r="L97" s="128">
        <f>IF(Table47[[#This Row],[CODE]]=4, Table47[ [#This Row],[Account Deposit Amount] ]-Table47[ [#This Row],[Account Withdrawl Amount] ], )</f>
        <v>0</v>
      </c>
      <c r="M97" s="128">
        <f>IF(Table47[[#This Row],[CODE]]=5, Table47[ [#This Row],[Account Deposit Amount] ]-Table47[ [#This Row],[Account Withdrawl Amount] ], )</f>
        <v>0</v>
      </c>
      <c r="N97" s="128">
        <f>IF(Table47[[#This Row],[CODE]]=6, Table47[ [#This Row],[Account Deposit Amount] ]-Table47[ [#This Row],[Account Withdrawl Amount] ], )</f>
        <v>0</v>
      </c>
      <c r="O97" s="128">
        <f>IF(Table47[[#This Row],[CODE]]=11, Table47[ [#This Row],[Account Deposit Amount] ]-Table47[ [#This Row],[Account Withdrawl Amount] ], )</f>
        <v>0</v>
      </c>
      <c r="P97" s="128">
        <f>IF(Table47[[#This Row],[CODE]]=12, Table47[ [#This Row],[Account Deposit Amount] ]-Table47[ [#This Row],[Account Withdrawl Amount] ], )</f>
        <v>0</v>
      </c>
      <c r="Q97" s="128">
        <f>IF(Table47[[#This Row],[CODE]]=13, Table47[ [#This Row],[Account Deposit Amount] ]-Table47[ [#This Row],[Account Withdrawl Amount] ], )</f>
        <v>0</v>
      </c>
      <c r="R97" s="128">
        <f>IF(Table47[[#This Row],[CODE]]=14, Table47[ [#This Row],[Account Deposit Amount] ]-Table47[ [#This Row],[Account Withdrawl Amount] ], )</f>
        <v>0</v>
      </c>
      <c r="S97" s="128">
        <f>IF(Table47[[#This Row],[CODE]]=15, Table47[ [#This Row],[Account Deposit Amount] ]-Table47[ [#This Row],[Account Withdrawl Amount] ], )</f>
        <v>0</v>
      </c>
      <c r="T97" s="128">
        <f>IF(Table47[[#This Row],[CODE]]=16, Table47[ [#This Row],[Account Deposit Amount] ]-Table47[ [#This Row],[Account Withdrawl Amount] ], )</f>
        <v>0</v>
      </c>
      <c r="U97" s="127">
        <f>IF(Table47[[#This Row],[CODE]]=17, Table47[ [#This Row],[Account Deposit Amount] ]-Table47[ [#This Row],[Account Withdrawl Amount] ], )</f>
        <v>0</v>
      </c>
    </row>
    <row r="98" spans="1:21" ht="16.2" thickBot="1">
      <c r="A98" s="130"/>
      <c r="B98" s="133"/>
      <c r="C98" s="130"/>
      <c r="D98" s="132"/>
      <c r="E98" s="128"/>
      <c r="F98" s="128"/>
      <c r="G98" s="131">
        <f t="shared" si="4"/>
        <v>75073.499999999971</v>
      </c>
      <c r="H98" s="130"/>
      <c r="I98" s="127">
        <f>IF(Table47[[#This Row],[CODE]]=1, Table47[ [#This Row],[Account Deposit Amount] ]-Table47[ [#This Row],[Account Withdrawl Amount] ], )</f>
        <v>0</v>
      </c>
      <c r="J98" s="129">
        <f>IF(Table47[[#This Row],[CODE]]=2, Table47[ [#This Row],[Account Deposit Amount] ]-Table47[ [#This Row],[Account Withdrawl Amount] ], )</f>
        <v>0</v>
      </c>
      <c r="K98" s="129">
        <f>IF(Table47[[#This Row],[CODE]]=3, Table47[ [#This Row],[Account Deposit Amount] ]-Table47[ [#This Row],[Account Withdrawl Amount] ], )</f>
        <v>0</v>
      </c>
      <c r="L98" s="128">
        <f>IF(Table47[[#This Row],[CODE]]=4, Table47[ [#This Row],[Account Deposit Amount] ]-Table47[ [#This Row],[Account Withdrawl Amount] ], )</f>
        <v>0</v>
      </c>
      <c r="M98" s="128">
        <f>IF(Table47[[#This Row],[CODE]]=5, Table47[ [#This Row],[Account Deposit Amount] ]-Table47[ [#This Row],[Account Withdrawl Amount] ], )</f>
        <v>0</v>
      </c>
      <c r="N98" s="128">
        <f>IF(Table47[[#This Row],[CODE]]=6, Table47[ [#This Row],[Account Deposit Amount] ]-Table47[ [#This Row],[Account Withdrawl Amount] ], )</f>
        <v>0</v>
      </c>
      <c r="O98" s="128">
        <f>IF(Table47[[#This Row],[CODE]]=11, Table47[ [#This Row],[Account Deposit Amount] ]-Table47[ [#This Row],[Account Withdrawl Amount] ], )</f>
        <v>0</v>
      </c>
      <c r="P98" s="128">
        <f>IF(Table47[[#This Row],[CODE]]=12, Table47[ [#This Row],[Account Deposit Amount] ]-Table47[ [#This Row],[Account Withdrawl Amount] ], )</f>
        <v>0</v>
      </c>
      <c r="Q98" s="128">
        <f>IF(Table47[[#This Row],[CODE]]=13, Table47[ [#This Row],[Account Deposit Amount] ]-Table47[ [#This Row],[Account Withdrawl Amount] ], )</f>
        <v>0</v>
      </c>
      <c r="R98" s="128">
        <f>IF(Table47[[#This Row],[CODE]]=14, Table47[ [#This Row],[Account Deposit Amount] ]-Table47[ [#This Row],[Account Withdrawl Amount] ], )</f>
        <v>0</v>
      </c>
      <c r="S98" s="128">
        <f>IF(Table47[[#This Row],[CODE]]=15, Table47[ [#This Row],[Account Deposit Amount] ]-Table47[ [#This Row],[Account Withdrawl Amount] ], )</f>
        <v>0</v>
      </c>
      <c r="T98" s="128">
        <f>IF(Table47[[#This Row],[CODE]]=16, Table47[ [#This Row],[Account Deposit Amount] ]-Table47[ [#This Row],[Account Withdrawl Amount] ], )</f>
        <v>0</v>
      </c>
      <c r="U98" s="127">
        <f>IF(Table47[[#This Row],[CODE]]=17, Table47[ [#This Row],[Account Deposit Amount] ]-Table47[ [#This Row],[Account Withdrawl Amount] ], )</f>
        <v>0</v>
      </c>
    </row>
    <row r="99" spans="1:21" ht="16.2" thickBot="1">
      <c r="A99" s="130"/>
      <c r="B99" s="133"/>
      <c r="C99" s="130"/>
      <c r="D99" s="132"/>
      <c r="E99" s="128"/>
      <c r="F99" s="128"/>
      <c r="G99" s="131">
        <f t="shared" si="4"/>
        <v>75073.499999999971</v>
      </c>
      <c r="H99" s="130"/>
      <c r="I99" s="127">
        <f>IF(Table47[[#This Row],[CODE]]=1, Table47[ [#This Row],[Account Deposit Amount] ]-Table47[ [#This Row],[Account Withdrawl Amount] ], )</f>
        <v>0</v>
      </c>
      <c r="J99" s="129">
        <f>IF(Table47[[#This Row],[CODE]]=2, Table47[ [#This Row],[Account Deposit Amount] ]-Table47[ [#This Row],[Account Withdrawl Amount] ], )</f>
        <v>0</v>
      </c>
      <c r="K99" s="129">
        <f>IF(Table47[[#This Row],[CODE]]=3, Table47[ [#This Row],[Account Deposit Amount] ]-Table47[ [#This Row],[Account Withdrawl Amount] ], )</f>
        <v>0</v>
      </c>
      <c r="L99" s="128">
        <f>IF(Table47[[#This Row],[CODE]]=4, Table47[ [#This Row],[Account Deposit Amount] ]-Table47[ [#This Row],[Account Withdrawl Amount] ], )</f>
        <v>0</v>
      </c>
      <c r="M99" s="128">
        <f>IF(Table47[[#This Row],[CODE]]=5, Table47[ [#This Row],[Account Deposit Amount] ]-Table47[ [#This Row],[Account Withdrawl Amount] ], )</f>
        <v>0</v>
      </c>
      <c r="N99" s="128">
        <f>IF(Table47[[#This Row],[CODE]]=6, Table47[ [#This Row],[Account Deposit Amount] ]-Table47[ [#This Row],[Account Withdrawl Amount] ], )</f>
        <v>0</v>
      </c>
      <c r="O99" s="128">
        <f>IF(Table47[[#This Row],[CODE]]=11, Table47[ [#This Row],[Account Deposit Amount] ]-Table47[ [#This Row],[Account Withdrawl Amount] ], )</f>
        <v>0</v>
      </c>
      <c r="P99" s="128">
        <f>IF(Table47[[#This Row],[CODE]]=12, Table47[ [#This Row],[Account Deposit Amount] ]-Table47[ [#This Row],[Account Withdrawl Amount] ], )</f>
        <v>0</v>
      </c>
      <c r="Q99" s="128">
        <f>IF(Table47[[#This Row],[CODE]]=13, Table47[ [#This Row],[Account Deposit Amount] ]-Table47[ [#This Row],[Account Withdrawl Amount] ], )</f>
        <v>0</v>
      </c>
      <c r="R99" s="128">
        <f>IF(Table47[[#This Row],[CODE]]=14, Table47[ [#This Row],[Account Deposit Amount] ]-Table47[ [#This Row],[Account Withdrawl Amount] ], )</f>
        <v>0</v>
      </c>
      <c r="S99" s="128">
        <f>IF(Table47[[#This Row],[CODE]]=15, Table47[ [#This Row],[Account Deposit Amount] ]-Table47[ [#This Row],[Account Withdrawl Amount] ], )</f>
        <v>0</v>
      </c>
      <c r="T99" s="128">
        <f>IF(Table47[[#This Row],[CODE]]=16, Table47[ [#This Row],[Account Deposit Amount] ]-Table47[ [#This Row],[Account Withdrawl Amount] ], )</f>
        <v>0</v>
      </c>
      <c r="U99" s="127">
        <f>IF(Table47[[#This Row],[CODE]]=17, Table47[ [#This Row],[Account Deposit Amount] ]-Table47[ [#This Row],[Account Withdrawl Amount] ], )</f>
        <v>0</v>
      </c>
    </row>
    <row r="100" spans="1:21" ht="16.2" thickBot="1">
      <c r="A100" s="130"/>
      <c r="B100" s="133"/>
      <c r="C100" s="130"/>
      <c r="D100" s="132"/>
      <c r="E100" s="128"/>
      <c r="F100" s="128"/>
      <c r="G100" s="131">
        <f t="shared" si="4"/>
        <v>75073.499999999971</v>
      </c>
      <c r="H100" s="130"/>
      <c r="I100" s="127">
        <f>IF(Table47[[#This Row],[CODE]]=1, Table47[ [#This Row],[Account Deposit Amount] ]-Table47[ [#This Row],[Account Withdrawl Amount] ], )</f>
        <v>0</v>
      </c>
      <c r="J100" s="129">
        <f>IF(Table47[[#This Row],[CODE]]=2, Table47[ [#This Row],[Account Deposit Amount] ]-Table47[ [#This Row],[Account Withdrawl Amount] ], )</f>
        <v>0</v>
      </c>
      <c r="K100" s="129">
        <f>IF(Table47[[#This Row],[CODE]]=3, Table47[ [#This Row],[Account Deposit Amount] ]-Table47[ [#This Row],[Account Withdrawl Amount] ], )</f>
        <v>0</v>
      </c>
      <c r="L100" s="128">
        <f>IF(Table47[[#This Row],[CODE]]=4, Table47[ [#This Row],[Account Deposit Amount] ]-Table47[ [#This Row],[Account Withdrawl Amount] ], )</f>
        <v>0</v>
      </c>
      <c r="M100" s="128">
        <f>IF(Table47[[#This Row],[CODE]]=5, Table47[ [#This Row],[Account Deposit Amount] ]-Table47[ [#This Row],[Account Withdrawl Amount] ], )</f>
        <v>0</v>
      </c>
      <c r="N100" s="128">
        <f>IF(Table47[[#This Row],[CODE]]=6, Table47[ [#This Row],[Account Deposit Amount] ]-Table47[ [#This Row],[Account Withdrawl Amount] ], )</f>
        <v>0</v>
      </c>
      <c r="O100" s="128">
        <f>IF(Table47[[#This Row],[CODE]]=11, Table47[ [#This Row],[Account Deposit Amount] ]-Table47[ [#This Row],[Account Withdrawl Amount] ], )</f>
        <v>0</v>
      </c>
      <c r="P100" s="128">
        <f>IF(Table47[[#This Row],[CODE]]=12, Table47[ [#This Row],[Account Deposit Amount] ]-Table47[ [#This Row],[Account Withdrawl Amount] ], )</f>
        <v>0</v>
      </c>
      <c r="Q100" s="128">
        <f>IF(Table47[[#This Row],[CODE]]=13, Table47[ [#This Row],[Account Deposit Amount] ]-Table47[ [#This Row],[Account Withdrawl Amount] ], )</f>
        <v>0</v>
      </c>
      <c r="R100" s="128">
        <f>IF(Table47[[#This Row],[CODE]]=14, Table47[ [#This Row],[Account Deposit Amount] ]-Table47[ [#This Row],[Account Withdrawl Amount] ], )</f>
        <v>0</v>
      </c>
      <c r="S100" s="128">
        <f>IF(Table47[[#This Row],[CODE]]=15, Table47[ [#This Row],[Account Deposit Amount] ]-Table47[ [#This Row],[Account Withdrawl Amount] ], )</f>
        <v>0</v>
      </c>
      <c r="T100" s="128">
        <f>IF(Table47[[#This Row],[CODE]]=16, Table47[ [#This Row],[Account Deposit Amount] ]-Table47[ [#This Row],[Account Withdrawl Amount] ], )</f>
        <v>0</v>
      </c>
      <c r="U100" s="127">
        <f>IF(Table47[[#This Row],[CODE]]=17, Table47[ [#This Row],[Account Deposit Amount] ]-Table47[ [#This Row],[Account Withdrawl Amount] ], )</f>
        <v>0</v>
      </c>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DD977-177C-41B6-A4FD-89958185CBB4}">
  <dimension ref="A1:AB100"/>
  <sheetViews>
    <sheetView zoomScale="85" zoomScaleNormal="85" workbookViewId="0">
      <selection activeCell="U8" sqref="U8"/>
    </sheetView>
  </sheetViews>
  <sheetFormatPr defaultColWidth="12.44140625" defaultRowHeight="15.6"/>
  <cols>
    <col min="1" max="16384" width="12.44140625" style="126"/>
  </cols>
  <sheetData>
    <row r="1" spans="1:28" s="4" customFormat="1" ht="15.75" customHeight="1" thickBot="1">
      <c r="A1" s="16"/>
      <c r="B1" s="2"/>
      <c r="C1" s="1"/>
      <c r="D1" s="1"/>
      <c r="E1" s="29"/>
      <c r="F1" s="30"/>
      <c r="G1" s="3" t="s">
        <v>180</v>
      </c>
      <c r="H1" s="3"/>
      <c r="I1" s="338" t="s">
        <v>49</v>
      </c>
      <c r="J1" s="339"/>
      <c r="K1" s="339"/>
      <c r="L1" s="339"/>
      <c r="M1" s="340">
        <f>SUM(I2:N2)</f>
        <v>-47197.89</v>
      </c>
      <c r="N1" s="340"/>
      <c r="O1" s="344" t="s">
        <v>50</v>
      </c>
      <c r="P1" s="344"/>
      <c r="Q1" s="344"/>
      <c r="R1" s="344"/>
      <c r="S1" s="344"/>
      <c r="T1" s="344"/>
      <c r="U1" s="342">
        <f>SUM(O2:V2)</f>
        <v>-2516.83</v>
      </c>
      <c r="V1" s="343"/>
      <c r="W1" s="1"/>
      <c r="X1" s="1"/>
      <c r="Y1" s="1"/>
      <c r="Z1" s="1"/>
      <c r="AA1" s="1"/>
    </row>
    <row r="2" spans="1:28" s="4" customFormat="1" ht="12.6" thickBot="1">
      <c r="A2" s="1"/>
      <c r="B2" s="2"/>
      <c r="C2" s="1"/>
      <c r="D2" s="1" t="s">
        <v>51</v>
      </c>
      <c r="E2" s="5">
        <f>SUM(E4:E1173)</f>
        <v>686.11</v>
      </c>
      <c r="F2" s="5">
        <f>SUM(F4:F1173)</f>
        <v>50400.83</v>
      </c>
      <c r="G2" s="6">
        <f>G4+E2-F2</f>
        <v>25358.78</v>
      </c>
      <c r="H2" s="81"/>
      <c r="I2" s="7">
        <f t="shared" ref="I2:T2" si="0">SUM(I4:I1173)</f>
        <v>0</v>
      </c>
      <c r="J2" s="8">
        <f t="shared" si="0"/>
        <v>-47197.89</v>
      </c>
      <c r="K2" s="8">
        <f t="shared" si="0"/>
        <v>0</v>
      </c>
      <c r="L2" s="7">
        <f t="shared" si="0"/>
        <v>0</v>
      </c>
      <c r="M2" s="7">
        <f t="shared" si="0"/>
        <v>0</v>
      </c>
      <c r="N2" s="7">
        <f t="shared" si="0"/>
        <v>0</v>
      </c>
      <c r="O2" s="9">
        <f t="shared" si="0"/>
        <v>-300</v>
      </c>
      <c r="P2" s="9">
        <f t="shared" si="0"/>
        <v>-45</v>
      </c>
      <c r="Q2" s="9">
        <f t="shared" si="0"/>
        <v>-359.23</v>
      </c>
      <c r="R2" s="9">
        <f t="shared" si="0"/>
        <v>-1812.6000000000001</v>
      </c>
      <c r="S2" s="9">
        <f t="shared" si="0"/>
        <v>0</v>
      </c>
      <c r="T2" s="9">
        <f t="shared" si="0"/>
        <v>0</v>
      </c>
      <c r="U2" s="9">
        <f t="shared" ref="U2:V2" si="1">SUM(U4:U1006)</f>
        <v>0</v>
      </c>
      <c r="V2" s="9">
        <f t="shared" si="1"/>
        <v>0</v>
      </c>
      <c r="W2" s="1"/>
      <c r="X2" s="1"/>
      <c r="Y2" s="1"/>
      <c r="Z2" s="1"/>
      <c r="AA2" s="1"/>
    </row>
    <row r="3" spans="1:28" s="15" customFormat="1" ht="36.6"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167" t="s">
        <v>484</v>
      </c>
      <c r="W3" s="36" t="s">
        <v>198</v>
      </c>
      <c r="X3" s="14"/>
      <c r="Y3" s="14"/>
      <c r="Z3" s="14"/>
      <c r="AA3" s="14"/>
      <c r="AB3" s="14"/>
    </row>
    <row r="4" spans="1:28" ht="24.6" thickBot="1">
      <c r="A4" s="138"/>
      <c r="B4" s="139">
        <v>45017</v>
      </c>
      <c r="C4" s="146" t="s">
        <v>485</v>
      </c>
      <c r="D4" s="138"/>
      <c r="E4" s="145"/>
      <c r="F4" s="144"/>
      <c r="G4" s="143">
        <f>Mar!G2</f>
        <v>75073.5</v>
      </c>
      <c r="H4" s="155"/>
      <c r="I4" s="127">
        <f>IF(Table324[[#This Row],[CODE]]=1, Table324[ [#This Row],[Account Deposit Amount] ]-Table324[ [#This Row],[Account Withdrawl Amount] ], )</f>
        <v>0</v>
      </c>
      <c r="J4" s="142">
        <f>IF(Table324[[#This Row],[CODE]]=2, Table324[ [#This Row],[Account Deposit Amount] ]-Table324[ [#This Row],[Account Withdrawl Amount] ], )</f>
        <v>0</v>
      </c>
      <c r="K4" s="142">
        <f>IF(Table324[[#This Row],[CODE]]=3, Table324[ [#This Row],[Account Deposit Amount] ]-Table324[ [#This Row],[Account Withdrawl Amount] ], )</f>
        <v>0</v>
      </c>
      <c r="L4" s="141">
        <f>IF(Table324[[#This Row],[CODE]]=4, Table324[ [#This Row],[Account Deposit Amount] ]-Table324[ [#This Row],[Account Withdrawl Amount] ], )</f>
        <v>0</v>
      </c>
      <c r="M4" s="141">
        <f>IF(Table324[[#This Row],[CODE]]=5, Table324[ [#This Row],[Account Deposit Amount] ]-Table324[ [#This Row],[Account Withdrawl Amount] ], )</f>
        <v>0</v>
      </c>
      <c r="N4" s="141">
        <f>IF(Table324[[#This Row],[CODE]]=6, Table324[ [#This Row],[Account Deposit Amount] ]-Table324[ [#This Row],[Account Withdrawl Amount] ], )</f>
        <v>0</v>
      </c>
      <c r="O4" s="141">
        <f>IF(Table324[[#This Row],[CODE]]=11, Table324[ [#This Row],[Account Deposit Amount] ]-Table324[ [#This Row],[Account Withdrawl Amount] ], )</f>
        <v>0</v>
      </c>
      <c r="P4" s="141">
        <f>IF(Table324[[#This Row],[CODE]]=12, Table324[ [#This Row],[Account Deposit Amount] ]-Table324[ [#This Row],[Account Withdrawl Amount] ], )</f>
        <v>0</v>
      </c>
      <c r="Q4" s="141">
        <f>IF(Table324[[#This Row],[CODE]]=13, Table324[ [#This Row],[Account Deposit Amount] ]-Table324[ [#This Row],[Account Withdrawl Amount] ], )</f>
        <v>0</v>
      </c>
      <c r="R4" s="141">
        <f>IF(Table324[[#This Row],[CODE]]=14, Table324[ [#This Row],[Account Deposit Amount] ]-Table324[ [#This Row],[Account Withdrawl Amount] ], )</f>
        <v>0</v>
      </c>
      <c r="S4" s="141">
        <f>IF(Table324[[#This Row],[CODE]]=15, Table324[ [#This Row],[Account Deposit Amount] ]-Table324[ [#This Row],[Account Withdrawl Amount] ], )</f>
        <v>0</v>
      </c>
      <c r="T4" s="136">
        <f>IF(Table324[[#This Row],[CODE]]=16, Table324[ [#This Row],[Account Deposit Amount] ]-Table324[ [#This Row],[Account Withdrawl Amount] ], )</f>
        <v>0</v>
      </c>
      <c r="U4" s="141">
        <f>IF(Table324[[#This Row],[(1)
Fall Product Money]]=13, Table324[ [#This Row],[Account Withdrawl Amount] ]-Table324[ [#This Row],[Total Troop Account] ], )</f>
        <v>0</v>
      </c>
      <c r="V4" s="141">
        <f>IF(Table324[[#This Row],[(1)
Fall Product Money]]=14, Table324[ [#This Row],[Account Withdrawl Amount] ]-Table324[ [#This Row],[Total Troop Account] ], )</f>
        <v>0</v>
      </c>
    </row>
    <row r="5" spans="1:28" ht="16.2" thickBot="1">
      <c r="A5" s="150" t="s">
        <v>238</v>
      </c>
      <c r="B5" s="151">
        <v>45023</v>
      </c>
      <c r="C5" s="150" t="s">
        <v>276</v>
      </c>
      <c r="D5" s="138" t="s">
        <v>132</v>
      </c>
      <c r="E5" s="136">
        <v>95</v>
      </c>
      <c r="F5" s="136"/>
      <c r="G5" s="134">
        <f t="shared" ref="G5:G36" si="2">G4+E5-F5</f>
        <v>75168.5</v>
      </c>
      <c r="H5" s="138">
        <v>2</v>
      </c>
      <c r="I5" s="127">
        <f>IF(Table324[[#This Row],[CODE]]=1, Table324[ [#This Row],[Account Deposit Amount] ]-Table324[ [#This Row],[Account Withdrawl Amount] ], )</f>
        <v>0</v>
      </c>
      <c r="J5" s="137">
        <f>IF(Table324[[#This Row],[CODE]]=2, Table324[ [#This Row],[Account Deposit Amount] ]-Table324[ [#This Row],[Account Withdrawl Amount] ], )</f>
        <v>95</v>
      </c>
      <c r="K5" s="137">
        <f>IF(Table324[[#This Row],[CODE]]=3, Table324[ [#This Row],[Account Deposit Amount] ]-Table324[ [#This Row],[Account Withdrawl Amount] ], )</f>
        <v>0</v>
      </c>
      <c r="L5" s="136">
        <f>IF(Table324[[#This Row],[CODE]]=4, Table324[ [#This Row],[Account Deposit Amount] ]-Table324[ [#This Row],[Account Withdrawl Amount] ], )</f>
        <v>0</v>
      </c>
      <c r="M5" s="136">
        <f>IF(Table324[[#This Row],[CODE]]=5, Table324[ [#This Row],[Account Deposit Amount] ]-Table324[ [#This Row],[Account Withdrawl Amount] ], )</f>
        <v>0</v>
      </c>
      <c r="N5" s="136">
        <f>IF(Table324[[#This Row],[CODE]]=6, Table324[ [#This Row],[Account Deposit Amount] ]-Table324[ [#This Row],[Account Withdrawl Amount] ], )</f>
        <v>0</v>
      </c>
      <c r="O5" s="136">
        <f>IF(Table324[[#This Row],[CODE]]=11, Table324[ [#This Row],[Account Deposit Amount] ]-Table324[ [#This Row],[Account Withdrawl Amount] ], )</f>
        <v>0</v>
      </c>
      <c r="P5" s="136">
        <f>IF(Table324[[#This Row],[CODE]]=12, Table324[ [#This Row],[Account Deposit Amount] ]-Table324[ [#This Row],[Account Withdrawl Amount] ], )</f>
        <v>0</v>
      </c>
      <c r="Q5" s="136">
        <f>IF(Table324[[#This Row],[CODE]]=13, Table324[ [#This Row],[Account Deposit Amount] ]-Table324[ [#This Row],[Account Withdrawl Amount] ], )</f>
        <v>0</v>
      </c>
      <c r="R5" s="136">
        <f>IF(Table324[[#This Row],[CODE]]=14, Table324[ [#This Row],[Account Deposit Amount] ]-Table324[ [#This Row],[Account Withdrawl Amount] ], )</f>
        <v>0</v>
      </c>
      <c r="S5" s="136">
        <f>IF(Table324[[#This Row],[CODE]]=15, Table324[ [#This Row],[Account Deposit Amount] ]-Table324[ [#This Row],[Account Withdrawl Amount] ], )</f>
        <v>0</v>
      </c>
      <c r="T5" s="136">
        <f>IF(Table324[[#This Row],[CODE]]=16, Table324[ [#This Row],[Account Deposit Amount] ]-Table324[ [#This Row],[Account Withdrawl Amount] ], )</f>
        <v>0</v>
      </c>
      <c r="U5" s="135">
        <f>IF(Table324[[#This Row],[CODE]]=17, Table324[ [#This Row],[Account Deposit Amount] ]-Table324[ [#This Row],[Account Withdrawl Amount] ], )</f>
        <v>0</v>
      </c>
      <c r="V5" s="169"/>
    </row>
    <row r="6" spans="1:28" ht="16.2" thickBot="1">
      <c r="A6" s="150" t="s">
        <v>241</v>
      </c>
      <c r="B6" s="151">
        <v>45026</v>
      </c>
      <c r="C6" s="150" t="s">
        <v>486</v>
      </c>
      <c r="D6" s="132"/>
      <c r="E6" s="128"/>
      <c r="F6" s="150">
        <v>47884</v>
      </c>
      <c r="G6" s="134">
        <f t="shared" si="2"/>
        <v>27284.5</v>
      </c>
      <c r="H6" s="130">
        <v>2</v>
      </c>
      <c r="I6" s="127">
        <f>IF(Table324[[#This Row],[CODE]]=1, Table324[ [#This Row],[Account Deposit Amount] ]-Table324[ [#This Row],[Account Withdrawl Amount] ], )</f>
        <v>0</v>
      </c>
      <c r="J6" s="129">
        <f>IF(Table324[[#This Row],[CODE]]=2, Table324[ [#This Row],[Account Deposit Amount] ]-Table324[ [#This Row],[Account Withdrawl Amount] ], )</f>
        <v>-47884</v>
      </c>
      <c r="K6" s="129">
        <f>IF(Table324[[#This Row],[CODE]]=3, Table324[ [#This Row],[Account Deposit Amount] ]-Table324[ [#This Row],[Account Withdrawl Amount] ], )</f>
        <v>0</v>
      </c>
      <c r="L6" s="128">
        <f>IF(Table324[[#This Row],[CODE]]=4, Table324[ [#This Row],[Account Deposit Amount] ]-Table324[ [#This Row],[Account Withdrawl Amount] ], )</f>
        <v>0</v>
      </c>
      <c r="M6" s="128">
        <f>IF(Table324[[#This Row],[CODE]]=5, Table324[ [#This Row],[Account Deposit Amount] ]-Table324[ [#This Row],[Account Withdrawl Amount] ], )</f>
        <v>0</v>
      </c>
      <c r="N6" s="128">
        <f>IF(Table324[[#This Row],[CODE]]=6, Table324[ [#This Row],[Account Deposit Amount] ]-Table324[ [#This Row],[Account Withdrawl Amount] ], )</f>
        <v>0</v>
      </c>
      <c r="O6" s="128">
        <f>IF(Table324[[#This Row],[CODE]]=11, Table324[ [#This Row],[Account Deposit Amount] ]-Table324[ [#This Row],[Account Withdrawl Amount] ], )</f>
        <v>0</v>
      </c>
      <c r="P6" s="128">
        <f>IF(Table324[[#This Row],[CODE]]=12, Table324[ [#This Row],[Account Deposit Amount] ]-Table324[ [#This Row],[Account Withdrawl Amount] ], )</f>
        <v>0</v>
      </c>
      <c r="Q6" s="128">
        <f>IF(Table324[[#This Row],[CODE]]=13, Table324[ [#This Row],[Account Deposit Amount] ]-Table324[ [#This Row],[Account Withdrawl Amount] ], )</f>
        <v>0</v>
      </c>
      <c r="R6" s="128">
        <f>IF(Table324[[#This Row],[CODE]]=14, Table324[ [#This Row],[Account Deposit Amount] ]-Table324[ [#This Row],[Account Withdrawl Amount] ], )</f>
        <v>0</v>
      </c>
      <c r="S6" s="128">
        <f>IF(Table324[[#This Row],[CODE]]=15, Table324[ [#This Row],[Account Deposit Amount] ]-Table324[ [#This Row],[Account Withdrawl Amount] ], )</f>
        <v>0</v>
      </c>
      <c r="T6" s="128">
        <f>IF(Table324[[#This Row],[CODE]]=16, Table324[ [#This Row],[Account Deposit Amount] ]-Table324[ [#This Row],[Account Withdrawl Amount] ], )</f>
        <v>0</v>
      </c>
      <c r="U6" s="127">
        <f>IF(Table324[[#This Row],[CODE]]=17, Table324[ [#This Row],[Account Deposit Amount] ]-Table324[ [#This Row],[Account Withdrawl Amount] ], )</f>
        <v>0</v>
      </c>
      <c r="V6" s="166"/>
    </row>
    <row r="7" spans="1:28" ht="16.2" thickBot="1">
      <c r="A7" s="150" t="s">
        <v>238</v>
      </c>
      <c r="B7" s="151">
        <v>45035</v>
      </c>
      <c r="C7" s="150" t="s">
        <v>276</v>
      </c>
      <c r="D7" s="132" t="s">
        <v>132</v>
      </c>
      <c r="E7" s="128">
        <v>65</v>
      </c>
      <c r="F7" s="150"/>
      <c r="G7" s="134">
        <f t="shared" si="2"/>
        <v>27349.5</v>
      </c>
      <c r="H7" s="130">
        <v>2</v>
      </c>
      <c r="I7" s="127">
        <f>IF(Table324[[#This Row],[CODE]]=1, Table324[ [#This Row],[Account Deposit Amount] ]-Table324[ [#This Row],[Account Withdrawl Amount] ], )</f>
        <v>0</v>
      </c>
      <c r="J7" s="129">
        <f>IF(Table324[[#This Row],[CODE]]=2, Table324[ [#This Row],[Account Deposit Amount] ]-Table324[ [#This Row],[Account Withdrawl Amount] ], )</f>
        <v>65</v>
      </c>
      <c r="K7" s="129">
        <f>IF(Table324[[#This Row],[CODE]]=3, Table324[ [#This Row],[Account Deposit Amount] ]-Table324[ [#This Row],[Account Withdrawl Amount] ], )</f>
        <v>0</v>
      </c>
      <c r="L7" s="128">
        <f>IF(Table324[[#This Row],[CODE]]=4, Table324[ [#This Row],[Account Deposit Amount] ]-Table324[ [#This Row],[Account Withdrawl Amount] ], )</f>
        <v>0</v>
      </c>
      <c r="M7" s="128">
        <f>IF(Table324[[#This Row],[CODE]]=5, Table324[ [#This Row],[Account Deposit Amount] ]-Table324[ [#This Row],[Account Withdrawl Amount] ], )</f>
        <v>0</v>
      </c>
      <c r="N7" s="128">
        <f>IF(Table324[[#This Row],[CODE]]=6, Table324[ [#This Row],[Account Deposit Amount] ]-Table324[ [#This Row],[Account Withdrawl Amount] ], )</f>
        <v>0</v>
      </c>
      <c r="O7" s="128">
        <f>IF(Table324[[#This Row],[CODE]]=11, Table324[ [#This Row],[Account Deposit Amount] ]-Table324[ [#This Row],[Account Withdrawl Amount] ], )</f>
        <v>0</v>
      </c>
      <c r="P7" s="128">
        <f>IF(Table324[[#This Row],[CODE]]=12, Table324[ [#This Row],[Account Deposit Amount] ]-Table324[ [#This Row],[Account Withdrawl Amount] ], )</f>
        <v>0</v>
      </c>
      <c r="Q7" s="128">
        <f>IF(Table324[[#This Row],[CODE]]=13, Table324[ [#This Row],[Account Deposit Amount] ]-Table324[ [#This Row],[Account Withdrawl Amount] ], )</f>
        <v>0</v>
      </c>
      <c r="R7" s="128">
        <f>IF(Table324[[#This Row],[CODE]]=14, Table324[ [#This Row],[Account Deposit Amount] ]-Table324[ [#This Row],[Account Withdrawl Amount] ], )</f>
        <v>0</v>
      </c>
      <c r="S7" s="128">
        <f>IF(Table324[[#This Row],[CODE]]=15, Table324[ [#This Row],[Account Deposit Amount] ]-Table324[ [#This Row],[Account Withdrawl Amount] ], )</f>
        <v>0</v>
      </c>
      <c r="T7" s="128">
        <f>IF(Table324[[#This Row],[CODE]]=16, Table324[ [#This Row],[Account Deposit Amount] ]-Table324[ [#This Row],[Account Withdrawl Amount] ], )</f>
        <v>0</v>
      </c>
      <c r="U7" s="127">
        <f>IF(Table324[[#This Row],[CODE]]=17, Table324[ [#This Row],[Account Deposit Amount] ]-Table324[ [#This Row],[Account Withdrawl Amount] ], )</f>
        <v>0</v>
      </c>
      <c r="V7" s="166"/>
    </row>
    <row r="8" spans="1:28" ht="16.2" thickBot="1">
      <c r="A8" s="150" t="s">
        <v>238</v>
      </c>
      <c r="B8" s="151">
        <v>45035</v>
      </c>
      <c r="C8" s="150" t="s">
        <v>276</v>
      </c>
      <c r="D8" s="132" t="s">
        <v>132</v>
      </c>
      <c r="E8" s="128">
        <v>120</v>
      </c>
      <c r="F8" s="150"/>
      <c r="G8" s="134">
        <f t="shared" si="2"/>
        <v>27469.5</v>
      </c>
      <c r="H8" s="130">
        <v>2</v>
      </c>
      <c r="I8" s="127">
        <f>IF(Table324[[#This Row],[CODE]]=1, Table324[ [#This Row],[Account Deposit Amount] ]-Table324[ [#This Row],[Account Withdrawl Amount] ], )</f>
        <v>0</v>
      </c>
      <c r="J8" s="129">
        <f>IF(Table324[[#This Row],[CODE]]=2, Table324[ [#This Row],[Account Deposit Amount] ]-Table324[ [#This Row],[Account Withdrawl Amount] ], )</f>
        <v>120</v>
      </c>
      <c r="K8" s="129">
        <f>IF(Table324[[#This Row],[CODE]]=3, Table324[ [#This Row],[Account Deposit Amount] ]-Table324[ [#This Row],[Account Withdrawl Amount] ], )</f>
        <v>0</v>
      </c>
      <c r="L8" s="128">
        <f>IF(Table324[[#This Row],[CODE]]=4, Table324[ [#This Row],[Account Deposit Amount] ]-Table324[ [#This Row],[Account Withdrawl Amount] ], )</f>
        <v>0</v>
      </c>
      <c r="M8" s="128">
        <f>IF(Table324[[#This Row],[CODE]]=5, Table324[ [#This Row],[Account Deposit Amount] ]-Table324[ [#This Row],[Account Withdrawl Amount] ], )</f>
        <v>0</v>
      </c>
      <c r="N8" s="128">
        <f>IF(Table324[[#This Row],[CODE]]=6, Table324[ [#This Row],[Account Deposit Amount] ]-Table324[ [#This Row],[Account Withdrawl Amount] ], )</f>
        <v>0</v>
      </c>
      <c r="O8" s="128">
        <f>IF(Table324[[#This Row],[CODE]]=11, Table324[ [#This Row],[Account Deposit Amount] ]-Table324[ [#This Row],[Account Withdrawl Amount] ], )</f>
        <v>0</v>
      </c>
      <c r="P8" s="128">
        <f>IF(Table324[[#This Row],[CODE]]=12, Table324[ [#This Row],[Account Deposit Amount] ]-Table324[ [#This Row],[Account Withdrawl Amount] ], )</f>
        <v>0</v>
      </c>
      <c r="Q8" s="128">
        <f>IF(Table324[[#This Row],[CODE]]=13, Table324[ [#This Row],[Account Deposit Amount] ]-Table324[ [#This Row],[Account Withdrawl Amount] ], )</f>
        <v>0</v>
      </c>
      <c r="R8" s="128">
        <f>IF(Table324[[#This Row],[CODE]]=14, Table324[ [#This Row],[Account Deposit Amount] ]-Table324[ [#This Row],[Account Withdrawl Amount] ], )</f>
        <v>0</v>
      </c>
      <c r="S8" s="128">
        <f>IF(Table324[[#This Row],[CODE]]=15, Table324[ [#This Row],[Account Deposit Amount] ]-Table324[ [#This Row],[Account Withdrawl Amount] ], )</f>
        <v>0</v>
      </c>
      <c r="T8" s="128">
        <f>IF(Table324[[#This Row],[CODE]]=16, Table324[ [#This Row],[Account Deposit Amount] ]-Table324[ [#This Row],[Account Withdrawl Amount] ], )</f>
        <v>0</v>
      </c>
      <c r="U8" s="127">
        <f>IF(Table324[[#This Row],[CODE]]=17, Table324[ [#This Row],[Account Deposit Amount] ]-Table324[ [#This Row],[Account Withdrawl Amount] ], )</f>
        <v>0</v>
      </c>
      <c r="V8" s="166"/>
    </row>
    <row r="9" spans="1:28" ht="49.2" thickBot="1">
      <c r="A9" s="150" t="s">
        <v>241</v>
      </c>
      <c r="B9" s="151">
        <v>45036</v>
      </c>
      <c r="C9" s="150" t="s">
        <v>487</v>
      </c>
      <c r="D9" s="132" t="s">
        <v>488</v>
      </c>
      <c r="E9" s="128"/>
      <c r="F9" s="150">
        <v>170</v>
      </c>
      <c r="G9" s="134">
        <f t="shared" si="2"/>
        <v>27299.5</v>
      </c>
      <c r="H9" s="156">
        <v>13</v>
      </c>
      <c r="I9" s="127">
        <f>IF(Table324[[#This Row],[CODE]]=1, Table324[ [#This Row],[Account Deposit Amount] ]-Table324[ [#This Row],[Account Withdrawl Amount] ], )</f>
        <v>0</v>
      </c>
      <c r="J9" s="129">
        <f>IF(Table324[[#This Row],[CODE]]=2, Table324[ [#This Row],[Account Deposit Amount] ]-Table324[ [#This Row],[Account Withdrawl Amount] ], )</f>
        <v>0</v>
      </c>
      <c r="K9" s="129">
        <f>IF(Table324[[#This Row],[CODE]]=3, Table324[ [#This Row],[Account Deposit Amount] ]-Table324[ [#This Row],[Account Withdrawl Amount] ], )</f>
        <v>0</v>
      </c>
      <c r="L9" s="128">
        <f>IF(Table324[[#This Row],[CODE]]=4, Table324[ [#This Row],[Account Deposit Amount] ]-Table324[ [#This Row],[Account Withdrawl Amount] ], )</f>
        <v>0</v>
      </c>
      <c r="M9" s="128">
        <f>IF(Table324[[#This Row],[CODE]]=5, Table324[ [#This Row],[Account Deposit Amount] ]-Table324[ [#This Row],[Account Withdrawl Amount] ], )</f>
        <v>0</v>
      </c>
      <c r="N9" s="128">
        <f>IF(Table324[[#This Row],[CODE]]=6, Table324[ [#This Row],[Account Deposit Amount] ]-Table324[ [#This Row],[Account Withdrawl Amount] ], )</f>
        <v>0</v>
      </c>
      <c r="O9" s="128">
        <f>IF(Table324[[#This Row],[CODE]]=11, Table324[ [#This Row],[Account Deposit Amount] ]-Table324[ [#This Row],[Account Withdrawl Amount] ], )</f>
        <v>0</v>
      </c>
      <c r="P9" s="128">
        <f>IF(Table324[[#This Row],[CODE]]=12, Table324[ [#This Row],[Account Deposit Amount] ]-Table324[ [#This Row],[Account Withdrawl Amount] ], )</f>
        <v>0</v>
      </c>
      <c r="Q9" s="128">
        <f>IF(Table324[[#This Row],[CODE]]=13, Table324[ [#This Row],[Account Deposit Amount] ]-Table324[ [#This Row],[Account Withdrawl Amount] ], )</f>
        <v>-170</v>
      </c>
      <c r="R9" s="128">
        <f>IF(Table324[[#This Row],[CODE]]=14, Table324[ [#This Row],[Account Deposit Amount] ]-Table324[ [#This Row],[Account Withdrawl Amount] ], )</f>
        <v>0</v>
      </c>
      <c r="S9" s="128">
        <f>IF(Table324[[#This Row],[CODE]]=15, Table324[ [#This Row],[Account Deposit Amount] ]-Table324[ [#This Row],[Account Withdrawl Amount] ], )</f>
        <v>0</v>
      </c>
      <c r="T9" s="128">
        <f>IF(Table324[[#This Row],[CODE]]=16, Table324[ [#This Row],[Account Deposit Amount] ]-Table324[ [#This Row],[Account Withdrawl Amount] ], )</f>
        <v>0</v>
      </c>
      <c r="U9" s="127">
        <f>IF(Table324[[#This Row],[CODE]]=17, Table324[ [#This Row],[Account Deposit Amount] ]-Table324[ [#This Row],[Account Withdrawl Amount] ], )</f>
        <v>0</v>
      </c>
      <c r="V9" s="166" t="s">
        <v>489</v>
      </c>
    </row>
    <row r="10" spans="1:28" ht="16.2" thickBot="1">
      <c r="A10" s="150" t="s">
        <v>241</v>
      </c>
      <c r="B10" s="151">
        <v>45036</v>
      </c>
      <c r="C10" s="150" t="s">
        <v>342</v>
      </c>
      <c r="D10" s="132" t="s">
        <v>343</v>
      </c>
      <c r="E10" s="128"/>
      <c r="F10" s="150">
        <v>45.23</v>
      </c>
      <c r="G10" s="134">
        <f t="shared" si="2"/>
        <v>27254.27</v>
      </c>
      <c r="H10" s="130">
        <v>13</v>
      </c>
      <c r="I10" s="127">
        <f>IF(Table324[[#This Row],[CODE]]=1, Table324[ [#This Row],[Account Deposit Amount] ]-Table324[ [#This Row],[Account Withdrawl Amount] ], )</f>
        <v>0</v>
      </c>
      <c r="J10" s="129">
        <f>IF(Table324[[#This Row],[CODE]]=2, Table324[ [#This Row],[Account Deposit Amount] ]-Table324[ [#This Row],[Account Withdrawl Amount] ], )</f>
        <v>0</v>
      </c>
      <c r="K10" s="129">
        <f>IF(Table324[[#This Row],[CODE]]=3, Table324[ [#This Row],[Account Deposit Amount] ]-Table324[ [#This Row],[Account Withdrawl Amount] ], )</f>
        <v>0</v>
      </c>
      <c r="L10" s="128">
        <f>IF(Table324[[#This Row],[CODE]]=4, Table324[ [#This Row],[Account Deposit Amount] ]-Table324[ [#This Row],[Account Withdrawl Amount] ], )</f>
        <v>0</v>
      </c>
      <c r="M10" s="128">
        <f>IF(Table324[[#This Row],[CODE]]=5, Table324[ [#This Row],[Account Deposit Amount] ]-Table324[ [#This Row],[Account Withdrawl Amount] ], )</f>
        <v>0</v>
      </c>
      <c r="N10" s="128">
        <f>IF(Table324[[#This Row],[CODE]]=6, Table324[ [#This Row],[Account Deposit Amount] ]-Table324[ [#This Row],[Account Withdrawl Amount] ], )</f>
        <v>0</v>
      </c>
      <c r="O10" s="128">
        <f>IF(Table324[[#This Row],[CODE]]=11, Table324[ [#This Row],[Account Deposit Amount] ]-Table324[ [#This Row],[Account Withdrawl Amount] ], )</f>
        <v>0</v>
      </c>
      <c r="P10" s="128">
        <f>IF(Table324[[#This Row],[CODE]]=12, Table324[ [#This Row],[Account Deposit Amount] ]-Table324[ [#This Row],[Account Withdrawl Amount] ], )</f>
        <v>0</v>
      </c>
      <c r="Q10" s="128">
        <f>IF(Table324[[#This Row],[CODE]]=13, Table324[ [#This Row],[Account Deposit Amount] ]-Table324[ [#This Row],[Account Withdrawl Amount] ], )</f>
        <v>-45.23</v>
      </c>
      <c r="R10" s="128">
        <f>IF(Table324[[#This Row],[CODE]]=14, Table324[ [#This Row],[Account Deposit Amount] ]-Table324[ [#This Row],[Account Withdrawl Amount] ], )</f>
        <v>0</v>
      </c>
      <c r="S10" s="128">
        <f>IF(Table324[[#This Row],[CODE]]=15, Table324[ [#This Row],[Account Deposit Amount] ]-Table324[ [#This Row],[Account Withdrawl Amount] ], )</f>
        <v>0</v>
      </c>
      <c r="T10" s="128">
        <f>IF(Table324[[#This Row],[CODE]]=16, Table324[ [#This Row],[Account Deposit Amount] ]-Table324[ [#This Row],[Account Withdrawl Amount] ], )</f>
        <v>0</v>
      </c>
      <c r="U10" s="127">
        <f>IF(Table324[[#This Row],[CODE]]=17, Table324[ [#This Row],[Account Deposit Amount] ]-Table324[ [#This Row],[Account Withdrawl Amount] ], )</f>
        <v>0</v>
      </c>
      <c r="V10" s="166"/>
    </row>
    <row r="11" spans="1:28" ht="25.2" thickBot="1">
      <c r="A11" s="150" t="s">
        <v>241</v>
      </c>
      <c r="B11" s="151">
        <v>45045</v>
      </c>
      <c r="C11" s="150" t="s">
        <v>456</v>
      </c>
      <c r="D11" s="132" t="s">
        <v>490</v>
      </c>
      <c r="E11" s="128"/>
      <c r="F11" s="150">
        <v>300</v>
      </c>
      <c r="G11" s="134">
        <f t="shared" si="2"/>
        <v>26954.27</v>
      </c>
      <c r="H11" s="130">
        <v>11</v>
      </c>
      <c r="I11" s="127">
        <f>IF(Table324[[#This Row],[CODE]]=1, Table324[ [#This Row],[Account Deposit Amount] ]-Table324[ [#This Row],[Account Withdrawl Amount] ], )</f>
        <v>0</v>
      </c>
      <c r="J11" s="129">
        <f>IF(Table324[[#This Row],[CODE]]=2, Table324[ [#This Row],[Account Deposit Amount] ]-Table324[ [#This Row],[Account Withdrawl Amount] ], )</f>
        <v>0</v>
      </c>
      <c r="K11" s="129">
        <f>IF(Table324[[#This Row],[CODE]]=3, Table324[ [#This Row],[Account Deposit Amount] ]-Table324[ [#This Row],[Account Withdrawl Amount] ], )</f>
        <v>0</v>
      </c>
      <c r="L11" s="128">
        <f>IF(Table324[[#This Row],[CODE]]=4, Table324[ [#This Row],[Account Deposit Amount] ]-Table324[ [#This Row],[Account Withdrawl Amount] ], )</f>
        <v>0</v>
      </c>
      <c r="M11" s="128">
        <f>IF(Table324[[#This Row],[CODE]]=5, Table324[ [#This Row],[Account Deposit Amount] ]-Table324[ [#This Row],[Account Withdrawl Amount] ], )</f>
        <v>0</v>
      </c>
      <c r="N11" s="128">
        <f>IF(Table324[[#This Row],[CODE]]=6, Table324[ [#This Row],[Account Deposit Amount] ]-Table324[ [#This Row],[Account Withdrawl Amount] ], )</f>
        <v>0</v>
      </c>
      <c r="O11" s="128">
        <f>IF(Table324[[#This Row],[CODE]]=11, Table324[ [#This Row],[Account Deposit Amount] ]-Table324[ [#This Row],[Account Withdrawl Amount] ], )</f>
        <v>-300</v>
      </c>
      <c r="P11" s="128">
        <f>IF(Table324[[#This Row],[CODE]]=12, Table324[ [#This Row],[Account Deposit Amount] ]-Table324[ [#This Row],[Account Withdrawl Amount] ], )</f>
        <v>0</v>
      </c>
      <c r="Q11" s="128">
        <f>IF(Table324[[#This Row],[CODE]]=13, Table324[ [#This Row],[Account Deposit Amount] ]-Table324[ [#This Row],[Account Withdrawl Amount] ], )</f>
        <v>0</v>
      </c>
      <c r="R11" s="128">
        <f>IF(Table324[[#This Row],[CODE]]=14, Table324[ [#This Row],[Account Deposit Amount] ]-Table324[ [#This Row],[Account Withdrawl Amount] ], )</f>
        <v>0</v>
      </c>
      <c r="S11" s="128">
        <f>IF(Table324[[#This Row],[CODE]]=15, Table324[ [#This Row],[Account Deposit Amount] ]-Table324[ [#This Row],[Account Withdrawl Amount] ], )</f>
        <v>0</v>
      </c>
      <c r="T11" s="128">
        <f>IF(Table324[[#This Row],[CODE]]=16, Table324[ [#This Row],[Account Deposit Amount] ]-Table324[ [#This Row],[Account Withdrawl Amount] ], )</f>
        <v>0</v>
      </c>
      <c r="U11" s="127">
        <f>IF(Table324[[#This Row],[CODE]]=17, Table324[ [#This Row],[Account Deposit Amount] ]-Table324[ [#This Row],[Account Withdrawl Amount] ], )</f>
        <v>0</v>
      </c>
      <c r="V11" s="166"/>
    </row>
    <row r="12" spans="1:28" ht="16.2" thickBot="1">
      <c r="A12" s="150" t="s">
        <v>241</v>
      </c>
      <c r="B12" s="151">
        <v>45045</v>
      </c>
      <c r="C12" s="150" t="s">
        <v>201</v>
      </c>
      <c r="D12" s="132" t="s">
        <v>491</v>
      </c>
      <c r="E12" s="128"/>
      <c r="F12" s="150">
        <v>45</v>
      </c>
      <c r="G12" s="134">
        <f t="shared" si="2"/>
        <v>26909.27</v>
      </c>
      <c r="H12" s="130">
        <v>12</v>
      </c>
      <c r="I12" s="127">
        <f>IF(Table324[[#This Row],[CODE]]=1, Table324[ [#This Row],[Account Deposit Amount] ]-Table324[ [#This Row],[Account Withdrawl Amount] ], )</f>
        <v>0</v>
      </c>
      <c r="J12" s="129">
        <f>IF(Table324[[#This Row],[CODE]]=2, Table324[ [#This Row],[Account Deposit Amount] ]-Table324[ [#This Row],[Account Withdrawl Amount] ], )</f>
        <v>0</v>
      </c>
      <c r="K12" s="129">
        <f>IF(Table324[[#This Row],[CODE]]=3, Table324[ [#This Row],[Account Deposit Amount] ]-Table324[ [#This Row],[Account Withdrawl Amount] ], )</f>
        <v>0</v>
      </c>
      <c r="L12" s="128">
        <f>IF(Table324[[#This Row],[CODE]]=4, Table324[ [#This Row],[Account Deposit Amount] ]-Table324[ [#This Row],[Account Withdrawl Amount] ], )</f>
        <v>0</v>
      </c>
      <c r="M12" s="128">
        <f>IF(Table324[[#This Row],[CODE]]=5, Table324[ [#This Row],[Account Deposit Amount] ]-Table324[ [#This Row],[Account Withdrawl Amount] ], )</f>
        <v>0</v>
      </c>
      <c r="N12" s="128">
        <f>IF(Table324[[#This Row],[CODE]]=6, Table324[ [#This Row],[Account Deposit Amount] ]-Table324[ [#This Row],[Account Withdrawl Amount] ], )</f>
        <v>0</v>
      </c>
      <c r="O12" s="128">
        <f>IF(Table324[[#This Row],[CODE]]=11, Table324[ [#This Row],[Account Deposit Amount] ]-Table324[ [#This Row],[Account Withdrawl Amount] ], )</f>
        <v>0</v>
      </c>
      <c r="P12" s="128">
        <f>IF(Table324[[#This Row],[CODE]]=12, Table324[ [#This Row],[Account Deposit Amount] ]-Table324[ [#This Row],[Account Withdrawl Amount] ], )</f>
        <v>-45</v>
      </c>
      <c r="Q12" s="128">
        <f>IF(Table324[[#This Row],[CODE]]=13, Table324[ [#This Row],[Account Deposit Amount] ]-Table324[ [#This Row],[Account Withdrawl Amount] ], )</f>
        <v>0</v>
      </c>
      <c r="R12" s="128">
        <f>IF(Table324[[#This Row],[CODE]]=14, Table324[ [#This Row],[Account Deposit Amount] ]-Table324[ [#This Row],[Account Withdrawl Amount] ], )</f>
        <v>0</v>
      </c>
      <c r="S12" s="128">
        <f>IF(Table324[[#This Row],[CODE]]=15, Table324[ [#This Row],[Account Deposit Amount] ]-Table324[ [#This Row],[Account Withdrawl Amount] ], )</f>
        <v>0</v>
      </c>
      <c r="T12" s="128">
        <f>IF(Table324[[#This Row],[CODE]]=16, Table324[ [#This Row],[Account Deposit Amount] ]-Table324[ [#This Row],[Account Withdrawl Amount] ], )</f>
        <v>0</v>
      </c>
      <c r="U12" s="127">
        <f>IF(Table324[[#This Row],[CODE]]=17, Table324[ [#This Row],[Account Deposit Amount] ]-Table324[ [#This Row],[Account Withdrawl Amount] ], )</f>
        <v>0</v>
      </c>
      <c r="V12" s="166"/>
    </row>
    <row r="13" spans="1:28" ht="25.2" thickBot="1">
      <c r="A13" s="150" t="s">
        <v>241</v>
      </c>
      <c r="B13" s="151">
        <v>45045</v>
      </c>
      <c r="C13" s="150" t="s">
        <v>492</v>
      </c>
      <c r="D13" s="132" t="s">
        <v>493</v>
      </c>
      <c r="E13" s="128"/>
      <c r="F13" s="150">
        <v>144</v>
      </c>
      <c r="G13" s="134">
        <f t="shared" si="2"/>
        <v>26765.27</v>
      </c>
      <c r="H13" s="130">
        <v>13</v>
      </c>
      <c r="I13" s="127">
        <f>IF(Table324[[#This Row],[CODE]]=1, Table324[ [#This Row],[Account Deposit Amount] ]-Table324[ [#This Row],[Account Withdrawl Amount] ], )</f>
        <v>0</v>
      </c>
      <c r="J13" s="129">
        <f>IF(Table324[[#This Row],[CODE]]=2, Table324[ [#This Row],[Account Deposit Amount] ]-Table324[ [#This Row],[Account Withdrawl Amount] ], )</f>
        <v>0</v>
      </c>
      <c r="K13" s="129">
        <f>IF(Table324[[#This Row],[CODE]]=3, Table324[ [#This Row],[Account Deposit Amount] ]-Table324[ [#This Row],[Account Withdrawl Amount] ], )</f>
        <v>0</v>
      </c>
      <c r="L13" s="128">
        <f>IF(Table324[[#This Row],[CODE]]=4, Table324[ [#This Row],[Account Deposit Amount] ]-Table324[ [#This Row],[Account Withdrawl Amount] ], )</f>
        <v>0</v>
      </c>
      <c r="M13" s="128">
        <f>IF(Table324[[#This Row],[CODE]]=5, Table324[ [#This Row],[Account Deposit Amount] ]-Table324[ [#This Row],[Account Withdrawl Amount] ], )</f>
        <v>0</v>
      </c>
      <c r="N13" s="128">
        <f>IF(Table324[[#This Row],[CODE]]=6, Table324[ [#This Row],[Account Deposit Amount] ]-Table324[ [#This Row],[Account Withdrawl Amount] ], )</f>
        <v>0</v>
      </c>
      <c r="O13" s="128">
        <f>IF(Table324[[#This Row],[CODE]]=11, Table324[ [#This Row],[Account Deposit Amount] ]-Table324[ [#This Row],[Account Withdrawl Amount] ], )</f>
        <v>0</v>
      </c>
      <c r="P13" s="128">
        <f>IF(Table324[[#This Row],[CODE]]=12, Table324[ [#This Row],[Account Deposit Amount] ]-Table324[ [#This Row],[Account Withdrawl Amount] ], )</f>
        <v>0</v>
      </c>
      <c r="Q13" s="128">
        <f>IF(Table324[[#This Row],[CODE]]=13, Table324[ [#This Row],[Account Deposit Amount] ]-Table324[ [#This Row],[Account Withdrawl Amount] ], )</f>
        <v>-144</v>
      </c>
      <c r="R13" s="128">
        <f>IF(Table324[[#This Row],[CODE]]=14, Table324[ [#This Row],[Account Deposit Amount] ]-Table324[ [#This Row],[Account Withdrawl Amount] ], )</f>
        <v>0</v>
      </c>
      <c r="S13" s="128">
        <f>IF(Table324[[#This Row],[CODE]]=15, Table324[ [#This Row],[Account Deposit Amount] ]-Table324[ [#This Row],[Account Withdrawl Amount] ], )</f>
        <v>0</v>
      </c>
      <c r="T13" s="128">
        <f>IF(Table324[[#This Row],[CODE]]=16, Table324[ [#This Row],[Account Deposit Amount] ]-Table324[ [#This Row],[Account Withdrawl Amount] ], )</f>
        <v>0</v>
      </c>
      <c r="U13" s="127">
        <f>IF(Table324[[#This Row],[CODE]]=17, Table324[ [#This Row],[Account Deposit Amount] ]-Table324[ [#This Row],[Account Withdrawl Amount] ], )</f>
        <v>0</v>
      </c>
      <c r="V13" s="166"/>
    </row>
    <row r="14" spans="1:28" ht="16.2" thickBot="1">
      <c r="A14" s="150" t="s">
        <v>241</v>
      </c>
      <c r="B14" s="151">
        <v>45045</v>
      </c>
      <c r="C14" s="150" t="s">
        <v>494</v>
      </c>
      <c r="D14" s="132"/>
      <c r="E14" s="128"/>
      <c r="F14" s="150">
        <v>95.4</v>
      </c>
      <c r="G14" s="134">
        <f t="shared" si="2"/>
        <v>26669.87</v>
      </c>
      <c r="H14" s="130">
        <v>14</v>
      </c>
      <c r="I14" s="127">
        <f>IF(Table324[[#This Row],[CODE]]=1, Table324[ [#This Row],[Account Deposit Amount] ]-Table324[ [#This Row],[Account Withdrawl Amount] ], )</f>
        <v>0</v>
      </c>
      <c r="J14" s="129">
        <f>IF(Table324[[#This Row],[CODE]]=2, Table324[ [#This Row],[Account Deposit Amount] ]-Table324[ [#This Row],[Account Withdrawl Amount] ], )</f>
        <v>0</v>
      </c>
      <c r="K14" s="129">
        <f>IF(Table324[[#This Row],[CODE]]=3, Table324[ [#This Row],[Account Deposit Amount] ]-Table324[ [#This Row],[Account Withdrawl Amount] ], )</f>
        <v>0</v>
      </c>
      <c r="L14" s="128">
        <f>IF(Table324[[#This Row],[CODE]]=4, Table324[ [#This Row],[Account Deposit Amount] ]-Table324[ [#This Row],[Account Withdrawl Amount] ], )</f>
        <v>0</v>
      </c>
      <c r="M14" s="128">
        <f>IF(Table324[[#This Row],[CODE]]=5, Table324[ [#This Row],[Account Deposit Amount] ]-Table324[ [#This Row],[Account Withdrawl Amount] ], )</f>
        <v>0</v>
      </c>
      <c r="N14" s="128">
        <f>IF(Table324[[#This Row],[CODE]]=6, Table324[ [#This Row],[Account Deposit Amount] ]-Table324[ [#This Row],[Account Withdrawl Amount] ], )</f>
        <v>0</v>
      </c>
      <c r="O14" s="128">
        <f>IF(Table324[[#This Row],[CODE]]=11, Table324[ [#This Row],[Account Deposit Amount] ]-Table324[ [#This Row],[Account Withdrawl Amount] ], )</f>
        <v>0</v>
      </c>
      <c r="P14" s="128">
        <f>IF(Table324[[#This Row],[CODE]]=12, Table324[ [#This Row],[Account Deposit Amount] ]-Table324[ [#This Row],[Account Withdrawl Amount] ], )</f>
        <v>0</v>
      </c>
      <c r="Q14" s="128">
        <f>IF(Table324[[#This Row],[CODE]]=13, Table324[ [#This Row],[Account Deposit Amount] ]-Table324[ [#This Row],[Account Withdrawl Amount] ], )</f>
        <v>0</v>
      </c>
      <c r="R14" s="128">
        <f>IF(Table324[[#This Row],[CODE]]=14, Table324[ [#This Row],[Account Deposit Amount] ]-Table324[ [#This Row],[Account Withdrawl Amount] ], )</f>
        <v>-95.4</v>
      </c>
      <c r="S14" s="128">
        <f>IF(Table324[[#This Row],[CODE]]=15, Table324[ [#This Row],[Account Deposit Amount] ]-Table324[ [#This Row],[Account Withdrawl Amount] ], )</f>
        <v>0</v>
      </c>
      <c r="T14" s="128">
        <f>IF(Table324[[#This Row],[CODE]]=16, Table324[ [#This Row],[Account Deposit Amount] ]-Table324[ [#This Row],[Account Withdrawl Amount] ], )</f>
        <v>0</v>
      </c>
      <c r="U14" s="127">
        <f>IF(Table324[[#This Row],[CODE]]=17, Table324[ [#This Row],[Account Deposit Amount] ]-Table324[ [#This Row],[Account Withdrawl Amount] ], )</f>
        <v>0</v>
      </c>
      <c r="V14" s="166"/>
    </row>
    <row r="15" spans="1:28" ht="16.2" thickBot="1">
      <c r="A15" s="150" t="s">
        <v>241</v>
      </c>
      <c r="B15" s="151">
        <v>45045</v>
      </c>
      <c r="C15" s="150" t="s">
        <v>494</v>
      </c>
      <c r="D15" s="132"/>
      <c r="E15" s="128"/>
      <c r="F15" s="150">
        <v>1717.2</v>
      </c>
      <c r="G15" s="134">
        <f t="shared" si="2"/>
        <v>24952.67</v>
      </c>
      <c r="H15" s="130">
        <v>14</v>
      </c>
      <c r="I15" s="127">
        <f>IF(Table324[[#This Row],[CODE]]=1, Table324[ [#This Row],[Account Deposit Amount] ]-Table324[ [#This Row],[Account Withdrawl Amount] ], )</f>
        <v>0</v>
      </c>
      <c r="J15" s="129">
        <f>IF(Table324[[#This Row],[CODE]]=2, Table324[ [#This Row],[Account Deposit Amount] ]-Table324[ [#This Row],[Account Withdrawl Amount] ], )</f>
        <v>0</v>
      </c>
      <c r="K15" s="129">
        <f>IF(Table324[[#This Row],[CODE]]=3, Table324[ [#This Row],[Account Deposit Amount] ]-Table324[ [#This Row],[Account Withdrawl Amount] ], )</f>
        <v>0</v>
      </c>
      <c r="L15" s="128">
        <f>IF(Table324[[#This Row],[CODE]]=4, Table324[ [#This Row],[Account Deposit Amount] ]-Table324[ [#This Row],[Account Withdrawl Amount] ], )</f>
        <v>0</v>
      </c>
      <c r="M15" s="128">
        <f>IF(Table324[[#This Row],[CODE]]=5, Table324[ [#This Row],[Account Deposit Amount] ]-Table324[ [#This Row],[Account Withdrawl Amount] ], )</f>
        <v>0</v>
      </c>
      <c r="N15" s="128">
        <f>IF(Table324[[#This Row],[CODE]]=6, Table324[ [#This Row],[Account Deposit Amount] ]-Table324[ [#This Row],[Account Withdrawl Amount] ], )</f>
        <v>0</v>
      </c>
      <c r="O15" s="128">
        <f>IF(Table324[[#This Row],[CODE]]=11, Table324[ [#This Row],[Account Deposit Amount] ]-Table324[ [#This Row],[Account Withdrawl Amount] ], )</f>
        <v>0</v>
      </c>
      <c r="P15" s="128">
        <f>IF(Table324[[#This Row],[CODE]]=12, Table324[ [#This Row],[Account Deposit Amount] ]-Table324[ [#This Row],[Account Withdrawl Amount] ], )</f>
        <v>0</v>
      </c>
      <c r="Q15" s="128">
        <f>IF(Table324[[#This Row],[CODE]]=13, Table324[ [#This Row],[Account Deposit Amount] ]-Table324[ [#This Row],[Account Withdrawl Amount] ], )</f>
        <v>0</v>
      </c>
      <c r="R15" s="128">
        <f>IF(Table324[[#This Row],[CODE]]=14, Table324[ [#This Row],[Account Deposit Amount] ]-Table324[ [#This Row],[Account Withdrawl Amount] ], )</f>
        <v>-1717.2</v>
      </c>
      <c r="S15" s="128">
        <f>IF(Table324[[#This Row],[CODE]]=15, Table324[ [#This Row],[Account Deposit Amount] ]-Table324[ [#This Row],[Account Withdrawl Amount] ], )</f>
        <v>0</v>
      </c>
      <c r="T15" s="128">
        <f>IF(Table324[[#This Row],[CODE]]=16, Table324[ [#This Row],[Account Deposit Amount] ]-Table324[ [#This Row],[Account Withdrawl Amount] ], )</f>
        <v>0</v>
      </c>
      <c r="U15" s="127">
        <f>IF(Table324[[#This Row],[CODE]]=17, Table324[ [#This Row],[Account Deposit Amount] ]-Table324[ [#This Row],[Account Withdrawl Amount] ], )</f>
        <v>0</v>
      </c>
      <c r="V15" s="166"/>
    </row>
    <row r="16" spans="1:28" ht="16.2" thickBot="1">
      <c r="A16" s="150" t="s">
        <v>238</v>
      </c>
      <c r="B16" s="151">
        <v>45045</v>
      </c>
      <c r="C16" s="150" t="s">
        <v>276</v>
      </c>
      <c r="D16" s="132" t="s">
        <v>495</v>
      </c>
      <c r="E16" s="128">
        <v>140</v>
      </c>
      <c r="F16" s="150"/>
      <c r="G16" s="134">
        <f t="shared" si="2"/>
        <v>25092.67</v>
      </c>
      <c r="H16" s="130">
        <v>2</v>
      </c>
      <c r="I16" s="127">
        <f>IF(Table324[[#This Row],[CODE]]=1, Table324[ [#This Row],[Account Deposit Amount] ]-Table324[ [#This Row],[Account Withdrawl Amount] ], )</f>
        <v>0</v>
      </c>
      <c r="J16" s="129">
        <f>IF(Table324[[#This Row],[CODE]]=2, Table324[ [#This Row],[Account Deposit Amount] ]-Table324[ [#This Row],[Account Withdrawl Amount] ], )</f>
        <v>140</v>
      </c>
      <c r="K16" s="129">
        <f>IF(Table324[[#This Row],[CODE]]=3, Table324[ [#This Row],[Account Deposit Amount] ]-Table324[ [#This Row],[Account Withdrawl Amount] ], )</f>
        <v>0</v>
      </c>
      <c r="L16" s="128">
        <f>IF(Table324[[#This Row],[CODE]]=4, Table324[ [#This Row],[Account Deposit Amount] ]-Table324[ [#This Row],[Account Withdrawl Amount] ], )</f>
        <v>0</v>
      </c>
      <c r="M16" s="128">
        <f>IF(Table324[[#This Row],[CODE]]=5, Table324[ [#This Row],[Account Deposit Amount] ]-Table324[ [#This Row],[Account Withdrawl Amount] ], )</f>
        <v>0</v>
      </c>
      <c r="N16" s="128">
        <f>IF(Table324[[#This Row],[CODE]]=6, Table324[ [#This Row],[Account Deposit Amount] ]-Table324[ [#This Row],[Account Withdrawl Amount] ], )</f>
        <v>0</v>
      </c>
      <c r="O16" s="128">
        <f>IF(Table324[[#This Row],[CODE]]=11, Table324[ [#This Row],[Account Deposit Amount] ]-Table324[ [#This Row],[Account Withdrawl Amount] ], )</f>
        <v>0</v>
      </c>
      <c r="P16" s="128">
        <f>IF(Table324[[#This Row],[CODE]]=12, Table324[ [#This Row],[Account Deposit Amount] ]-Table324[ [#This Row],[Account Withdrawl Amount] ], )</f>
        <v>0</v>
      </c>
      <c r="Q16" s="128">
        <f>IF(Table324[[#This Row],[CODE]]=13, Table324[ [#This Row],[Account Deposit Amount] ]-Table324[ [#This Row],[Account Withdrawl Amount] ], )</f>
        <v>0</v>
      </c>
      <c r="R16" s="128">
        <f>IF(Table324[[#This Row],[CODE]]=14, Table324[ [#This Row],[Account Deposit Amount] ]-Table324[ [#This Row],[Account Withdrawl Amount] ], )</f>
        <v>0</v>
      </c>
      <c r="S16" s="128">
        <f>IF(Table324[[#This Row],[CODE]]=15, Table324[ [#This Row],[Account Deposit Amount] ]-Table324[ [#This Row],[Account Withdrawl Amount] ], )</f>
        <v>0</v>
      </c>
      <c r="T16" s="128">
        <f>IF(Table324[[#This Row],[CODE]]=16, Table324[ [#This Row],[Account Deposit Amount] ]-Table324[ [#This Row],[Account Withdrawl Amount] ], )</f>
        <v>0</v>
      </c>
      <c r="U16" s="127">
        <f>IF(Table324[[#This Row],[CODE]]=17, Table324[ [#This Row],[Account Deposit Amount] ]-Table324[ [#This Row],[Account Withdrawl Amount] ], )</f>
        <v>0</v>
      </c>
      <c r="V16" s="166"/>
    </row>
    <row r="17" spans="1:22" ht="16.2" thickBot="1">
      <c r="A17" s="150" t="s">
        <v>238</v>
      </c>
      <c r="B17" s="151">
        <v>45046</v>
      </c>
      <c r="C17" s="150" t="s">
        <v>496</v>
      </c>
      <c r="D17" s="132" t="s">
        <v>132</v>
      </c>
      <c r="E17" s="128">
        <v>266.11</v>
      </c>
      <c r="F17" s="150"/>
      <c r="G17" s="134">
        <f t="shared" si="2"/>
        <v>25358.78</v>
      </c>
      <c r="H17" s="130">
        <v>2</v>
      </c>
      <c r="I17" s="127">
        <f>IF(Table324[[#This Row],[CODE]]=1, Table324[ [#This Row],[Account Deposit Amount] ]-Table324[ [#This Row],[Account Withdrawl Amount] ], )</f>
        <v>0</v>
      </c>
      <c r="J17" s="129">
        <f>IF(Table324[[#This Row],[CODE]]=2, Table324[ [#This Row],[Account Deposit Amount] ]-Table324[ [#This Row],[Account Withdrawl Amount] ], )</f>
        <v>266.11</v>
      </c>
      <c r="K17" s="129">
        <f>IF(Table324[[#This Row],[CODE]]=3, Table324[ [#This Row],[Account Deposit Amount] ]-Table324[ [#This Row],[Account Withdrawl Amount] ], )</f>
        <v>0</v>
      </c>
      <c r="L17" s="128">
        <f>IF(Table324[[#This Row],[CODE]]=4, Table324[ [#This Row],[Account Deposit Amount] ]-Table324[ [#This Row],[Account Withdrawl Amount] ], )</f>
        <v>0</v>
      </c>
      <c r="M17" s="128">
        <f>IF(Table324[[#This Row],[CODE]]=5, Table324[ [#This Row],[Account Deposit Amount] ]-Table324[ [#This Row],[Account Withdrawl Amount] ], )</f>
        <v>0</v>
      </c>
      <c r="N17" s="128">
        <f>IF(Table324[[#This Row],[CODE]]=6, Table324[ [#This Row],[Account Deposit Amount] ]-Table324[ [#This Row],[Account Withdrawl Amount] ], )</f>
        <v>0</v>
      </c>
      <c r="O17" s="128">
        <f>IF(Table324[[#This Row],[CODE]]=11, Table324[ [#This Row],[Account Deposit Amount] ]-Table324[ [#This Row],[Account Withdrawl Amount] ], )</f>
        <v>0</v>
      </c>
      <c r="P17" s="128">
        <f>IF(Table324[[#This Row],[CODE]]=12, Table324[ [#This Row],[Account Deposit Amount] ]-Table324[ [#This Row],[Account Withdrawl Amount] ], )</f>
        <v>0</v>
      </c>
      <c r="Q17" s="128">
        <f>IF(Table324[[#This Row],[CODE]]=13, Table324[ [#This Row],[Account Deposit Amount] ]-Table324[ [#This Row],[Account Withdrawl Amount] ], )</f>
        <v>0</v>
      </c>
      <c r="R17" s="128">
        <f>IF(Table324[[#This Row],[CODE]]=14, Table324[ [#This Row],[Account Deposit Amount] ]-Table324[ [#This Row],[Account Withdrawl Amount] ], )</f>
        <v>0</v>
      </c>
      <c r="S17" s="128">
        <f>IF(Table324[[#This Row],[CODE]]=15, Table324[ [#This Row],[Account Deposit Amount] ]-Table324[ [#This Row],[Account Withdrawl Amount] ], )</f>
        <v>0</v>
      </c>
      <c r="T17" s="128">
        <f>IF(Table324[[#This Row],[CODE]]=16, Table324[ [#This Row],[Account Deposit Amount] ]-Table324[ [#This Row],[Account Withdrawl Amount] ], )</f>
        <v>0</v>
      </c>
      <c r="U17" s="127">
        <f>IF(Table324[[#This Row],[CODE]]=17, Table324[ [#This Row],[Account Deposit Amount] ]-Table324[ [#This Row],[Account Withdrawl Amount] ], )</f>
        <v>0</v>
      </c>
      <c r="V17" s="166"/>
    </row>
    <row r="18" spans="1:22" ht="16.2" thickBot="1">
      <c r="A18" s="130"/>
      <c r="B18" s="133"/>
      <c r="C18" s="130"/>
      <c r="D18" s="132"/>
      <c r="E18" s="128"/>
      <c r="F18" s="128"/>
      <c r="G18" s="134">
        <f t="shared" si="2"/>
        <v>25358.78</v>
      </c>
      <c r="H18" s="130"/>
      <c r="I18" s="127">
        <f>IF(Table324[[#This Row],[CODE]]=1, Table324[ [#This Row],[Account Deposit Amount] ]-Table324[ [#This Row],[Account Withdrawl Amount] ], )</f>
        <v>0</v>
      </c>
      <c r="J18" s="129">
        <f>IF(Table324[[#This Row],[CODE]]=2, Table324[ [#This Row],[Account Deposit Amount] ]-Table324[ [#This Row],[Account Withdrawl Amount] ], )</f>
        <v>0</v>
      </c>
      <c r="K18" s="129">
        <f>IF(Table324[[#This Row],[CODE]]=3, Table324[ [#This Row],[Account Deposit Amount] ]-Table324[ [#This Row],[Account Withdrawl Amount] ], )</f>
        <v>0</v>
      </c>
      <c r="L18" s="128">
        <f>IF(Table324[[#This Row],[CODE]]=4, Table324[ [#This Row],[Account Deposit Amount] ]-Table324[ [#This Row],[Account Withdrawl Amount] ], )</f>
        <v>0</v>
      </c>
      <c r="M18" s="128">
        <f>IF(Table324[[#This Row],[CODE]]=5, Table324[ [#This Row],[Account Deposit Amount] ]-Table324[ [#This Row],[Account Withdrawl Amount] ], )</f>
        <v>0</v>
      </c>
      <c r="N18" s="128">
        <f>IF(Table324[[#This Row],[CODE]]=6, Table324[ [#This Row],[Account Deposit Amount] ]-Table324[ [#This Row],[Account Withdrawl Amount] ], )</f>
        <v>0</v>
      </c>
      <c r="O18" s="128">
        <f>IF(Table324[[#This Row],[CODE]]=11, Table324[ [#This Row],[Account Deposit Amount] ]-Table324[ [#This Row],[Account Withdrawl Amount] ], )</f>
        <v>0</v>
      </c>
      <c r="P18" s="128">
        <f>IF(Table324[[#This Row],[CODE]]=12, Table324[ [#This Row],[Account Deposit Amount] ]-Table324[ [#This Row],[Account Withdrawl Amount] ], )</f>
        <v>0</v>
      </c>
      <c r="Q18" s="128">
        <f>IF(Table324[[#This Row],[CODE]]=13, Table324[ [#This Row],[Account Deposit Amount] ]-Table324[ [#This Row],[Account Withdrawl Amount] ], )</f>
        <v>0</v>
      </c>
      <c r="R18" s="128">
        <f>IF(Table324[[#This Row],[CODE]]=14, Table324[ [#This Row],[Account Deposit Amount] ]-Table324[ [#This Row],[Account Withdrawl Amount] ], )</f>
        <v>0</v>
      </c>
      <c r="S18" s="128">
        <f>IF(Table324[[#This Row],[CODE]]=15, Table324[ [#This Row],[Account Deposit Amount] ]-Table324[ [#This Row],[Account Withdrawl Amount] ], )</f>
        <v>0</v>
      </c>
      <c r="T18" s="128">
        <f>IF(Table324[[#This Row],[CODE]]=16, Table324[ [#This Row],[Account Deposit Amount] ]-Table324[ [#This Row],[Account Withdrawl Amount] ], )</f>
        <v>0</v>
      </c>
      <c r="U18" s="127">
        <f>IF(Table324[[#This Row],[CODE]]=17, Table324[ [#This Row],[Account Deposit Amount] ]-Table324[ [#This Row],[Account Withdrawl Amount] ], )</f>
        <v>0</v>
      </c>
      <c r="V18" s="166"/>
    </row>
    <row r="19" spans="1:22" ht="16.2" thickBot="1">
      <c r="A19" s="130"/>
      <c r="B19" s="133"/>
      <c r="C19" s="130"/>
      <c r="D19" s="132"/>
      <c r="E19" s="150"/>
      <c r="F19" s="128"/>
      <c r="G19" s="134">
        <f t="shared" si="2"/>
        <v>25358.78</v>
      </c>
      <c r="H19" s="130"/>
      <c r="I19" s="127">
        <f>IF(Table324[[#This Row],[CODE]]=1, Table324[ [#This Row],[Account Deposit Amount] ]-Table324[ [#This Row],[Account Withdrawl Amount] ], )</f>
        <v>0</v>
      </c>
      <c r="J19" s="129">
        <f>IF(Table324[[#This Row],[CODE]]=2, Table324[ [#This Row],[Account Deposit Amount] ]-Table324[ [#This Row],[Account Withdrawl Amount] ], )</f>
        <v>0</v>
      </c>
      <c r="K19" s="129">
        <f>IF(Table324[[#This Row],[CODE]]=3, Table324[ [#This Row],[Account Deposit Amount] ]-Table324[ [#This Row],[Account Withdrawl Amount] ], )</f>
        <v>0</v>
      </c>
      <c r="L19" s="128">
        <f>IF(Table324[[#This Row],[CODE]]=4, Table324[ [#This Row],[Account Deposit Amount] ]-Table324[ [#This Row],[Account Withdrawl Amount] ], )</f>
        <v>0</v>
      </c>
      <c r="M19" s="128">
        <f>IF(Table324[[#This Row],[CODE]]=5, Table324[ [#This Row],[Account Deposit Amount] ]-Table324[ [#This Row],[Account Withdrawl Amount] ], )</f>
        <v>0</v>
      </c>
      <c r="N19" s="128">
        <f>IF(Table324[[#This Row],[CODE]]=6, Table324[ [#This Row],[Account Deposit Amount] ]-Table324[ [#This Row],[Account Withdrawl Amount] ], )</f>
        <v>0</v>
      </c>
      <c r="O19" s="128">
        <f>IF(Table324[[#This Row],[CODE]]=11, Table324[ [#This Row],[Account Deposit Amount] ]-Table324[ [#This Row],[Account Withdrawl Amount] ], )</f>
        <v>0</v>
      </c>
      <c r="P19" s="128">
        <f>IF(Table324[[#This Row],[CODE]]=12, Table324[ [#This Row],[Account Deposit Amount] ]-Table324[ [#This Row],[Account Withdrawl Amount] ], )</f>
        <v>0</v>
      </c>
      <c r="Q19" s="128">
        <f>IF(Table324[[#This Row],[CODE]]=13, Table324[ [#This Row],[Account Deposit Amount] ]-Table324[ [#This Row],[Account Withdrawl Amount] ], )</f>
        <v>0</v>
      </c>
      <c r="R19" s="128">
        <f>IF(Table324[[#This Row],[CODE]]=14, Table324[ [#This Row],[Account Deposit Amount] ]-Table324[ [#This Row],[Account Withdrawl Amount] ], )</f>
        <v>0</v>
      </c>
      <c r="S19" s="128">
        <f>IF(Table324[[#This Row],[CODE]]=15, Table324[ [#This Row],[Account Deposit Amount] ]-Table324[ [#This Row],[Account Withdrawl Amount] ], )</f>
        <v>0</v>
      </c>
      <c r="T19" s="128">
        <f>IF(Table324[[#This Row],[CODE]]=16, Table324[ [#This Row],[Account Deposit Amount] ]-Table324[ [#This Row],[Account Withdrawl Amount] ], )</f>
        <v>0</v>
      </c>
      <c r="U19" s="127">
        <f>IF(Table324[[#This Row],[CODE]]=17, Table324[ [#This Row],[Account Deposit Amount] ]-Table324[ [#This Row],[Account Withdrawl Amount] ], )</f>
        <v>0</v>
      </c>
      <c r="V19" s="166"/>
    </row>
    <row r="20" spans="1:22" ht="16.2" thickBot="1">
      <c r="A20" s="130"/>
      <c r="B20" s="133"/>
      <c r="C20" s="130"/>
      <c r="D20" s="132"/>
      <c r="E20" s="150"/>
      <c r="F20" s="128"/>
      <c r="G20" s="134">
        <f t="shared" si="2"/>
        <v>25358.78</v>
      </c>
      <c r="H20" s="130"/>
      <c r="I20" s="127">
        <f>IF(Table324[[#This Row],[CODE]]=1, Table324[ [#This Row],[Account Deposit Amount] ]-Table324[ [#This Row],[Account Withdrawl Amount] ], )</f>
        <v>0</v>
      </c>
      <c r="J20" s="129">
        <f>IF(Table324[[#This Row],[CODE]]=2, Table324[ [#This Row],[Account Deposit Amount] ]-Table324[ [#This Row],[Account Withdrawl Amount] ], )</f>
        <v>0</v>
      </c>
      <c r="K20" s="129">
        <f>IF(Table324[[#This Row],[CODE]]=3, Table324[ [#This Row],[Account Deposit Amount] ]-Table324[ [#This Row],[Account Withdrawl Amount] ], )</f>
        <v>0</v>
      </c>
      <c r="L20" s="128">
        <f>IF(Table324[[#This Row],[CODE]]=4, Table324[ [#This Row],[Account Deposit Amount] ]-Table324[ [#This Row],[Account Withdrawl Amount] ], )</f>
        <v>0</v>
      </c>
      <c r="M20" s="128">
        <f>IF(Table324[[#This Row],[CODE]]=5, Table324[ [#This Row],[Account Deposit Amount] ]-Table324[ [#This Row],[Account Withdrawl Amount] ], )</f>
        <v>0</v>
      </c>
      <c r="N20" s="128">
        <f>IF(Table324[[#This Row],[CODE]]=6, Table324[ [#This Row],[Account Deposit Amount] ]-Table324[ [#This Row],[Account Withdrawl Amount] ], )</f>
        <v>0</v>
      </c>
      <c r="O20" s="128">
        <f>IF(Table324[[#This Row],[CODE]]=11, Table324[ [#This Row],[Account Deposit Amount] ]-Table324[ [#This Row],[Account Withdrawl Amount] ], )</f>
        <v>0</v>
      </c>
      <c r="P20" s="128">
        <f>IF(Table324[[#This Row],[CODE]]=12, Table324[ [#This Row],[Account Deposit Amount] ]-Table324[ [#This Row],[Account Withdrawl Amount] ], )</f>
        <v>0</v>
      </c>
      <c r="Q20" s="128">
        <f>IF(Table324[[#This Row],[CODE]]=13, Table324[ [#This Row],[Account Deposit Amount] ]-Table324[ [#This Row],[Account Withdrawl Amount] ], )</f>
        <v>0</v>
      </c>
      <c r="R20" s="128">
        <f>IF(Table324[[#This Row],[CODE]]=14, Table324[ [#This Row],[Account Deposit Amount] ]-Table324[ [#This Row],[Account Withdrawl Amount] ], )</f>
        <v>0</v>
      </c>
      <c r="S20" s="128">
        <f>IF(Table324[[#This Row],[CODE]]=15, Table324[ [#This Row],[Account Deposit Amount] ]-Table324[ [#This Row],[Account Withdrawl Amount] ], )</f>
        <v>0</v>
      </c>
      <c r="T20" s="128">
        <f>IF(Table324[[#This Row],[CODE]]=16, Table324[ [#This Row],[Account Deposit Amount] ]-Table324[ [#This Row],[Account Withdrawl Amount] ], )</f>
        <v>0</v>
      </c>
      <c r="U20" s="127">
        <f>IF(Table324[[#This Row],[CODE]]=17, Table324[ [#This Row],[Account Deposit Amount] ]-Table324[ [#This Row],[Account Withdrawl Amount] ], )</f>
        <v>0</v>
      </c>
      <c r="V20" s="166"/>
    </row>
    <row r="21" spans="1:22" ht="16.2" thickBot="1">
      <c r="A21" s="130"/>
      <c r="B21" s="133"/>
      <c r="C21" s="130"/>
      <c r="D21" s="132"/>
      <c r="E21" s="150"/>
      <c r="F21" s="128"/>
      <c r="G21" s="134">
        <f t="shared" si="2"/>
        <v>25358.78</v>
      </c>
      <c r="H21" s="130"/>
      <c r="I21" s="127">
        <f>IF(Table324[[#This Row],[CODE]]=1, Table324[ [#This Row],[Account Deposit Amount] ]-Table324[ [#This Row],[Account Withdrawl Amount] ], )</f>
        <v>0</v>
      </c>
      <c r="J21" s="129">
        <f>IF(Table324[[#This Row],[CODE]]=2, Table324[ [#This Row],[Account Deposit Amount] ]-Table324[ [#This Row],[Account Withdrawl Amount] ], )</f>
        <v>0</v>
      </c>
      <c r="K21" s="129">
        <f>IF(Table324[[#This Row],[CODE]]=3, Table324[ [#This Row],[Account Deposit Amount] ]-Table324[ [#This Row],[Account Withdrawl Amount] ], )</f>
        <v>0</v>
      </c>
      <c r="L21" s="128">
        <f>IF(Table324[[#This Row],[CODE]]=4, Table324[ [#This Row],[Account Deposit Amount] ]-Table324[ [#This Row],[Account Withdrawl Amount] ], )</f>
        <v>0</v>
      </c>
      <c r="M21" s="128">
        <f>IF(Table324[[#This Row],[CODE]]=5, Table324[ [#This Row],[Account Deposit Amount] ]-Table324[ [#This Row],[Account Withdrawl Amount] ], )</f>
        <v>0</v>
      </c>
      <c r="N21" s="128">
        <f>IF(Table324[[#This Row],[CODE]]=6, Table324[ [#This Row],[Account Deposit Amount] ]-Table324[ [#This Row],[Account Withdrawl Amount] ], )</f>
        <v>0</v>
      </c>
      <c r="O21" s="128">
        <f>IF(Table324[[#This Row],[CODE]]=11, Table324[ [#This Row],[Account Deposit Amount] ]-Table324[ [#This Row],[Account Withdrawl Amount] ], )</f>
        <v>0</v>
      </c>
      <c r="P21" s="128">
        <f>IF(Table324[[#This Row],[CODE]]=12, Table324[ [#This Row],[Account Deposit Amount] ]-Table324[ [#This Row],[Account Withdrawl Amount] ], )</f>
        <v>0</v>
      </c>
      <c r="Q21" s="128">
        <f>IF(Table324[[#This Row],[CODE]]=13, Table324[ [#This Row],[Account Deposit Amount] ]-Table324[ [#This Row],[Account Withdrawl Amount] ], )</f>
        <v>0</v>
      </c>
      <c r="R21" s="128">
        <f>IF(Table324[[#This Row],[CODE]]=14, Table324[ [#This Row],[Account Deposit Amount] ]-Table324[ [#This Row],[Account Withdrawl Amount] ], )</f>
        <v>0</v>
      </c>
      <c r="S21" s="128">
        <f>IF(Table324[[#This Row],[CODE]]=15, Table324[ [#This Row],[Account Deposit Amount] ]-Table324[ [#This Row],[Account Withdrawl Amount] ], )</f>
        <v>0</v>
      </c>
      <c r="T21" s="128">
        <f>IF(Table324[[#This Row],[CODE]]=16, Table324[ [#This Row],[Account Deposit Amount] ]-Table324[ [#This Row],[Account Withdrawl Amount] ], )</f>
        <v>0</v>
      </c>
      <c r="U21" s="127">
        <f>IF(Table324[[#This Row],[CODE]]=17, Table324[ [#This Row],[Account Deposit Amount] ]-Table324[ [#This Row],[Account Withdrawl Amount] ], )</f>
        <v>0</v>
      </c>
      <c r="V21" s="166"/>
    </row>
    <row r="22" spans="1:22" ht="16.2" thickBot="1">
      <c r="A22" s="130"/>
      <c r="B22" s="133"/>
      <c r="C22" s="130"/>
      <c r="D22" s="132"/>
      <c r="E22" s="150"/>
      <c r="F22" s="128"/>
      <c r="G22" s="134">
        <f t="shared" si="2"/>
        <v>25358.78</v>
      </c>
      <c r="H22" s="130"/>
      <c r="I22" s="127">
        <f>IF(Table324[[#This Row],[CODE]]=1, Table324[ [#This Row],[Account Deposit Amount] ]-Table324[ [#This Row],[Account Withdrawl Amount] ], )</f>
        <v>0</v>
      </c>
      <c r="J22" s="129">
        <f>IF(Table324[[#This Row],[CODE]]=2, Table324[ [#This Row],[Account Deposit Amount] ]-Table324[ [#This Row],[Account Withdrawl Amount] ], )</f>
        <v>0</v>
      </c>
      <c r="K22" s="129">
        <f>IF(Table324[[#This Row],[CODE]]=3, Table324[ [#This Row],[Account Deposit Amount] ]-Table324[ [#This Row],[Account Withdrawl Amount] ], )</f>
        <v>0</v>
      </c>
      <c r="L22" s="128">
        <f>IF(Table324[[#This Row],[CODE]]=4, Table324[ [#This Row],[Account Deposit Amount] ]-Table324[ [#This Row],[Account Withdrawl Amount] ], )</f>
        <v>0</v>
      </c>
      <c r="M22" s="128">
        <f>IF(Table324[[#This Row],[CODE]]=5, Table324[ [#This Row],[Account Deposit Amount] ]-Table324[ [#This Row],[Account Withdrawl Amount] ], )</f>
        <v>0</v>
      </c>
      <c r="N22" s="128">
        <f>IF(Table324[[#This Row],[CODE]]=6, Table324[ [#This Row],[Account Deposit Amount] ]-Table324[ [#This Row],[Account Withdrawl Amount] ], )</f>
        <v>0</v>
      </c>
      <c r="O22" s="128">
        <f>IF(Table324[[#This Row],[CODE]]=11, Table324[ [#This Row],[Account Deposit Amount] ]-Table324[ [#This Row],[Account Withdrawl Amount] ], )</f>
        <v>0</v>
      </c>
      <c r="P22" s="128">
        <f>IF(Table324[[#This Row],[CODE]]=12, Table324[ [#This Row],[Account Deposit Amount] ]-Table324[ [#This Row],[Account Withdrawl Amount] ], )</f>
        <v>0</v>
      </c>
      <c r="Q22" s="128">
        <f>IF(Table324[[#This Row],[CODE]]=13, Table324[ [#This Row],[Account Deposit Amount] ]-Table324[ [#This Row],[Account Withdrawl Amount] ], )</f>
        <v>0</v>
      </c>
      <c r="R22" s="128">
        <f>IF(Table324[[#This Row],[CODE]]=14, Table324[ [#This Row],[Account Deposit Amount] ]-Table324[ [#This Row],[Account Withdrawl Amount] ], )</f>
        <v>0</v>
      </c>
      <c r="S22" s="128">
        <f>IF(Table324[[#This Row],[CODE]]=15, Table324[ [#This Row],[Account Deposit Amount] ]-Table324[ [#This Row],[Account Withdrawl Amount] ], )</f>
        <v>0</v>
      </c>
      <c r="T22" s="128">
        <f>IF(Table324[[#This Row],[CODE]]=16, Table324[ [#This Row],[Account Deposit Amount] ]-Table324[ [#This Row],[Account Withdrawl Amount] ], )</f>
        <v>0</v>
      </c>
      <c r="U22" s="127">
        <f>IF(Table324[[#This Row],[CODE]]=17, Table324[ [#This Row],[Account Deposit Amount] ]-Table324[ [#This Row],[Account Withdrawl Amount] ], )</f>
        <v>0</v>
      </c>
      <c r="V22" s="166"/>
    </row>
    <row r="23" spans="1:22" ht="16.2" thickBot="1">
      <c r="A23" s="130"/>
      <c r="B23" s="133"/>
      <c r="C23" s="130"/>
      <c r="D23" s="132"/>
      <c r="E23" s="150"/>
      <c r="F23" s="128"/>
      <c r="G23" s="134">
        <f t="shared" si="2"/>
        <v>25358.78</v>
      </c>
      <c r="H23" s="130"/>
      <c r="I23" s="127">
        <f>IF(Table324[[#This Row],[CODE]]=1, Table324[ [#This Row],[Account Deposit Amount] ]-Table324[ [#This Row],[Account Withdrawl Amount] ], )</f>
        <v>0</v>
      </c>
      <c r="J23" s="129">
        <f>IF(Table324[[#This Row],[CODE]]=2, Table324[ [#This Row],[Account Deposit Amount] ]-Table324[ [#This Row],[Account Withdrawl Amount] ], )</f>
        <v>0</v>
      </c>
      <c r="K23" s="129">
        <f>IF(Table324[[#This Row],[CODE]]=3, Table324[ [#This Row],[Account Deposit Amount] ]-Table324[ [#This Row],[Account Withdrawl Amount] ], )</f>
        <v>0</v>
      </c>
      <c r="L23" s="128">
        <f>IF(Table324[[#This Row],[CODE]]=4, Table324[ [#This Row],[Account Deposit Amount] ]-Table324[ [#This Row],[Account Withdrawl Amount] ], )</f>
        <v>0</v>
      </c>
      <c r="M23" s="128">
        <f>IF(Table324[[#This Row],[CODE]]=5, Table324[ [#This Row],[Account Deposit Amount] ]-Table324[ [#This Row],[Account Withdrawl Amount] ], )</f>
        <v>0</v>
      </c>
      <c r="N23" s="128">
        <f>IF(Table324[[#This Row],[CODE]]=6, Table324[ [#This Row],[Account Deposit Amount] ]-Table324[ [#This Row],[Account Withdrawl Amount] ], )</f>
        <v>0</v>
      </c>
      <c r="O23" s="128">
        <f>IF(Table324[[#This Row],[CODE]]=11, Table324[ [#This Row],[Account Deposit Amount] ]-Table324[ [#This Row],[Account Withdrawl Amount] ], )</f>
        <v>0</v>
      </c>
      <c r="P23" s="128">
        <f>IF(Table324[[#This Row],[CODE]]=12, Table324[ [#This Row],[Account Deposit Amount] ]-Table324[ [#This Row],[Account Withdrawl Amount] ], )</f>
        <v>0</v>
      </c>
      <c r="Q23" s="128">
        <f>IF(Table324[[#This Row],[CODE]]=13, Table324[ [#This Row],[Account Deposit Amount] ]-Table324[ [#This Row],[Account Withdrawl Amount] ], )</f>
        <v>0</v>
      </c>
      <c r="R23" s="128">
        <f>IF(Table324[[#This Row],[CODE]]=14, Table324[ [#This Row],[Account Deposit Amount] ]-Table324[ [#This Row],[Account Withdrawl Amount] ], )</f>
        <v>0</v>
      </c>
      <c r="S23" s="128">
        <f>IF(Table324[[#This Row],[CODE]]=15, Table324[ [#This Row],[Account Deposit Amount] ]-Table324[ [#This Row],[Account Withdrawl Amount] ], )</f>
        <v>0</v>
      </c>
      <c r="T23" s="128">
        <f>IF(Table324[[#This Row],[CODE]]=16, Table324[ [#This Row],[Account Deposit Amount] ]-Table324[ [#This Row],[Account Withdrawl Amount] ], )</f>
        <v>0</v>
      </c>
      <c r="U23" s="127">
        <f>IF(Table324[[#This Row],[CODE]]=17, Table324[ [#This Row],[Account Deposit Amount] ]-Table324[ [#This Row],[Account Withdrawl Amount] ], )</f>
        <v>0</v>
      </c>
      <c r="V23" s="166"/>
    </row>
    <row r="24" spans="1:22" ht="16.2" thickBot="1">
      <c r="A24" s="130"/>
      <c r="B24" s="133"/>
      <c r="C24" s="130"/>
      <c r="D24" s="132"/>
      <c r="E24" s="150"/>
      <c r="F24" s="128"/>
      <c r="G24" s="134">
        <f t="shared" si="2"/>
        <v>25358.78</v>
      </c>
      <c r="H24" s="130"/>
      <c r="I24" s="127">
        <f>IF(Table324[[#This Row],[CODE]]=1, Table324[ [#This Row],[Account Deposit Amount] ]-Table324[ [#This Row],[Account Withdrawl Amount] ], )</f>
        <v>0</v>
      </c>
      <c r="J24" s="129">
        <f>IF(Table324[[#This Row],[CODE]]=2, Table324[ [#This Row],[Account Deposit Amount] ]-Table324[ [#This Row],[Account Withdrawl Amount] ], )</f>
        <v>0</v>
      </c>
      <c r="K24" s="129">
        <f>IF(Table324[[#This Row],[CODE]]=3, Table324[ [#This Row],[Account Deposit Amount] ]-Table324[ [#This Row],[Account Withdrawl Amount] ], )</f>
        <v>0</v>
      </c>
      <c r="L24" s="128">
        <f>IF(Table324[[#This Row],[CODE]]=4, Table324[ [#This Row],[Account Deposit Amount] ]-Table324[ [#This Row],[Account Withdrawl Amount] ], )</f>
        <v>0</v>
      </c>
      <c r="M24" s="128">
        <f>IF(Table324[[#This Row],[CODE]]=5, Table324[ [#This Row],[Account Deposit Amount] ]-Table324[ [#This Row],[Account Withdrawl Amount] ], )</f>
        <v>0</v>
      </c>
      <c r="N24" s="128">
        <f>IF(Table324[[#This Row],[CODE]]=6, Table324[ [#This Row],[Account Deposit Amount] ]-Table324[ [#This Row],[Account Withdrawl Amount] ], )</f>
        <v>0</v>
      </c>
      <c r="O24" s="128">
        <f>IF(Table324[[#This Row],[CODE]]=11, Table324[ [#This Row],[Account Deposit Amount] ]-Table324[ [#This Row],[Account Withdrawl Amount] ], )</f>
        <v>0</v>
      </c>
      <c r="P24" s="128">
        <f>IF(Table324[[#This Row],[CODE]]=12, Table324[ [#This Row],[Account Deposit Amount] ]-Table324[ [#This Row],[Account Withdrawl Amount] ], )</f>
        <v>0</v>
      </c>
      <c r="Q24" s="128">
        <f>IF(Table324[[#This Row],[CODE]]=13, Table324[ [#This Row],[Account Deposit Amount] ]-Table324[ [#This Row],[Account Withdrawl Amount] ], )</f>
        <v>0</v>
      </c>
      <c r="R24" s="128">
        <f>IF(Table324[[#This Row],[CODE]]=14, Table324[ [#This Row],[Account Deposit Amount] ]-Table324[ [#This Row],[Account Withdrawl Amount] ], )</f>
        <v>0</v>
      </c>
      <c r="S24" s="128">
        <f>IF(Table324[[#This Row],[CODE]]=15, Table324[ [#This Row],[Account Deposit Amount] ]-Table324[ [#This Row],[Account Withdrawl Amount] ], )</f>
        <v>0</v>
      </c>
      <c r="T24" s="128">
        <f>IF(Table324[[#This Row],[CODE]]=16, Table324[ [#This Row],[Account Deposit Amount] ]-Table324[ [#This Row],[Account Withdrawl Amount] ], )</f>
        <v>0</v>
      </c>
      <c r="U24" s="127">
        <f>IF(Table324[[#This Row],[CODE]]=17, Table324[ [#This Row],[Account Deposit Amount] ]-Table324[ [#This Row],[Account Withdrawl Amount] ], )</f>
        <v>0</v>
      </c>
      <c r="V24" s="166"/>
    </row>
    <row r="25" spans="1:22" ht="16.2" thickBot="1">
      <c r="A25" s="130"/>
      <c r="B25" s="133"/>
      <c r="C25" s="130"/>
      <c r="D25" s="132"/>
      <c r="E25" s="150"/>
      <c r="F25" s="128"/>
      <c r="G25" s="134">
        <f t="shared" si="2"/>
        <v>25358.78</v>
      </c>
      <c r="H25" s="130"/>
      <c r="I25" s="127">
        <f>IF(Table324[[#This Row],[CODE]]=1, Table324[ [#This Row],[Account Deposit Amount] ]-Table324[ [#This Row],[Account Withdrawl Amount] ], )</f>
        <v>0</v>
      </c>
      <c r="J25" s="129">
        <f>IF(Table324[[#This Row],[CODE]]=2, Table324[ [#This Row],[Account Deposit Amount] ]-Table324[ [#This Row],[Account Withdrawl Amount] ], )</f>
        <v>0</v>
      </c>
      <c r="K25" s="129">
        <f>IF(Table324[[#This Row],[CODE]]=3, Table324[ [#This Row],[Account Deposit Amount] ]-Table324[ [#This Row],[Account Withdrawl Amount] ], )</f>
        <v>0</v>
      </c>
      <c r="L25" s="128">
        <f>IF(Table324[[#This Row],[CODE]]=4, Table324[ [#This Row],[Account Deposit Amount] ]-Table324[ [#This Row],[Account Withdrawl Amount] ], )</f>
        <v>0</v>
      </c>
      <c r="M25" s="128">
        <f>IF(Table324[[#This Row],[CODE]]=5, Table324[ [#This Row],[Account Deposit Amount] ]-Table324[ [#This Row],[Account Withdrawl Amount] ], )</f>
        <v>0</v>
      </c>
      <c r="N25" s="128">
        <f>IF(Table324[[#This Row],[CODE]]=6, Table324[ [#This Row],[Account Deposit Amount] ]-Table324[ [#This Row],[Account Withdrawl Amount] ], )</f>
        <v>0</v>
      </c>
      <c r="O25" s="128">
        <f>IF(Table324[[#This Row],[CODE]]=11, Table324[ [#This Row],[Account Deposit Amount] ]-Table324[ [#This Row],[Account Withdrawl Amount] ], )</f>
        <v>0</v>
      </c>
      <c r="P25" s="128">
        <f>IF(Table324[[#This Row],[CODE]]=12, Table324[ [#This Row],[Account Deposit Amount] ]-Table324[ [#This Row],[Account Withdrawl Amount] ], )</f>
        <v>0</v>
      </c>
      <c r="Q25" s="128">
        <f>IF(Table324[[#This Row],[CODE]]=13, Table324[ [#This Row],[Account Deposit Amount] ]-Table324[ [#This Row],[Account Withdrawl Amount] ], )</f>
        <v>0</v>
      </c>
      <c r="R25" s="128">
        <f>IF(Table324[[#This Row],[CODE]]=14, Table324[ [#This Row],[Account Deposit Amount] ]-Table324[ [#This Row],[Account Withdrawl Amount] ], )</f>
        <v>0</v>
      </c>
      <c r="S25" s="128">
        <f>IF(Table324[[#This Row],[CODE]]=15, Table324[ [#This Row],[Account Deposit Amount] ]-Table324[ [#This Row],[Account Withdrawl Amount] ], )</f>
        <v>0</v>
      </c>
      <c r="T25" s="128">
        <f>IF(Table324[[#This Row],[CODE]]=16, Table324[ [#This Row],[Account Deposit Amount] ]-Table324[ [#This Row],[Account Withdrawl Amount] ], )</f>
        <v>0</v>
      </c>
      <c r="U25" s="127">
        <f>IF(Table324[[#This Row],[CODE]]=17, Table324[ [#This Row],[Account Deposit Amount] ]-Table324[ [#This Row],[Account Withdrawl Amount] ], )</f>
        <v>0</v>
      </c>
      <c r="V25" s="166"/>
    </row>
    <row r="26" spans="1:22" ht="16.2" thickBot="1">
      <c r="A26" s="130"/>
      <c r="B26" s="133"/>
      <c r="C26" s="130"/>
      <c r="D26" s="132"/>
      <c r="E26" s="150"/>
      <c r="F26" s="128"/>
      <c r="G26" s="134">
        <f t="shared" si="2"/>
        <v>25358.78</v>
      </c>
      <c r="H26" s="130"/>
      <c r="I26" s="127">
        <f>IF(Table324[[#This Row],[CODE]]=1, Table324[ [#This Row],[Account Deposit Amount] ]-Table324[ [#This Row],[Account Withdrawl Amount] ], )</f>
        <v>0</v>
      </c>
      <c r="J26" s="129">
        <f>IF(Table324[[#This Row],[CODE]]=2, Table324[ [#This Row],[Account Deposit Amount] ]-Table324[ [#This Row],[Account Withdrawl Amount] ], )</f>
        <v>0</v>
      </c>
      <c r="K26" s="129">
        <f>IF(Table324[[#This Row],[CODE]]=3, Table324[ [#This Row],[Account Deposit Amount] ]-Table324[ [#This Row],[Account Withdrawl Amount] ], )</f>
        <v>0</v>
      </c>
      <c r="L26" s="128">
        <f>IF(Table324[[#This Row],[CODE]]=4, Table324[ [#This Row],[Account Deposit Amount] ]-Table324[ [#This Row],[Account Withdrawl Amount] ], )</f>
        <v>0</v>
      </c>
      <c r="M26" s="128">
        <f>IF(Table324[[#This Row],[CODE]]=5, Table324[ [#This Row],[Account Deposit Amount] ]-Table324[ [#This Row],[Account Withdrawl Amount] ], )</f>
        <v>0</v>
      </c>
      <c r="N26" s="128">
        <f>IF(Table324[[#This Row],[CODE]]=6, Table324[ [#This Row],[Account Deposit Amount] ]-Table324[ [#This Row],[Account Withdrawl Amount] ], )</f>
        <v>0</v>
      </c>
      <c r="O26" s="128">
        <f>IF(Table324[[#This Row],[CODE]]=11, Table324[ [#This Row],[Account Deposit Amount] ]-Table324[ [#This Row],[Account Withdrawl Amount] ], )</f>
        <v>0</v>
      </c>
      <c r="P26" s="128">
        <f>IF(Table324[[#This Row],[CODE]]=12, Table324[ [#This Row],[Account Deposit Amount] ]-Table324[ [#This Row],[Account Withdrawl Amount] ], )</f>
        <v>0</v>
      </c>
      <c r="Q26" s="128">
        <f>IF(Table324[[#This Row],[CODE]]=13, Table324[ [#This Row],[Account Deposit Amount] ]-Table324[ [#This Row],[Account Withdrawl Amount] ], )</f>
        <v>0</v>
      </c>
      <c r="R26" s="128">
        <f>IF(Table324[[#This Row],[CODE]]=14, Table324[ [#This Row],[Account Deposit Amount] ]-Table324[ [#This Row],[Account Withdrawl Amount] ], )</f>
        <v>0</v>
      </c>
      <c r="S26" s="128">
        <f>IF(Table324[[#This Row],[CODE]]=15, Table324[ [#This Row],[Account Deposit Amount] ]-Table324[ [#This Row],[Account Withdrawl Amount] ], )</f>
        <v>0</v>
      </c>
      <c r="T26" s="128">
        <f>IF(Table324[[#This Row],[CODE]]=16, Table324[ [#This Row],[Account Deposit Amount] ]-Table324[ [#This Row],[Account Withdrawl Amount] ], )</f>
        <v>0</v>
      </c>
      <c r="U26" s="127">
        <f>IF(Table324[[#This Row],[CODE]]=17, Table324[ [#This Row],[Account Deposit Amount] ]-Table324[ [#This Row],[Account Withdrawl Amount] ], )</f>
        <v>0</v>
      </c>
      <c r="V26" s="166"/>
    </row>
    <row r="27" spans="1:22" ht="16.2" thickBot="1">
      <c r="A27" s="130"/>
      <c r="B27" s="133"/>
      <c r="C27" s="130"/>
      <c r="D27" s="132"/>
      <c r="E27" s="150"/>
      <c r="F27" s="128"/>
      <c r="G27" s="134">
        <f t="shared" si="2"/>
        <v>25358.78</v>
      </c>
      <c r="H27" s="130"/>
      <c r="I27" s="127">
        <f>IF(Table324[[#This Row],[CODE]]=1, Table324[ [#This Row],[Account Deposit Amount] ]-Table324[ [#This Row],[Account Withdrawl Amount] ], )</f>
        <v>0</v>
      </c>
      <c r="J27" s="129">
        <f>IF(Table324[[#This Row],[CODE]]=2, Table324[ [#This Row],[Account Deposit Amount] ]-Table324[ [#This Row],[Account Withdrawl Amount] ], )</f>
        <v>0</v>
      </c>
      <c r="K27" s="129">
        <f>IF(Table324[[#This Row],[CODE]]=3, Table324[ [#This Row],[Account Deposit Amount] ]-Table324[ [#This Row],[Account Withdrawl Amount] ], )</f>
        <v>0</v>
      </c>
      <c r="L27" s="128">
        <f>IF(Table324[[#This Row],[CODE]]=4, Table324[ [#This Row],[Account Deposit Amount] ]-Table324[ [#This Row],[Account Withdrawl Amount] ], )</f>
        <v>0</v>
      </c>
      <c r="M27" s="128">
        <f>IF(Table324[[#This Row],[CODE]]=5, Table324[ [#This Row],[Account Deposit Amount] ]-Table324[ [#This Row],[Account Withdrawl Amount] ], )</f>
        <v>0</v>
      </c>
      <c r="N27" s="128">
        <f>IF(Table324[[#This Row],[CODE]]=6, Table324[ [#This Row],[Account Deposit Amount] ]-Table324[ [#This Row],[Account Withdrawl Amount] ], )</f>
        <v>0</v>
      </c>
      <c r="O27" s="128">
        <f>IF(Table324[[#This Row],[CODE]]=11, Table324[ [#This Row],[Account Deposit Amount] ]-Table324[ [#This Row],[Account Withdrawl Amount] ], )</f>
        <v>0</v>
      </c>
      <c r="P27" s="128">
        <f>IF(Table324[[#This Row],[CODE]]=12, Table324[ [#This Row],[Account Deposit Amount] ]-Table324[ [#This Row],[Account Withdrawl Amount] ], )</f>
        <v>0</v>
      </c>
      <c r="Q27" s="128">
        <f>IF(Table324[[#This Row],[CODE]]=13, Table324[ [#This Row],[Account Deposit Amount] ]-Table324[ [#This Row],[Account Withdrawl Amount] ], )</f>
        <v>0</v>
      </c>
      <c r="R27" s="128">
        <f>IF(Table324[[#This Row],[CODE]]=14, Table324[ [#This Row],[Account Deposit Amount] ]-Table324[ [#This Row],[Account Withdrawl Amount] ], )</f>
        <v>0</v>
      </c>
      <c r="S27" s="128">
        <f>IF(Table324[[#This Row],[CODE]]=15, Table324[ [#This Row],[Account Deposit Amount] ]-Table324[ [#This Row],[Account Withdrawl Amount] ], )</f>
        <v>0</v>
      </c>
      <c r="T27" s="128">
        <f>IF(Table324[[#This Row],[CODE]]=16, Table324[ [#This Row],[Account Deposit Amount] ]-Table324[ [#This Row],[Account Withdrawl Amount] ], )</f>
        <v>0</v>
      </c>
      <c r="U27" s="127">
        <f>IF(Table324[[#This Row],[CODE]]=17, Table324[ [#This Row],[Account Deposit Amount] ]-Table324[ [#This Row],[Account Withdrawl Amount] ], )</f>
        <v>0</v>
      </c>
      <c r="V27" s="166"/>
    </row>
    <row r="28" spans="1:22" ht="16.2" thickBot="1">
      <c r="A28" s="130"/>
      <c r="B28" s="133"/>
      <c r="C28" s="130"/>
      <c r="D28" s="132"/>
      <c r="E28" s="150"/>
      <c r="F28" s="128"/>
      <c r="G28" s="134">
        <f t="shared" si="2"/>
        <v>25358.78</v>
      </c>
      <c r="H28" s="130"/>
      <c r="I28" s="127">
        <f>IF(Table324[[#This Row],[CODE]]=1, Table324[ [#This Row],[Account Deposit Amount] ]-Table324[ [#This Row],[Account Withdrawl Amount] ], )</f>
        <v>0</v>
      </c>
      <c r="J28" s="129">
        <f>IF(Table324[[#This Row],[CODE]]=2, Table324[ [#This Row],[Account Deposit Amount] ]-Table324[ [#This Row],[Account Withdrawl Amount] ], )</f>
        <v>0</v>
      </c>
      <c r="K28" s="129">
        <f>IF(Table324[[#This Row],[CODE]]=3, Table324[ [#This Row],[Account Deposit Amount] ]-Table324[ [#This Row],[Account Withdrawl Amount] ], )</f>
        <v>0</v>
      </c>
      <c r="L28" s="128">
        <f>IF(Table324[[#This Row],[CODE]]=4, Table324[ [#This Row],[Account Deposit Amount] ]-Table324[ [#This Row],[Account Withdrawl Amount] ], )</f>
        <v>0</v>
      </c>
      <c r="M28" s="128">
        <f>IF(Table324[[#This Row],[CODE]]=5, Table324[ [#This Row],[Account Deposit Amount] ]-Table324[ [#This Row],[Account Withdrawl Amount] ], )</f>
        <v>0</v>
      </c>
      <c r="N28" s="128">
        <f>IF(Table324[[#This Row],[CODE]]=6, Table324[ [#This Row],[Account Deposit Amount] ]-Table324[ [#This Row],[Account Withdrawl Amount] ], )</f>
        <v>0</v>
      </c>
      <c r="O28" s="128">
        <f>IF(Table324[[#This Row],[CODE]]=11, Table324[ [#This Row],[Account Deposit Amount] ]-Table324[ [#This Row],[Account Withdrawl Amount] ], )</f>
        <v>0</v>
      </c>
      <c r="P28" s="128">
        <f>IF(Table324[[#This Row],[CODE]]=12, Table324[ [#This Row],[Account Deposit Amount] ]-Table324[ [#This Row],[Account Withdrawl Amount] ], )</f>
        <v>0</v>
      </c>
      <c r="Q28" s="128">
        <f>IF(Table324[[#This Row],[CODE]]=13, Table324[ [#This Row],[Account Deposit Amount] ]-Table324[ [#This Row],[Account Withdrawl Amount] ], )</f>
        <v>0</v>
      </c>
      <c r="R28" s="128">
        <f>IF(Table324[[#This Row],[CODE]]=14, Table324[ [#This Row],[Account Deposit Amount] ]-Table324[ [#This Row],[Account Withdrawl Amount] ], )</f>
        <v>0</v>
      </c>
      <c r="S28" s="128">
        <f>IF(Table324[[#This Row],[CODE]]=15, Table324[ [#This Row],[Account Deposit Amount] ]-Table324[ [#This Row],[Account Withdrawl Amount] ], )</f>
        <v>0</v>
      </c>
      <c r="T28" s="128">
        <f>IF(Table324[[#This Row],[CODE]]=16, Table324[ [#This Row],[Account Deposit Amount] ]-Table324[ [#This Row],[Account Withdrawl Amount] ], )</f>
        <v>0</v>
      </c>
      <c r="U28" s="127">
        <f>IF(Table324[[#This Row],[CODE]]=17, Table324[ [#This Row],[Account Deposit Amount] ]-Table324[ [#This Row],[Account Withdrawl Amount] ], )</f>
        <v>0</v>
      </c>
      <c r="V28" s="166"/>
    </row>
    <row r="29" spans="1:22" ht="16.2" thickBot="1">
      <c r="A29" s="130"/>
      <c r="B29" s="133"/>
      <c r="C29" s="130"/>
      <c r="D29" s="132"/>
      <c r="E29" s="150"/>
      <c r="F29" s="128"/>
      <c r="G29" s="134">
        <f t="shared" si="2"/>
        <v>25358.78</v>
      </c>
      <c r="H29" s="130"/>
      <c r="I29" s="127">
        <f>IF(Table324[[#This Row],[CODE]]=1, Table324[ [#This Row],[Account Deposit Amount] ]-Table324[ [#This Row],[Account Withdrawl Amount] ], )</f>
        <v>0</v>
      </c>
      <c r="J29" s="129">
        <f>IF(Table324[[#This Row],[CODE]]=2, Table324[ [#This Row],[Account Deposit Amount] ]-Table324[ [#This Row],[Account Withdrawl Amount] ], )</f>
        <v>0</v>
      </c>
      <c r="K29" s="129">
        <f>IF(Table324[[#This Row],[CODE]]=3, Table324[ [#This Row],[Account Deposit Amount] ]-Table324[ [#This Row],[Account Withdrawl Amount] ], )</f>
        <v>0</v>
      </c>
      <c r="L29" s="128">
        <f>IF(Table324[[#This Row],[CODE]]=4, Table324[ [#This Row],[Account Deposit Amount] ]-Table324[ [#This Row],[Account Withdrawl Amount] ], )</f>
        <v>0</v>
      </c>
      <c r="M29" s="128">
        <f>IF(Table324[[#This Row],[CODE]]=5, Table324[ [#This Row],[Account Deposit Amount] ]-Table324[ [#This Row],[Account Withdrawl Amount] ], )</f>
        <v>0</v>
      </c>
      <c r="N29" s="128">
        <f>IF(Table324[[#This Row],[CODE]]=6, Table324[ [#This Row],[Account Deposit Amount] ]-Table324[ [#This Row],[Account Withdrawl Amount] ], )</f>
        <v>0</v>
      </c>
      <c r="O29" s="128">
        <f>IF(Table324[[#This Row],[CODE]]=11, Table324[ [#This Row],[Account Deposit Amount] ]-Table324[ [#This Row],[Account Withdrawl Amount] ], )</f>
        <v>0</v>
      </c>
      <c r="P29" s="128">
        <f>IF(Table324[[#This Row],[CODE]]=12, Table324[ [#This Row],[Account Deposit Amount] ]-Table324[ [#This Row],[Account Withdrawl Amount] ], )</f>
        <v>0</v>
      </c>
      <c r="Q29" s="128">
        <f>IF(Table324[[#This Row],[CODE]]=13, Table324[ [#This Row],[Account Deposit Amount] ]-Table324[ [#This Row],[Account Withdrawl Amount] ], )</f>
        <v>0</v>
      </c>
      <c r="R29" s="128">
        <f>IF(Table324[[#This Row],[CODE]]=14, Table324[ [#This Row],[Account Deposit Amount] ]-Table324[ [#This Row],[Account Withdrawl Amount] ], )</f>
        <v>0</v>
      </c>
      <c r="S29" s="128">
        <f>IF(Table324[[#This Row],[CODE]]=15, Table324[ [#This Row],[Account Deposit Amount] ]-Table324[ [#This Row],[Account Withdrawl Amount] ], )</f>
        <v>0</v>
      </c>
      <c r="T29" s="128">
        <f>IF(Table324[[#This Row],[CODE]]=16, Table324[ [#This Row],[Account Deposit Amount] ]-Table324[ [#This Row],[Account Withdrawl Amount] ], )</f>
        <v>0</v>
      </c>
      <c r="U29" s="127">
        <f>IF(Table324[[#This Row],[CODE]]=17, Table324[ [#This Row],[Account Deposit Amount] ]-Table324[ [#This Row],[Account Withdrawl Amount] ], )</f>
        <v>0</v>
      </c>
      <c r="V29" s="166"/>
    </row>
    <row r="30" spans="1:22" ht="16.2" thickBot="1">
      <c r="A30" s="130"/>
      <c r="B30" s="133"/>
      <c r="C30" s="130"/>
      <c r="D30" s="132"/>
      <c r="E30" s="150"/>
      <c r="F30" s="128"/>
      <c r="G30" s="134">
        <f t="shared" si="2"/>
        <v>25358.78</v>
      </c>
      <c r="H30" s="130"/>
      <c r="I30" s="127">
        <f>IF(Table324[[#This Row],[CODE]]=1, Table324[ [#This Row],[Account Deposit Amount] ]-Table324[ [#This Row],[Account Withdrawl Amount] ], )</f>
        <v>0</v>
      </c>
      <c r="J30" s="129">
        <f>IF(Table324[[#This Row],[CODE]]=2, Table324[ [#This Row],[Account Deposit Amount] ]-Table324[ [#This Row],[Account Withdrawl Amount] ], )</f>
        <v>0</v>
      </c>
      <c r="K30" s="129">
        <f>IF(Table324[[#This Row],[CODE]]=3, Table324[ [#This Row],[Account Deposit Amount] ]-Table324[ [#This Row],[Account Withdrawl Amount] ], )</f>
        <v>0</v>
      </c>
      <c r="L30" s="128">
        <f>IF(Table324[[#This Row],[CODE]]=4, Table324[ [#This Row],[Account Deposit Amount] ]-Table324[ [#This Row],[Account Withdrawl Amount] ], )</f>
        <v>0</v>
      </c>
      <c r="M30" s="128">
        <f>IF(Table324[[#This Row],[CODE]]=5, Table324[ [#This Row],[Account Deposit Amount] ]-Table324[ [#This Row],[Account Withdrawl Amount] ], )</f>
        <v>0</v>
      </c>
      <c r="N30" s="128">
        <f>IF(Table324[[#This Row],[CODE]]=6, Table324[ [#This Row],[Account Deposit Amount] ]-Table324[ [#This Row],[Account Withdrawl Amount] ], )</f>
        <v>0</v>
      </c>
      <c r="O30" s="128">
        <f>IF(Table324[[#This Row],[CODE]]=11, Table324[ [#This Row],[Account Deposit Amount] ]-Table324[ [#This Row],[Account Withdrawl Amount] ], )</f>
        <v>0</v>
      </c>
      <c r="P30" s="128">
        <f>IF(Table324[[#This Row],[CODE]]=12, Table324[ [#This Row],[Account Deposit Amount] ]-Table324[ [#This Row],[Account Withdrawl Amount] ], )</f>
        <v>0</v>
      </c>
      <c r="Q30" s="128">
        <f>IF(Table324[[#This Row],[CODE]]=13, Table324[ [#This Row],[Account Deposit Amount] ]-Table324[ [#This Row],[Account Withdrawl Amount] ], )</f>
        <v>0</v>
      </c>
      <c r="R30" s="128">
        <f>IF(Table324[[#This Row],[CODE]]=14, Table324[ [#This Row],[Account Deposit Amount] ]-Table324[ [#This Row],[Account Withdrawl Amount] ], )</f>
        <v>0</v>
      </c>
      <c r="S30" s="128">
        <f>IF(Table324[[#This Row],[CODE]]=15, Table324[ [#This Row],[Account Deposit Amount] ]-Table324[ [#This Row],[Account Withdrawl Amount] ], )</f>
        <v>0</v>
      </c>
      <c r="T30" s="128">
        <f>IF(Table324[[#This Row],[CODE]]=16, Table324[ [#This Row],[Account Deposit Amount] ]-Table324[ [#This Row],[Account Withdrawl Amount] ], )</f>
        <v>0</v>
      </c>
      <c r="U30" s="127">
        <f>IF(Table324[[#This Row],[CODE]]=17, Table324[ [#This Row],[Account Deposit Amount] ]-Table324[ [#This Row],[Account Withdrawl Amount] ], )</f>
        <v>0</v>
      </c>
      <c r="V30" s="166"/>
    </row>
    <row r="31" spans="1:22" ht="16.2" thickBot="1">
      <c r="A31" s="130"/>
      <c r="B31" s="133"/>
      <c r="C31" s="130"/>
      <c r="D31" s="132"/>
      <c r="E31" s="150"/>
      <c r="F31" s="128"/>
      <c r="G31" s="134">
        <f t="shared" si="2"/>
        <v>25358.78</v>
      </c>
      <c r="H31" s="130"/>
      <c r="I31" s="127">
        <f>IF(Table324[[#This Row],[CODE]]=1, Table324[ [#This Row],[Account Deposit Amount] ]-Table324[ [#This Row],[Account Withdrawl Amount] ], )</f>
        <v>0</v>
      </c>
      <c r="J31" s="129">
        <f>IF(Table324[[#This Row],[CODE]]=2, Table324[ [#This Row],[Account Deposit Amount] ]-Table324[ [#This Row],[Account Withdrawl Amount] ], )</f>
        <v>0</v>
      </c>
      <c r="K31" s="129">
        <f>IF(Table324[[#This Row],[CODE]]=3, Table324[ [#This Row],[Account Deposit Amount] ]-Table324[ [#This Row],[Account Withdrawl Amount] ], )</f>
        <v>0</v>
      </c>
      <c r="L31" s="128">
        <f>IF(Table324[[#This Row],[CODE]]=4, Table324[ [#This Row],[Account Deposit Amount] ]-Table324[ [#This Row],[Account Withdrawl Amount] ], )</f>
        <v>0</v>
      </c>
      <c r="M31" s="128">
        <f>IF(Table324[[#This Row],[CODE]]=5, Table324[ [#This Row],[Account Deposit Amount] ]-Table324[ [#This Row],[Account Withdrawl Amount] ], )</f>
        <v>0</v>
      </c>
      <c r="N31" s="128">
        <f>IF(Table324[[#This Row],[CODE]]=6, Table324[ [#This Row],[Account Deposit Amount] ]-Table324[ [#This Row],[Account Withdrawl Amount] ], )</f>
        <v>0</v>
      </c>
      <c r="O31" s="128">
        <f>IF(Table324[[#This Row],[CODE]]=11, Table324[ [#This Row],[Account Deposit Amount] ]-Table324[ [#This Row],[Account Withdrawl Amount] ], )</f>
        <v>0</v>
      </c>
      <c r="P31" s="128">
        <f>IF(Table324[[#This Row],[CODE]]=12, Table324[ [#This Row],[Account Deposit Amount] ]-Table324[ [#This Row],[Account Withdrawl Amount] ], )</f>
        <v>0</v>
      </c>
      <c r="Q31" s="128">
        <f>IF(Table324[[#This Row],[CODE]]=13, Table324[ [#This Row],[Account Deposit Amount] ]-Table324[ [#This Row],[Account Withdrawl Amount] ], )</f>
        <v>0</v>
      </c>
      <c r="R31" s="128">
        <f>IF(Table324[[#This Row],[CODE]]=14, Table324[ [#This Row],[Account Deposit Amount] ]-Table324[ [#This Row],[Account Withdrawl Amount] ], )</f>
        <v>0</v>
      </c>
      <c r="S31" s="128">
        <f>IF(Table324[[#This Row],[CODE]]=15, Table324[ [#This Row],[Account Deposit Amount] ]-Table324[ [#This Row],[Account Withdrawl Amount] ], )</f>
        <v>0</v>
      </c>
      <c r="T31" s="128">
        <f>IF(Table324[[#This Row],[CODE]]=16, Table324[ [#This Row],[Account Deposit Amount] ]-Table324[ [#This Row],[Account Withdrawl Amount] ], )</f>
        <v>0</v>
      </c>
      <c r="U31" s="127">
        <f>IF(Table324[[#This Row],[CODE]]=17, Table324[ [#This Row],[Account Deposit Amount] ]-Table324[ [#This Row],[Account Withdrawl Amount] ], )</f>
        <v>0</v>
      </c>
      <c r="V31" s="166"/>
    </row>
    <row r="32" spans="1:22" ht="16.2" thickBot="1">
      <c r="A32" s="130"/>
      <c r="B32" s="133"/>
      <c r="C32" s="130"/>
      <c r="D32" s="132"/>
      <c r="E32" s="128"/>
      <c r="F32" s="128"/>
      <c r="G32" s="134">
        <f t="shared" si="2"/>
        <v>25358.78</v>
      </c>
      <c r="H32" s="130"/>
      <c r="I32" s="127">
        <f>IF(Table324[[#This Row],[CODE]]=1, Table324[ [#This Row],[Account Deposit Amount] ]-Table324[ [#This Row],[Account Withdrawl Amount] ], )</f>
        <v>0</v>
      </c>
      <c r="J32" s="129">
        <f>IF(Table324[[#This Row],[CODE]]=2, Table324[ [#This Row],[Account Deposit Amount] ]-Table324[ [#This Row],[Account Withdrawl Amount] ], )</f>
        <v>0</v>
      </c>
      <c r="K32" s="129">
        <f>IF(Table324[[#This Row],[CODE]]=3, Table324[ [#This Row],[Account Deposit Amount] ]-Table324[ [#This Row],[Account Withdrawl Amount] ], )</f>
        <v>0</v>
      </c>
      <c r="L32" s="128">
        <f>IF(Table324[[#This Row],[CODE]]=4, Table324[ [#This Row],[Account Deposit Amount] ]-Table324[ [#This Row],[Account Withdrawl Amount] ], )</f>
        <v>0</v>
      </c>
      <c r="M32" s="128">
        <f>IF(Table324[[#This Row],[CODE]]=5, Table324[ [#This Row],[Account Deposit Amount] ]-Table324[ [#This Row],[Account Withdrawl Amount] ], )</f>
        <v>0</v>
      </c>
      <c r="N32" s="128">
        <f>IF(Table324[[#This Row],[CODE]]=6, Table324[ [#This Row],[Account Deposit Amount] ]-Table324[ [#This Row],[Account Withdrawl Amount] ], )</f>
        <v>0</v>
      </c>
      <c r="O32" s="128">
        <f>IF(Table324[[#This Row],[CODE]]=11, Table324[ [#This Row],[Account Deposit Amount] ]-Table324[ [#This Row],[Account Withdrawl Amount] ], )</f>
        <v>0</v>
      </c>
      <c r="P32" s="128">
        <f>IF(Table324[[#This Row],[CODE]]=12, Table324[ [#This Row],[Account Deposit Amount] ]-Table324[ [#This Row],[Account Withdrawl Amount] ], )</f>
        <v>0</v>
      </c>
      <c r="Q32" s="128">
        <f>IF(Table324[[#This Row],[CODE]]=13, Table324[ [#This Row],[Account Deposit Amount] ]-Table324[ [#This Row],[Account Withdrawl Amount] ], )</f>
        <v>0</v>
      </c>
      <c r="R32" s="128">
        <f>IF(Table324[[#This Row],[CODE]]=14, Table324[ [#This Row],[Account Deposit Amount] ]-Table324[ [#This Row],[Account Withdrawl Amount] ], )</f>
        <v>0</v>
      </c>
      <c r="S32" s="128">
        <f>IF(Table324[[#This Row],[CODE]]=15, Table324[ [#This Row],[Account Deposit Amount] ]-Table324[ [#This Row],[Account Withdrawl Amount] ], )</f>
        <v>0</v>
      </c>
      <c r="T32" s="128">
        <f>IF(Table324[[#This Row],[CODE]]=16, Table324[ [#This Row],[Account Deposit Amount] ]-Table324[ [#This Row],[Account Withdrawl Amount] ], )</f>
        <v>0</v>
      </c>
      <c r="U32" s="127">
        <f>IF(Table324[[#This Row],[CODE]]=17, Table324[ [#This Row],[Account Deposit Amount] ]-Table324[ [#This Row],[Account Withdrawl Amount] ], )</f>
        <v>0</v>
      </c>
      <c r="V32" s="166"/>
    </row>
    <row r="33" spans="1:22" ht="16.2" thickBot="1">
      <c r="A33" s="130"/>
      <c r="B33" s="133"/>
      <c r="C33" s="130"/>
      <c r="D33" s="132"/>
      <c r="E33" s="128"/>
      <c r="F33" s="128"/>
      <c r="G33" s="134">
        <f t="shared" si="2"/>
        <v>25358.78</v>
      </c>
      <c r="H33" s="130"/>
      <c r="I33" s="127">
        <f>IF(Table324[[#This Row],[CODE]]=1, Table324[ [#This Row],[Account Deposit Amount] ]-Table324[ [#This Row],[Account Withdrawl Amount] ], )</f>
        <v>0</v>
      </c>
      <c r="J33" s="129">
        <f>IF(Table324[[#This Row],[CODE]]=2, Table324[ [#This Row],[Account Deposit Amount] ]-Table324[ [#This Row],[Account Withdrawl Amount] ], )</f>
        <v>0</v>
      </c>
      <c r="K33" s="129">
        <f>IF(Table324[[#This Row],[CODE]]=3, Table324[ [#This Row],[Account Deposit Amount] ]-Table324[ [#This Row],[Account Withdrawl Amount] ], )</f>
        <v>0</v>
      </c>
      <c r="L33" s="128">
        <f>IF(Table324[[#This Row],[CODE]]=4, Table324[ [#This Row],[Account Deposit Amount] ]-Table324[ [#This Row],[Account Withdrawl Amount] ], )</f>
        <v>0</v>
      </c>
      <c r="M33" s="128">
        <f>IF(Table324[[#This Row],[CODE]]=5, Table324[ [#This Row],[Account Deposit Amount] ]-Table324[ [#This Row],[Account Withdrawl Amount] ], )</f>
        <v>0</v>
      </c>
      <c r="N33" s="128">
        <f>IF(Table324[[#This Row],[CODE]]=6, Table324[ [#This Row],[Account Deposit Amount] ]-Table324[ [#This Row],[Account Withdrawl Amount] ], )</f>
        <v>0</v>
      </c>
      <c r="O33" s="128">
        <f>IF(Table324[[#This Row],[CODE]]=11, Table324[ [#This Row],[Account Deposit Amount] ]-Table324[ [#This Row],[Account Withdrawl Amount] ], )</f>
        <v>0</v>
      </c>
      <c r="P33" s="128">
        <f>IF(Table324[[#This Row],[CODE]]=12, Table324[ [#This Row],[Account Deposit Amount] ]-Table324[ [#This Row],[Account Withdrawl Amount] ], )</f>
        <v>0</v>
      </c>
      <c r="Q33" s="128">
        <f>IF(Table324[[#This Row],[CODE]]=13, Table324[ [#This Row],[Account Deposit Amount] ]-Table324[ [#This Row],[Account Withdrawl Amount] ], )</f>
        <v>0</v>
      </c>
      <c r="R33" s="128">
        <f>IF(Table324[[#This Row],[CODE]]=14, Table324[ [#This Row],[Account Deposit Amount] ]-Table324[ [#This Row],[Account Withdrawl Amount] ], )</f>
        <v>0</v>
      </c>
      <c r="S33" s="128">
        <f>IF(Table324[[#This Row],[CODE]]=15, Table324[ [#This Row],[Account Deposit Amount] ]-Table324[ [#This Row],[Account Withdrawl Amount] ], )</f>
        <v>0</v>
      </c>
      <c r="T33" s="128">
        <f>IF(Table324[[#This Row],[CODE]]=16, Table324[ [#This Row],[Account Deposit Amount] ]-Table324[ [#This Row],[Account Withdrawl Amount] ], )</f>
        <v>0</v>
      </c>
      <c r="U33" s="127">
        <f>IF(Table324[[#This Row],[CODE]]=17, Table324[ [#This Row],[Account Deposit Amount] ]-Table324[ [#This Row],[Account Withdrawl Amount] ], )</f>
        <v>0</v>
      </c>
      <c r="V33" s="166"/>
    </row>
    <row r="34" spans="1:22" ht="16.2" thickBot="1">
      <c r="A34" s="130"/>
      <c r="B34" s="133"/>
      <c r="C34" s="130"/>
      <c r="D34" s="132"/>
      <c r="E34" s="128"/>
      <c r="F34" s="128"/>
      <c r="G34" s="134">
        <f t="shared" si="2"/>
        <v>25358.78</v>
      </c>
      <c r="H34" s="130"/>
      <c r="I34" s="127">
        <f>IF(Table324[[#This Row],[CODE]]=1, Table324[ [#This Row],[Account Deposit Amount] ]-Table324[ [#This Row],[Account Withdrawl Amount] ], )</f>
        <v>0</v>
      </c>
      <c r="J34" s="129">
        <f>IF(Table324[[#This Row],[CODE]]=2, Table324[ [#This Row],[Account Deposit Amount] ]-Table324[ [#This Row],[Account Withdrawl Amount] ], )</f>
        <v>0</v>
      </c>
      <c r="K34" s="129">
        <f>IF(Table324[[#This Row],[CODE]]=3, Table324[ [#This Row],[Account Deposit Amount] ]-Table324[ [#This Row],[Account Withdrawl Amount] ], )</f>
        <v>0</v>
      </c>
      <c r="L34" s="128">
        <f>IF(Table324[[#This Row],[CODE]]=4, Table324[ [#This Row],[Account Deposit Amount] ]-Table324[ [#This Row],[Account Withdrawl Amount] ], )</f>
        <v>0</v>
      </c>
      <c r="M34" s="128">
        <f>IF(Table324[[#This Row],[CODE]]=5, Table324[ [#This Row],[Account Deposit Amount] ]-Table324[ [#This Row],[Account Withdrawl Amount] ], )</f>
        <v>0</v>
      </c>
      <c r="N34" s="128">
        <f>IF(Table324[[#This Row],[CODE]]=6, Table324[ [#This Row],[Account Deposit Amount] ]-Table324[ [#This Row],[Account Withdrawl Amount] ], )</f>
        <v>0</v>
      </c>
      <c r="O34" s="128">
        <f>IF(Table324[[#This Row],[CODE]]=11, Table324[ [#This Row],[Account Deposit Amount] ]-Table324[ [#This Row],[Account Withdrawl Amount] ], )</f>
        <v>0</v>
      </c>
      <c r="P34" s="128">
        <f>IF(Table324[[#This Row],[CODE]]=12, Table324[ [#This Row],[Account Deposit Amount] ]-Table324[ [#This Row],[Account Withdrawl Amount] ], )</f>
        <v>0</v>
      </c>
      <c r="Q34" s="128">
        <f>IF(Table324[[#This Row],[CODE]]=13, Table324[ [#This Row],[Account Deposit Amount] ]-Table324[ [#This Row],[Account Withdrawl Amount] ], )</f>
        <v>0</v>
      </c>
      <c r="R34" s="128">
        <f>IF(Table324[[#This Row],[CODE]]=14, Table324[ [#This Row],[Account Deposit Amount] ]-Table324[ [#This Row],[Account Withdrawl Amount] ], )</f>
        <v>0</v>
      </c>
      <c r="S34" s="128">
        <f>IF(Table324[[#This Row],[CODE]]=15, Table324[ [#This Row],[Account Deposit Amount] ]-Table324[ [#This Row],[Account Withdrawl Amount] ], )</f>
        <v>0</v>
      </c>
      <c r="T34" s="128">
        <f>IF(Table324[[#This Row],[CODE]]=16, Table324[ [#This Row],[Account Deposit Amount] ]-Table324[ [#This Row],[Account Withdrawl Amount] ], )</f>
        <v>0</v>
      </c>
      <c r="U34" s="127">
        <f>IF(Table324[[#This Row],[CODE]]=17, Table324[ [#This Row],[Account Deposit Amount] ]-Table324[ [#This Row],[Account Withdrawl Amount] ], )</f>
        <v>0</v>
      </c>
      <c r="V34" s="166"/>
    </row>
    <row r="35" spans="1:22" ht="16.2" thickBot="1">
      <c r="A35" s="130"/>
      <c r="B35" s="133"/>
      <c r="C35" s="130"/>
      <c r="D35" s="132"/>
      <c r="E35" s="128"/>
      <c r="F35" s="128"/>
      <c r="G35" s="134">
        <f t="shared" si="2"/>
        <v>25358.78</v>
      </c>
      <c r="H35" s="130"/>
      <c r="I35" s="127">
        <f>IF(Table324[[#This Row],[CODE]]=1, Table324[ [#This Row],[Account Deposit Amount] ]-Table324[ [#This Row],[Account Withdrawl Amount] ], )</f>
        <v>0</v>
      </c>
      <c r="J35" s="129">
        <f>IF(Table324[[#This Row],[CODE]]=2, Table324[ [#This Row],[Account Deposit Amount] ]-Table324[ [#This Row],[Account Withdrawl Amount] ], )</f>
        <v>0</v>
      </c>
      <c r="K35" s="129">
        <f>IF(Table324[[#This Row],[CODE]]=3, Table324[ [#This Row],[Account Deposit Amount] ]-Table324[ [#This Row],[Account Withdrawl Amount] ], )</f>
        <v>0</v>
      </c>
      <c r="L35" s="128">
        <f>IF(Table324[[#This Row],[CODE]]=4, Table324[ [#This Row],[Account Deposit Amount] ]-Table324[ [#This Row],[Account Withdrawl Amount] ], )</f>
        <v>0</v>
      </c>
      <c r="M35" s="128">
        <f>IF(Table324[[#This Row],[CODE]]=5, Table324[ [#This Row],[Account Deposit Amount] ]-Table324[ [#This Row],[Account Withdrawl Amount] ], )</f>
        <v>0</v>
      </c>
      <c r="N35" s="128">
        <f>IF(Table324[[#This Row],[CODE]]=6, Table324[ [#This Row],[Account Deposit Amount] ]-Table324[ [#This Row],[Account Withdrawl Amount] ], )</f>
        <v>0</v>
      </c>
      <c r="O35" s="128">
        <f>IF(Table324[[#This Row],[CODE]]=11, Table324[ [#This Row],[Account Deposit Amount] ]-Table324[ [#This Row],[Account Withdrawl Amount] ], )</f>
        <v>0</v>
      </c>
      <c r="P35" s="128">
        <f>IF(Table324[[#This Row],[CODE]]=12, Table324[ [#This Row],[Account Deposit Amount] ]-Table324[ [#This Row],[Account Withdrawl Amount] ], )</f>
        <v>0</v>
      </c>
      <c r="Q35" s="128">
        <f>IF(Table324[[#This Row],[CODE]]=13, Table324[ [#This Row],[Account Deposit Amount] ]-Table324[ [#This Row],[Account Withdrawl Amount] ], )</f>
        <v>0</v>
      </c>
      <c r="R35" s="128">
        <f>IF(Table324[[#This Row],[CODE]]=14, Table324[ [#This Row],[Account Deposit Amount] ]-Table324[ [#This Row],[Account Withdrawl Amount] ], )</f>
        <v>0</v>
      </c>
      <c r="S35" s="128">
        <f>IF(Table324[[#This Row],[CODE]]=15, Table324[ [#This Row],[Account Deposit Amount] ]-Table324[ [#This Row],[Account Withdrawl Amount] ], )</f>
        <v>0</v>
      </c>
      <c r="T35" s="128">
        <f>IF(Table324[[#This Row],[CODE]]=16, Table324[ [#This Row],[Account Deposit Amount] ]-Table324[ [#This Row],[Account Withdrawl Amount] ], )</f>
        <v>0</v>
      </c>
      <c r="U35" s="127">
        <f>IF(Table324[[#This Row],[CODE]]=17, Table324[ [#This Row],[Account Deposit Amount] ]-Table324[ [#This Row],[Account Withdrawl Amount] ], )</f>
        <v>0</v>
      </c>
      <c r="V35" s="166"/>
    </row>
    <row r="36" spans="1:22" ht="16.2" thickBot="1">
      <c r="A36" s="130"/>
      <c r="B36" s="133"/>
      <c r="C36" s="130"/>
      <c r="D36" s="132"/>
      <c r="E36" s="128"/>
      <c r="F36" s="128"/>
      <c r="G36" s="134">
        <f t="shared" si="2"/>
        <v>25358.78</v>
      </c>
      <c r="H36" s="130"/>
      <c r="I36" s="127">
        <f>IF(Table324[[#This Row],[CODE]]=1, Table324[ [#This Row],[Account Deposit Amount] ]-Table324[ [#This Row],[Account Withdrawl Amount] ], )</f>
        <v>0</v>
      </c>
      <c r="J36" s="129">
        <f>IF(Table324[[#This Row],[CODE]]=2, Table324[ [#This Row],[Account Deposit Amount] ]-Table324[ [#This Row],[Account Withdrawl Amount] ], )</f>
        <v>0</v>
      </c>
      <c r="K36" s="129">
        <f>IF(Table324[[#This Row],[CODE]]=3, Table324[ [#This Row],[Account Deposit Amount] ]-Table324[ [#This Row],[Account Withdrawl Amount] ], )</f>
        <v>0</v>
      </c>
      <c r="L36" s="128">
        <f>IF(Table324[[#This Row],[CODE]]=4, Table324[ [#This Row],[Account Deposit Amount] ]-Table324[ [#This Row],[Account Withdrawl Amount] ], )</f>
        <v>0</v>
      </c>
      <c r="M36" s="128">
        <f>IF(Table324[[#This Row],[CODE]]=5, Table324[ [#This Row],[Account Deposit Amount] ]-Table324[ [#This Row],[Account Withdrawl Amount] ], )</f>
        <v>0</v>
      </c>
      <c r="N36" s="128">
        <f>IF(Table324[[#This Row],[CODE]]=6, Table324[ [#This Row],[Account Deposit Amount] ]-Table324[ [#This Row],[Account Withdrawl Amount] ], )</f>
        <v>0</v>
      </c>
      <c r="O36" s="128">
        <f>IF(Table324[[#This Row],[CODE]]=11, Table324[ [#This Row],[Account Deposit Amount] ]-Table324[ [#This Row],[Account Withdrawl Amount] ], )</f>
        <v>0</v>
      </c>
      <c r="P36" s="128">
        <f>IF(Table324[[#This Row],[CODE]]=12, Table324[ [#This Row],[Account Deposit Amount] ]-Table324[ [#This Row],[Account Withdrawl Amount] ], )</f>
        <v>0</v>
      </c>
      <c r="Q36" s="128">
        <f>IF(Table324[[#This Row],[CODE]]=13, Table324[ [#This Row],[Account Deposit Amount] ]-Table324[ [#This Row],[Account Withdrawl Amount] ], )</f>
        <v>0</v>
      </c>
      <c r="R36" s="128">
        <f>IF(Table324[[#This Row],[CODE]]=14, Table324[ [#This Row],[Account Deposit Amount] ]-Table324[ [#This Row],[Account Withdrawl Amount] ], )</f>
        <v>0</v>
      </c>
      <c r="S36" s="128">
        <f>IF(Table324[[#This Row],[CODE]]=15, Table324[ [#This Row],[Account Deposit Amount] ]-Table324[ [#This Row],[Account Withdrawl Amount] ], )</f>
        <v>0</v>
      </c>
      <c r="T36" s="128">
        <f>IF(Table324[[#This Row],[CODE]]=16, Table324[ [#This Row],[Account Deposit Amount] ]-Table324[ [#This Row],[Account Withdrawl Amount] ], )</f>
        <v>0</v>
      </c>
      <c r="U36" s="127">
        <f>IF(Table324[[#This Row],[CODE]]=17, Table324[ [#This Row],[Account Deposit Amount] ]-Table324[ [#This Row],[Account Withdrawl Amount] ], )</f>
        <v>0</v>
      </c>
      <c r="V36" s="166"/>
    </row>
    <row r="37" spans="1:22" ht="16.2" thickBot="1">
      <c r="A37" s="130"/>
      <c r="B37" s="133"/>
      <c r="C37" s="130"/>
      <c r="D37" s="132"/>
      <c r="E37" s="128"/>
      <c r="F37" s="128"/>
      <c r="G37" s="134">
        <f t="shared" ref="G37:G68" si="3">G36+E37-F37</f>
        <v>25358.78</v>
      </c>
      <c r="H37" s="130"/>
      <c r="I37" s="127">
        <f>IF(Table324[[#This Row],[CODE]]=1, Table324[ [#This Row],[Account Deposit Amount] ]-Table324[ [#This Row],[Account Withdrawl Amount] ], )</f>
        <v>0</v>
      </c>
      <c r="J37" s="129">
        <f>IF(Table324[[#This Row],[CODE]]=2, Table324[ [#This Row],[Account Deposit Amount] ]-Table324[ [#This Row],[Account Withdrawl Amount] ], )</f>
        <v>0</v>
      </c>
      <c r="K37" s="129">
        <f>IF(Table324[[#This Row],[CODE]]=3, Table324[ [#This Row],[Account Deposit Amount] ]-Table324[ [#This Row],[Account Withdrawl Amount] ], )</f>
        <v>0</v>
      </c>
      <c r="L37" s="128">
        <f>IF(Table324[[#This Row],[CODE]]=4, Table324[ [#This Row],[Account Deposit Amount] ]-Table324[ [#This Row],[Account Withdrawl Amount] ], )</f>
        <v>0</v>
      </c>
      <c r="M37" s="128">
        <f>IF(Table324[[#This Row],[CODE]]=5, Table324[ [#This Row],[Account Deposit Amount] ]-Table324[ [#This Row],[Account Withdrawl Amount] ], )</f>
        <v>0</v>
      </c>
      <c r="N37" s="128">
        <f>IF(Table324[[#This Row],[CODE]]=6, Table324[ [#This Row],[Account Deposit Amount] ]-Table324[ [#This Row],[Account Withdrawl Amount] ], )</f>
        <v>0</v>
      </c>
      <c r="O37" s="128">
        <f>IF(Table324[[#This Row],[CODE]]=11, Table324[ [#This Row],[Account Deposit Amount] ]-Table324[ [#This Row],[Account Withdrawl Amount] ], )</f>
        <v>0</v>
      </c>
      <c r="P37" s="128">
        <f>IF(Table324[[#This Row],[CODE]]=12, Table324[ [#This Row],[Account Deposit Amount] ]-Table324[ [#This Row],[Account Withdrawl Amount] ], )</f>
        <v>0</v>
      </c>
      <c r="Q37" s="128">
        <f>IF(Table324[[#This Row],[CODE]]=13, Table324[ [#This Row],[Account Deposit Amount] ]-Table324[ [#This Row],[Account Withdrawl Amount] ], )</f>
        <v>0</v>
      </c>
      <c r="R37" s="128">
        <f>IF(Table324[[#This Row],[CODE]]=14, Table324[ [#This Row],[Account Deposit Amount] ]-Table324[ [#This Row],[Account Withdrawl Amount] ], )</f>
        <v>0</v>
      </c>
      <c r="S37" s="128">
        <f>IF(Table324[[#This Row],[CODE]]=15, Table324[ [#This Row],[Account Deposit Amount] ]-Table324[ [#This Row],[Account Withdrawl Amount] ], )</f>
        <v>0</v>
      </c>
      <c r="T37" s="128">
        <f>IF(Table324[[#This Row],[CODE]]=16, Table324[ [#This Row],[Account Deposit Amount] ]-Table324[ [#This Row],[Account Withdrawl Amount] ], )</f>
        <v>0</v>
      </c>
      <c r="U37" s="127">
        <f>IF(Table324[[#This Row],[CODE]]=17, Table324[ [#This Row],[Account Deposit Amount] ]-Table324[ [#This Row],[Account Withdrawl Amount] ], )</f>
        <v>0</v>
      </c>
      <c r="V37" s="166"/>
    </row>
    <row r="38" spans="1:22" ht="16.2" thickBot="1">
      <c r="A38" s="130"/>
      <c r="B38" s="133"/>
      <c r="C38" s="130"/>
      <c r="D38" s="132"/>
      <c r="E38" s="128"/>
      <c r="F38" s="128"/>
      <c r="G38" s="134">
        <f t="shared" si="3"/>
        <v>25358.78</v>
      </c>
      <c r="H38" s="130"/>
      <c r="I38" s="127">
        <f>IF(Table324[[#This Row],[CODE]]=1, Table324[ [#This Row],[Account Deposit Amount] ]-Table324[ [#This Row],[Account Withdrawl Amount] ], )</f>
        <v>0</v>
      </c>
      <c r="J38" s="129">
        <f>IF(Table324[[#This Row],[CODE]]=2, Table324[ [#This Row],[Account Deposit Amount] ]-Table324[ [#This Row],[Account Withdrawl Amount] ], )</f>
        <v>0</v>
      </c>
      <c r="K38" s="129">
        <f>IF(Table324[[#This Row],[CODE]]=3, Table324[ [#This Row],[Account Deposit Amount] ]-Table324[ [#This Row],[Account Withdrawl Amount] ], )</f>
        <v>0</v>
      </c>
      <c r="L38" s="128">
        <f>IF(Table324[[#This Row],[CODE]]=4, Table324[ [#This Row],[Account Deposit Amount] ]-Table324[ [#This Row],[Account Withdrawl Amount] ], )</f>
        <v>0</v>
      </c>
      <c r="M38" s="128">
        <f>IF(Table324[[#This Row],[CODE]]=5, Table324[ [#This Row],[Account Deposit Amount] ]-Table324[ [#This Row],[Account Withdrawl Amount] ], )</f>
        <v>0</v>
      </c>
      <c r="N38" s="128">
        <f>IF(Table324[[#This Row],[CODE]]=6, Table324[ [#This Row],[Account Deposit Amount] ]-Table324[ [#This Row],[Account Withdrawl Amount] ], )</f>
        <v>0</v>
      </c>
      <c r="O38" s="128">
        <f>IF(Table324[[#This Row],[CODE]]=11, Table324[ [#This Row],[Account Deposit Amount] ]-Table324[ [#This Row],[Account Withdrawl Amount] ], )</f>
        <v>0</v>
      </c>
      <c r="P38" s="128">
        <f>IF(Table324[[#This Row],[CODE]]=12, Table324[ [#This Row],[Account Deposit Amount] ]-Table324[ [#This Row],[Account Withdrawl Amount] ], )</f>
        <v>0</v>
      </c>
      <c r="Q38" s="128">
        <f>IF(Table324[[#This Row],[CODE]]=13, Table324[ [#This Row],[Account Deposit Amount] ]-Table324[ [#This Row],[Account Withdrawl Amount] ], )</f>
        <v>0</v>
      </c>
      <c r="R38" s="128">
        <f>IF(Table324[[#This Row],[CODE]]=14, Table324[ [#This Row],[Account Deposit Amount] ]-Table324[ [#This Row],[Account Withdrawl Amount] ], )</f>
        <v>0</v>
      </c>
      <c r="S38" s="128">
        <f>IF(Table324[[#This Row],[CODE]]=15, Table324[ [#This Row],[Account Deposit Amount] ]-Table324[ [#This Row],[Account Withdrawl Amount] ], )</f>
        <v>0</v>
      </c>
      <c r="T38" s="128">
        <f>IF(Table324[[#This Row],[CODE]]=16, Table324[ [#This Row],[Account Deposit Amount] ]-Table324[ [#This Row],[Account Withdrawl Amount] ], )</f>
        <v>0</v>
      </c>
      <c r="U38" s="127">
        <f>IF(Table324[[#This Row],[CODE]]=17, Table324[ [#This Row],[Account Deposit Amount] ]-Table324[ [#This Row],[Account Withdrawl Amount] ], )</f>
        <v>0</v>
      </c>
      <c r="V38" s="166"/>
    </row>
    <row r="39" spans="1:22" ht="16.2" thickBot="1">
      <c r="A39" s="130"/>
      <c r="B39" s="133"/>
      <c r="C39" s="130"/>
      <c r="D39" s="132"/>
      <c r="E39" s="128"/>
      <c r="F39" s="128"/>
      <c r="G39" s="134">
        <f t="shared" si="3"/>
        <v>25358.78</v>
      </c>
      <c r="H39" s="130"/>
      <c r="I39" s="127">
        <f>IF(Table324[[#This Row],[CODE]]=1, Table324[ [#This Row],[Account Deposit Amount] ]-Table324[ [#This Row],[Account Withdrawl Amount] ], )</f>
        <v>0</v>
      </c>
      <c r="J39" s="129">
        <f>IF(Table324[[#This Row],[CODE]]=2, Table324[ [#This Row],[Account Deposit Amount] ]-Table324[ [#This Row],[Account Withdrawl Amount] ], )</f>
        <v>0</v>
      </c>
      <c r="K39" s="129">
        <f>IF(Table324[[#This Row],[CODE]]=3, Table324[ [#This Row],[Account Deposit Amount] ]-Table324[ [#This Row],[Account Withdrawl Amount] ], )</f>
        <v>0</v>
      </c>
      <c r="L39" s="128">
        <f>IF(Table324[[#This Row],[CODE]]=4, Table324[ [#This Row],[Account Deposit Amount] ]-Table324[ [#This Row],[Account Withdrawl Amount] ], )</f>
        <v>0</v>
      </c>
      <c r="M39" s="128">
        <f>IF(Table324[[#This Row],[CODE]]=5, Table324[ [#This Row],[Account Deposit Amount] ]-Table324[ [#This Row],[Account Withdrawl Amount] ], )</f>
        <v>0</v>
      </c>
      <c r="N39" s="128">
        <f>IF(Table324[[#This Row],[CODE]]=6, Table324[ [#This Row],[Account Deposit Amount] ]-Table324[ [#This Row],[Account Withdrawl Amount] ], )</f>
        <v>0</v>
      </c>
      <c r="O39" s="128">
        <f>IF(Table324[[#This Row],[CODE]]=11, Table324[ [#This Row],[Account Deposit Amount] ]-Table324[ [#This Row],[Account Withdrawl Amount] ], )</f>
        <v>0</v>
      </c>
      <c r="P39" s="128">
        <f>IF(Table324[[#This Row],[CODE]]=12, Table324[ [#This Row],[Account Deposit Amount] ]-Table324[ [#This Row],[Account Withdrawl Amount] ], )</f>
        <v>0</v>
      </c>
      <c r="Q39" s="128">
        <f>IF(Table324[[#This Row],[CODE]]=13, Table324[ [#This Row],[Account Deposit Amount] ]-Table324[ [#This Row],[Account Withdrawl Amount] ], )</f>
        <v>0</v>
      </c>
      <c r="R39" s="128">
        <f>IF(Table324[[#This Row],[CODE]]=14, Table324[ [#This Row],[Account Deposit Amount] ]-Table324[ [#This Row],[Account Withdrawl Amount] ], )</f>
        <v>0</v>
      </c>
      <c r="S39" s="128">
        <f>IF(Table324[[#This Row],[CODE]]=15, Table324[ [#This Row],[Account Deposit Amount] ]-Table324[ [#This Row],[Account Withdrawl Amount] ], )</f>
        <v>0</v>
      </c>
      <c r="T39" s="128">
        <f>IF(Table324[[#This Row],[CODE]]=16, Table324[ [#This Row],[Account Deposit Amount] ]-Table324[ [#This Row],[Account Withdrawl Amount] ], )</f>
        <v>0</v>
      </c>
      <c r="U39" s="127">
        <f>IF(Table324[[#This Row],[CODE]]=17, Table324[ [#This Row],[Account Deposit Amount] ]-Table324[ [#This Row],[Account Withdrawl Amount] ], )</f>
        <v>0</v>
      </c>
      <c r="V39" s="166"/>
    </row>
    <row r="40" spans="1:22" ht="16.2" thickBot="1">
      <c r="A40" s="130"/>
      <c r="B40" s="133"/>
      <c r="C40" s="130"/>
      <c r="D40" s="132"/>
      <c r="E40" s="128"/>
      <c r="F40" s="128"/>
      <c r="G40" s="134">
        <f t="shared" si="3"/>
        <v>25358.78</v>
      </c>
      <c r="H40" s="130"/>
      <c r="I40" s="127">
        <f>IF(Table324[[#This Row],[CODE]]=1, Table324[ [#This Row],[Account Deposit Amount] ]-Table324[ [#This Row],[Account Withdrawl Amount] ], )</f>
        <v>0</v>
      </c>
      <c r="J40" s="129">
        <f>IF(Table324[[#This Row],[CODE]]=2, Table324[ [#This Row],[Account Deposit Amount] ]-Table324[ [#This Row],[Account Withdrawl Amount] ], )</f>
        <v>0</v>
      </c>
      <c r="K40" s="129">
        <f>IF(Table324[[#This Row],[CODE]]=3, Table324[ [#This Row],[Account Deposit Amount] ]-Table324[ [#This Row],[Account Withdrawl Amount] ], )</f>
        <v>0</v>
      </c>
      <c r="L40" s="128">
        <f>IF(Table324[[#This Row],[CODE]]=4, Table324[ [#This Row],[Account Deposit Amount] ]-Table324[ [#This Row],[Account Withdrawl Amount] ], )</f>
        <v>0</v>
      </c>
      <c r="M40" s="128">
        <f>IF(Table324[[#This Row],[CODE]]=5, Table324[ [#This Row],[Account Deposit Amount] ]-Table324[ [#This Row],[Account Withdrawl Amount] ], )</f>
        <v>0</v>
      </c>
      <c r="N40" s="128">
        <f>IF(Table324[[#This Row],[CODE]]=6, Table324[ [#This Row],[Account Deposit Amount] ]-Table324[ [#This Row],[Account Withdrawl Amount] ], )</f>
        <v>0</v>
      </c>
      <c r="O40" s="128">
        <f>IF(Table324[[#This Row],[CODE]]=11, Table324[ [#This Row],[Account Deposit Amount] ]-Table324[ [#This Row],[Account Withdrawl Amount] ], )</f>
        <v>0</v>
      </c>
      <c r="P40" s="128">
        <f>IF(Table324[[#This Row],[CODE]]=12, Table324[ [#This Row],[Account Deposit Amount] ]-Table324[ [#This Row],[Account Withdrawl Amount] ], )</f>
        <v>0</v>
      </c>
      <c r="Q40" s="128">
        <f>IF(Table324[[#This Row],[CODE]]=13, Table324[ [#This Row],[Account Deposit Amount] ]-Table324[ [#This Row],[Account Withdrawl Amount] ], )</f>
        <v>0</v>
      </c>
      <c r="R40" s="128">
        <f>IF(Table324[[#This Row],[CODE]]=14, Table324[ [#This Row],[Account Deposit Amount] ]-Table324[ [#This Row],[Account Withdrawl Amount] ], )</f>
        <v>0</v>
      </c>
      <c r="S40" s="128">
        <f>IF(Table324[[#This Row],[CODE]]=15, Table324[ [#This Row],[Account Deposit Amount] ]-Table324[ [#This Row],[Account Withdrawl Amount] ], )</f>
        <v>0</v>
      </c>
      <c r="T40" s="128">
        <f>IF(Table324[[#This Row],[CODE]]=16, Table324[ [#This Row],[Account Deposit Amount] ]-Table324[ [#This Row],[Account Withdrawl Amount] ], )</f>
        <v>0</v>
      </c>
      <c r="U40" s="127">
        <f>IF(Table324[[#This Row],[CODE]]=17, Table324[ [#This Row],[Account Deposit Amount] ]-Table324[ [#This Row],[Account Withdrawl Amount] ], )</f>
        <v>0</v>
      </c>
      <c r="V40" s="166"/>
    </row>
    <row r="41" spans="1:22" ht="16.2" thickBot="1">
      <c r="A41" s="130"/>
      <c r="B41" s="133"/>
      <c r="C41" s="130"/>
      <c r="D41" s="132"/>
      <c r="E41" s="128"/>
      <c r="F41" s="128"/>
      <c r="G41" s="134">
        <f t="shared" si="3"/>
        <v>25358.78</v>
      </c>
      <c r="H41" s="130"/>
      <c r="I41" s="127">
        <f>IF(Table324[[#This Row],[CODE]]=1, Table324[ [#This Row],[Account Deposit Amount] ]-Table324[ [#This Row],[Account Withdrawl Amount] ], )</f>
        <v>0</v>
      </c>
      <c r="J41" s="129">
        <f>IF(Table324[[#This Row],[CODE]]=2, Table324[ [#This Row],[Account Deposit Amount] ]-Table324[ [#This Row],[Account Withdrawl Amount] ], )</f>
        <v>0</v>
      </c>
      <c r="K41" s="129">
        <f>IF(Table324[[#This Row],[CODE]]=3, Table324[ [#This Row],[Account Deposit Amount] ]-Table324[ [#This Row],[Account Withdrawl Amount] ], )</f>
        <v>0</v>
      </c>
      <c r="L41" s="128">
        <f>IF(Table324[[#This Row],[CODE]]=4, Table324[ [#This Row],[Account Deposit Amount] ]-Table324[ [#This Row],[Account Withdrawl Amount] ], )</f>
        <v>0</v>
      </c>
      <c r="M41" s="128">
        <f>IF(Table324[[#This Row],[CODE]]=5, Table324[ [#This Row],[Account Deposit Amount] ]-Table324[ [#This Row],[Account Withdrawl Amount] ], )</f>
        <v>0</v>
      </c>
      <c r="N41" s="128">
        <f>IF(Table324[[#This Row],[CODE]]=6, Table324[ [#This Row],[Account Deposit Amount] ]-Table324[ [#This Row],[Account Withdrawl Amount] ], )</f>
        <v>0</v>
      </c>
      <c r="O41" s="128">
        <f>IF(Table324[[#This Row],[CODE]]=11, Table324[ [#This Row],[Account Deposit Amount] ]-Table324[ [#This Row],[Account Withdrawl Amount] ], )</f>
        <v>0</v>
      </c>
      <c r="P41" s="128">
        <f>IF(Table324[[#This Row],[CODE]]=12, Table324[ [#This Row],[Account Deposit Amount] ]-Table324[ [#This Row],[Account Withdrawl Amount] ], )</f>
        <v>0</v>
      </c>
      <c r="Q41" s="128">
        <f>IF(Table324[[#This Row],[CODE]]=13, Table324[ [#This Row],[Account Deposit Amount] ]-Table324[ [#This Row],[Account Withdrawl Amount] ], )</f>
        <v>0</v>
      </c>
      <c r="R41" s="128">
        <f>IF(Table324[[#This Row],[CODE]]=14, Table324[ [#This Row],[Account Deposit Amount] ]-Table324[ [#This Row],[Account Withdrawl Amount] ], )</f>
        <v>0</v>
      </c>
      <c r="S41" s="128">
        <f>IF(Table324[[#This Row],[CODE]]=15, Table324[ [#This Row],[Account Deposit Amount] ]-Table324[ [#This Row],[Account Withdrawl Amount] ], )</f>
        <v>0</v>
      </c>
      <c r="T41" s="128">
        <f>IF(Table324[[#This Row],[CODE]]=16, Table324[ [#This Row],[Account Deposit Amount] ]-Table324[ [#This Row],[Account Withdrawl Amount] ], )</f>
        <v>0</v>
      </c>
      <c r="U41" s="127">
        <f>IF(Table324[[#This Row],[CODE]]=17, Table324[ [#This Row],[Account Deposit Amount] ]-Table324[ [#This Row],[Account Withdrawl Amount] ], )</f>
        <v>0</v>
      </c>
      <c r="V41" s="166"/>
    </row>
    <row r="42" spans="1:22" ht="16.2" thickBot="1">
      <c r="A42" s="130"/>
      <c r="B42" s="133"/>
      <c r="C42" s="130"/>
      <c r="D42" s="132"/>
      <c r="E42" s="128"/>
      <c r="F42" s="128"/>
      <c r="G42" s="134">
        <f t="shared" si="3"/>
        <v>25358.78</v>
      </c>
      <c r="H42" s="130"/>
      <c r="I42" s="127">
        <f>IF(Table324[[#This Row],[CODE]]=1, Table324[ [#This Row],[Account Deposit Amount] ]-Table324[ [#This Row],[Account Withdrawl Amount] ], )</f>
        <v>0</v>
      </c>
      <c r="J42" s="129">
        <f>IF(Table324[[#This Row],[CODE]]=2, Table324[ [#This Row],[Account Deposit Amount] ]-Table324[ [#This Row],[Account Withdrawl Amount] ], )</f>
        <v>0</v>
      </c>
      <c r="K42" s="129">
        <f>IF(Table324[[#This Row],[CODE]]=3, Table324[ [#This Row],[Account Deposit Amount] ]-Table324[ [#This Row],[Account Withdrawl Amount] ], )</f>
        <v>0</v>
      </c>
      <c r="L42" s="128">
        <f>IF(Table324[[#This Row],[CODE]]=4, Table324[ [#This Row],[Account Deposit Amount] ]-Table324[ [#This Row],[Account Withdrawl Amount] ], )</f>
        <v>0</v>
      </c>
      <c r="M42" s="128">
        <f>IF(Table324[[#This Row],[CODE]]=5, Table324[ [#This Row],[Account Deposit Amount] ]-Table324[ [#This Row],[Account Withdrawl Amount] ], )</f>
        <v>0</v>
      </c>
      <c r="N42" s="128">
        <f>IF(Table324[[#This Row],[CODE]]=6, Table324[ [#This Row],[Account Deposit Amount] ]-Table324[ [#This Row],[Account Withdrawl Amount] ], )</f>
        <v>0</v>
      </c>
      <c r="O42" s="128">
        <f>IF(Table324[[#This Row],[CODE]]=11, Table324[ [#This Row],[Account Deposit Amount] ]-Table324[ [#This Row],[Account Withdrawl Amount] ], )</f>
        <v>0</v>
      </c>
      <c r="P42" s="128">
        <f>IF(Table324[[#This Row],[CODE]]=12, Table324[ [#This Row],[Account Deposit Amount] ]-Table324[ [#This Row],[Account Withdrawl Amount] ], )</f>
        <v>0</v>
      </c>
      <c r="Q42" s="128">
        <f>IF(Table324[[#This Row],[CODE]]=13, Table324[ [#This Row],[Account Deposit Amount] ]-Table324[ [#This Row],[Account Withdrawl Amount] ], )</f>
        <v>0</v>
      </c>
      <c r="R42" s="128">
        <f>IF(Table324[[#This Row],[CODE]]=14, Table324[ [#This Row],[Account Deposit Amount] ]-Table324[ [#This Row],[Account Withdrawl Amount] ], )</f>
        <v>0</v>
      </c>
      <c r="S42" s="128">
        <f>IF(Table324[[#This Row],[CODE]]=15, Table324[ [#This Row],[Account Deposit Amount] ]-Table324[ [#This Row],[Account Withdrawl Amount] ], )</f>
        <v>0</v>
      </c>
      <c r="T42" s="128">
        <f>IF(Table324[[#This Row],[CODE]]=16, Table324[ [#This Row],[Account Deposit Amount] ]-Table324[ [#This Row],[Account Withdrawl Amount] ], )</f>
        <v>0</v>
      </c>
      <c r="U42" s="127">
        <f>IF(Table324[[#This Row],[CODE]]=17, Table324[ [#This Row],[Account Deposit Amount] ]-Table324[ [#This Row],[Account Withdrawl Amount] ], )</f>
        <v>0</v>
      </c>
      <c r="V42" s="166"/>
    </row>
    <row r="43" spans="1:22" ht="16.2" thickBot="1">
      <c r="A43" s="130"/>
      <c r="B43" s="133"/>
      <c r="C43" s="130"/>
      <c r="D43" s="132"/>
      <c r="E43" s="128"/>
      <c r="F43" s="128"/>
      <c r="G43" s="134">
        <f t="shared" si="3"/>
        <v>25358.78</v>
      </c>
      <c r="H43" s="130"/>
      <c r="I43" s="127">
        <f>IF(Table324[[#This Row],[CODE]]=1, Table324[ [#This Row],[Account Deposit Amount] ]-Table324[ [#This Row],[Account Withdrawl Amount] ], )</f>
        <v>0</v>
      </c>
      <c r="J43" s="129">
        <f>IF(Table324[[#This Row],[CODE]]=2, Table324[ [#This Row],[Account Deposit Amount] ]-Table324[ [#This Row],[Account Withdrawl Amount] ], )</f>
        <v>0</v>
      </c>
      <c r="K43" s="129">
        <f>IF(Table324[[#This Row],[CODE]]=3, Table324[ [#This Row],[Account Deposit Amount] ]-Table324[ [#This Row],[Account Withdrawl Amount] ], )</f>
        <v>0</v>
      </c>
      <c r="L43" s="128">
        <f>IF(Table324[[#This Row],[CODE]]=4, Table324[ [#This Row],[Account Deposit Amount] ]-Table324[ [#This Row],[Account Withdrawl Amount] ], )</f>
        <v>0</v>
      </c>
      <c r="M43" s="128">
        <f>IF(Table324[[#This Row],[CODE]]=5, Table324[ [#This Row],[Account Deposit Amount] ]-Table324[ [#This Row],[Account Withdrawl Amount] ], )</f>
        <v>0</v>
      </c>
      <c r="N43" s="128">
        <f>IF(Table324[[#This Row],[CODE]]=6, Table324[ [#This Row],[Account Deposit Amount] ]-Table324[ [#This Row],[Account Withdrawl Amount] ], )</f>
        <v>0</v>
      </c>
      <c r="O43" s="128">
        <f>IF(Table324[[#This Row],[CODE]]=11, Table324[ [#This Row],[Account Deposit Amount] ]-Table324[ [#This Row],[Account Withdrawl Amount] ], )</f>
        <v>0</v>
      </c>
      <c r="P43" s="128">
        <f>IF(Table324[[#This Row],[CODE]]=12, Table324[ [#This Row],[Account Deposit Amount] ]-Table324[ [#This Row],[Account Withdrawl Amount] ], )</f>
        <v>0</v>
      </c>
      <c r="Q43" s="128">
        <f>IF(Table324[[#This Row],[CODE]]=13, Table324[ [#This Row],[Account Deposit Amount] ]-Table324[ [#This Row],[Account Withdrawl Amount] ], )</f>
        <v>0</v>
      </c>
      <c r="R43" s="128">
        <f>IF(Table324[[#This Row],[CODE]]=14, Table324[ [#This Row],[Account Deposit Amount] ]-Table324[ [#This Row],[Account Withdrawl Amount] ], )</f>
        <v>0</v>
      </c>
      <c r="S43" s="128">
        <f>IF(Table324[[#This Row],[CODE]]=15, Table324[ [#This Row],[Account Deposit Amount] ]-Table324[ [#This Row],[Account Withdrawl Amount] ], )</f>
        <v>0</v>
      </c>
      <c r="T43" s="128">
        <f>IF(Table324[[#This Row],[CODE]]=16, Table324[ [#This Row],[Account Deposit Amount] ]-Table324[ [#This Row],[Account Withdrawl Amount] ], )</f>
        <v>0</v>
      </c>
      <c r="U43" s="127">
        <f>IF(Table324[[#This Row],[CODE]]=17, Table324[ [#This Row],[Account Deposit Amount] ]-Table324[ [#This Row],[Account Withdrawl Amount] ], )</f>
        <v>0</v>
      </c>
      <c r="V43" s="166"/>
    </row>
    <row r="44" spans="1:22" ht="16.2" thickBot="1">
      <c r="A44" s="130"/>
      <c r="B44" s="133"/>
      <c r="C44" s="130"/>
      <c r="D44" s="132"/>
      <c r="E44" s="128"/>
      <c r="F44" s="128"/>
      <c r="G44" s="134">
        <f t="shared" si="3"/>
        <v>25358.78</v>
      </c>
      <c r="H44" s="130"/>
      <c r="I44" s="127">
        <f>IF(Table324[[#This Row],[CODE]]=1, Table324[ [#This Row],[Account Deposit Amount] ]-Table324[ [#This Row],[Account Withdrawl Amount] ], )</f>
        <v>0</v>
      </c>
      <c r="J44" s="129">
        <f>IF(Table324[[#This Row],[CODE]]=2, Table324[ [#This Row],[Account Deposit Amount] ]-Table324[ [#This Row],[Account Withdrawl Amount] ], )</f>
        <v>0</v>
      </c>
      <c r="K44" s="129">
        <f>IF(Table324[[#This Row],[CODE]]=3, Table324[ [#This Row],[Account Deposit Amount] ]-Table324[ [#This Row],[Account Withdrawl Amount] ], )</f>
        <v>0</v>
      </c>
      <c r="L44" s="128">
        <f>IF(Table324[[#This Row],[CODE]]=4, Table324[ [#This Row],[Account Deposit Amount] ]-Table324[ [#This Row],[Account Withdrawl Amount] ], )</f>
        <v>0</v>
      </c>
      <c r="M44" s="128">
        <f>IF(Table324[[#This Row],[CODE]]=5, Table324[ [#This Row],[Account Deposit Amount] ]-Table324[ [#This Row],[Account Withdrawl Amount] ], )</f>
        <v>0</v>
      </c>
      <c r="N44" s="128">
        <f>IF(Table324[[#This Row],[CODE]]=6, Table324[ [#This Row],[Account Deposit Amount] ]-Table324[ [#This Row],[Account Withdrawl Amount] ], )</f>
        <v>0</v>
      </c>
      <c r="O44" s="128">
        <f>IF(Table324[[#This Row],[CODE]]=11, Table324[ [#This Row],[Account Deposit Amount] ]-Table324[ [#This Row],[Account Withdrawl Amount] ], )</f>
        <v>0</v>
      </c>
      <c r="P44" s="128">
        <f>IF(Table324[[#This Row],[CODE]]=12, Table324[ [#This Row],[Account Deposit Amount] ]-Table324[ [#This Row],[Account Withdrawl Amount] ], )</f>
        <v>0</v>
      </c>
      <c r="Q44" s="128">
        <f>IF(Table324[[#This Row],[CODE]]=13, Table324[ [#This Row],[Account Deposit Amount] ]-Table324[ [#This Row],[Account Withdrawl Amount] ], )</f>
        <v>0</v>
      </c>
      <c r="R44" s="128">
        <f>IF(Table324[[#This Row],[CODE]]=14, Table324[ [#This Row],[Account Deposit Amount] ]-Table324[ [#This Row],[Account Withdrawl Amount] ], )</f>
        <v>0</v>
      </c>
      <c r="S44" s="128">
        <f>IF(Table324[[#This Row],[CODE]]=15, Table324[ [#This Row],[Account Deposit Amount] ]-Table324[ [#This Row],[Account Withdrawl Amount] ], )</f>
        <v>0</v>
      </c>
      <c r="T44" s="128">
        <f>IF(Table324[[#This Row],[CODE]]=16, Table324[ [#This Row],[Account Deposit Amount] ]-Table324[ [#This Row],[Account Withdrawl Amount] ], )</f>
        <v>0</v>
      </c>
      <c r="U44" s="127">
        <f>IF(Table324[[#This Row],[CODE]]=17, Table324[ [#This Row],[Account Deposit Amount] ]-Table324[ [#This Row],[Account Withdrawl Amount] ], )</f>
        <v>0</v>
      </c>
      <c r="V44" s="166"/>
    </row>
    <row r="45" spans="1:22" ht="16.2" thickBot="1">
      <c r="A45" s="130"/>
      <c r="B45" s="133"/>
      <c r="C45" s="130"/>
      <c r="D45" s="132"/>
      <c r="E45" s="128"/>
      <c r="F45" s="128"/>
      <c r="G45" s="134">
        <f t="shared" si="3"/>
        <v>25358.78</v>
      </c>
      <c r="H45" s="130"/>
      <c r="I45" s="127">
        <f>IF(Table324[[#This Row],[CODE]]=1, Table324[ [#This Row],[Account Deposit Amount] ]-Table324[ [#This Row],[Account Withdrawl Amount] ], )</f>
        <v>0</v>
      </c>
      <c r="J45" s="129">
        <f>IF(Table324[[#This Row],[CODE]]=2, Table324[ [#This Row],[Account Deposit Amount] ]-Table324[ [#This Row],[Account Withdrawl Amount] ], )</f>
        <v>0</v>
      </c>
      <c r="K45" s="129">
        <f>IF(Table324[[#This Row],[CODE]]=3, Table324[ [#This Row],[Account Deposit Amount] ]-Table324[ [#This Row],[Account Withdrawl Amount] ], )</f>
        <v>0</v>
      </c>
      <c r="L45" s="128">
        <f>IF(Table324[[#This Row],[CODE]]=4, Table324[ [#This Row],[Account Deposit Amount] ]-Table324[ [#This Row],[Account Withdrawl Amount] ], )</f>
        <v>0</v>
      </c>
      <c r="M45" s="128">
        <f>IF(Table324[[#This Row],[CODE]]=5, Table324[ [#This Row],[Account Deposit Amount] ]-Table324[ [#This Row],[Account Withdrawl Amount] ], )</f>
        <v>0</v>
      </c>
      <c r="N45" s="128">
        <f>IF(Table324[[#This Row],[CODE]]=6, Table324[ [#This Row],[Account Deposit Amount] ]-Table324[ [#This Row],[Account Withdrawl Amount] ], )</f>
        <v>0</v>
      </c>
      <c r="O45" s="128">
        <f>IF(Table324[[#This Row],[CODE]]=11, Table324[ [#This Row],[Account Deposit Amount] ]-Table324[ [#This Row],[Account Withdrawl Amount] ], )</f>
        <v>0</v>
      </c>
      <c r="P45" s="128">
        <f>IF(Table324[[#This Row],[CODE]]=12, Table324[ [#This Row],[Account Deposit Amount] ]-Table324[ [#This Row],[Account Withdrawl Amount] ], )</f>
        <v>0</v>
      </c>
      <c r="Q45" s="128">
        <f>IF(Table324[[#This Row],[CODE]]=13, Table324[ [#This Row],[Account Deposit Amount] ]-Table324[ [#This Row],[Account Withdrawl Amount] ], )</f>
        <v>0</v>
      </c>
      <c r="R45" s="128">
        <f>IF(Table324[[#This Row],[CODE]]=14, Table324[ [#This Row],[Account Deposit Amount] ]-Table324[ [#This Row],[Account Withdrawl Amount] ], )</f>
        <v>0</v>
      </c>
      <c r="S45" s="128">
        <f>IF(Table324[[#This Row],[CODE]]=15, Table324[ [#This Row],[Account Deposit Amount] ]-Table324[ [#This Row],[Account Withdrawl Amount] ], )</f>
        <v>0</v>
      </c>
      <c r="T45" s="128">
        <f>IF(Table324[[#This Row],[CODE]]=16, Table324[ [#This Row],[Account Deposit Amount] ]-Table324[ [#This Row],[Account Withdrawl Amount] ], )</f>
        <v>0</v>
      </c>
      <c r="U45" s="127">
        <f>IF(Table324[[#This Row],[CODE]]=17, Table324[ [#This Row],[Account Deposit Amount] ]-Table324[ [#This Row],[Account Withdrawl Amount] ], )</f>
        <v>0</v>
      </c>
      <c r="V45" s="166"/>
    </row>
    <row r="46" spans="1:22" ht="16.2" thickBot="1">
      <c r="A46" s="130"/>
      <c r="B46" s="133"/>
      <c r="C46" s="130"/>
      <c r="D46" s="132"/>
      <c r="E46" s="128"/>
      <c r="F46" s="128"/>
      <c r="G46" s="134">
        <f t="shared" si="3"/>
        <v>25358.78</v>
      </c>
      <c r="H46" s="130"/>
      <c r="I46" s="127">
        <f>IF(Table324[[#This Row],[CODE]]=1, Table324[ [#This Row],[Account Deposit Amount] ]-Table324[ [#This Row],[Account Withdrawl Amount] ], )</f>
        <v>0</v>
      </c>
      <c r="J46" s="129">
        <f>IF(Table324[[#This Row],[CODE]]=2, Table324[ [#This Row],[Account Deposit Amount] ]-Table324[ [#This Row],[Account Withdrawl Amount] ], )</f>
        <v>0</v>
      </c>
      <c r="K46" s="129">
        <f>IF(Table324[[#This Row],[CODE]]=3, Table324[ [#This Row],[Account Deposit Amount] ]-Table324[ [#This Row],[Account Withdrawl Amount] ], )</f>
        <v>0</v>
      </c>
      <c r="L46" s="128">
        <f>IF(Table324[[#This Row],[CODE]]=4, Table324[ [#This Row],[Account Deposit Amount] ]-Table324[ [#This Row],[Account Withdrawl Amount] ], )</f>
        <v>0</v>
      </c>
      <c r="M46" s="128">
        <f>IF(Table324[[#This Row],[CODE]]=5, Table324[ [#This Row],[Account Deposit Amount] ]-Table324[ [#This Row],[Account Withdrawl Amount] ], )</f>
        <v>0</v>
      </c>
      <c r="N46" s="128">
        <f>IF(Table324[[#This Row],[CODE]]=6, Table324[ [#This Row],[Account Deposit Amount] ]-Table324[ [#This Row],[Account Withdrawl Amount] ], )</f>
        <v>0</v>
      </c>
      <c r="O46" s="128">
        <f>IF(Table324[[#This Row],[CODE]]=11, Table324[ [#This Row],[Account Deposit Amount] ]-Table324[ [#This Row],[Account Withdrawl Amount] ], )</f>
        <v>0</v>
      </c>
      <c r="P46" s="128">
        <f>IF(Table324[[#This Row],[CODE]]=12, Table324[ [#This Row],[Account Deposit Amount] ]-Table324[ [#This Row],[Account Withdrawl Amount] ], )</f>
        <v>0</v>
      </c>
      <c r="Q46" s="128">
        <f>IF(Table324[[#This Row],[CODE]]=13, Table324[ [#This Row],[Account Deposit Amount] ]-Table324[ [#This Row],[Account Withdrawl Amount] ], )</f>
        <v>0</v>
      </c>
      <c r="R46" s="128">
        <f>IF(Table324[[#This Row],[CODE]]=14, Table324[ [#This Row],[Account Deposit Amount] ]-Table324[ [#This Row],[Account Withdrawl Amount] ], )</f>
        <v>0</v>
      </c>
      <c r="S46" s="128">
        <f>IF(Table324[[#This Row],[CODE]]=15, Table324[ [#This Row],[Account Deposit Amount] ]-Table324[ [#This Row],[Account Withdrawl Amount] ], )</f>
        <v>0</v>
      </c>
      <c r="T46" s="128">
        <f>IF(Table324[[#This Row],[CODE]]=16, Table324[ [#This Row],[Account Deposit Amount] ]-Table324[ [#This Row],[Account Withdrawl Amount] ], )</f>
        <v>0</v>
      </c>
      <c r="U46" s="127">
        <f>IF(Table324[[#This Row],[CODE]]=17, Table324[ [#This Row],[Account Deposit Amount] ]-Table324[ [#This Row],[Account Withdrawl Amount] ], )</f>
        <v>0</v>
      </c>
      <c r="V46" s="166"/>
    </row>
    <row r="47" spans="1:22" ht="16.2" thickBot="1">
      <c r="A47" s="130"/>
      <c r="B47" s="133"/>
      <c r="C47" s="130"/>
      <c r="D47" s="132"/>
      <c r="E47" s="128"/>
      <c r="F47" s="128"/>
      <c r="G47" s="134">
        <f t="shared" si="3"/>
        <v>25358.78</v>
      </c>
      <c r="H47" s="130"/>
      <c r="I47" s="127">
        <f>IF(Table324[[#This Row],[CODE]]=1, Table324[ [#This Row],[Account Deposit Amount] ]-Table324[ [#This Row],[Account Withdrawl Amount] ], )</f>
        <v>0</v>
      </c>
      <c r="J47" s="129">
        <f>IF(Table324[[#This Row],[CODE]]=2, Table324[ [#This Row],[Account Deposit Amount] ]-Table324[ [#This Row],[Account Withdrawl Amount] ], )</f>
        <v>0</v>
      </c>
      <c r="K47" s="129">
        <f>IF(Table324[[#This Row],[CODE]]=3, Table324[ [#This Row],[Account Deposit Amount] ]-Table324[ [#This Row],[Account Withdrawl Amount] ], )</f>
        <v>0</v>
      </c>
      <c r="L47" s="128">
        <f>IF(Table324[[#This Row],[CODE]]=4, Table324[ [#This Row],[Account Deposit Amount] ]-Table324[ [#This Row],[Account Withdrawl Amount] ], )</f>
        <v>0</v>
      </c>
      <c r="M47" s="128">
        <f>IF(Table324[[#This Row],[CODE]]=5, Table324[ [#This Row],[Account Deposit Amount] ]-Table324[ [#This Row],[Account Withdrawl Amount] ], )</f>
        <v>0</v>
      </c>
      <c r="N47" s="128">
        <f>IF(Table324[[#This Row],[CODE]]=6, Table324[ [#This Row],[Account Deposit Amount] ]-Table324[ [#This Row],[Account Withdrawl Amount] ], )</f>
        <v>0</v>
      </c>
      <c r="O47" s="128">
        <f>IF(Table324[[#This Row],[CODE]]=11, Table324[ [#This Row],[Account Deposit Amount] ]-Table324[ [#This Row],[Account Withdrawl Amount] ], )</f>
        <v>0</v>
      </c>
      <c r="P47" s="128">
        <f>IF(Table324[[#This Row],[CODE]]=12, Table324[ [#This Row],[Account Deposit Amount] ]-Table324[ [#This Row],[Account Withdrawl Amount] ], )</f>
        <v>0</v>
      </c>
      <c r="Q47" s="128">
        <f>IF(Table324[[#This Row],[CODE]]=13, Table324[ [#This Row],[Account Deposit Amount] ]-Table324[ [#This Row],[Account Withdrawl Amount] ], )</f>
        <v>0</v>
      </c>
      <c r="R47" s="128">
        <f>IF(Table324[[#This Row],[CODE]]=14, Table324[ [#This Row],[Account Deposit Amount] ]-Table324[ [#This Row],[Account Withdrawl Amount] ], )</f>
        <v>0</v>
      </c>
      <c r="S47" s="128">
        <f>IF(Table324[[#This Row],[CODE]]=15, Table324[ [#This Row],[Account Deposit Amount] ]-Table324[ [#This Row],[Account Withdrawl Amount] ], )</f>
        <v>0</v>
      </c>
      <c r="T47" s="128">
        <f>IF(Table324[[#This Row],[CODE]]=16, Table324[ [#This Row],[Account Deposit Amount] ]-Table324[ [#This Row],[Account Withdrawl Amount] ], )</f>
        <v>0</v>
      </c>
      <c r="U47" s="127">
        <f>IF(Table324[[#This Row],[CODE]]=17, Table324[ [#This Row],[Account Deposit Amount] ]-Table324[ [#This Row],[Account Withdrawl Amount] ], )</f>
        <v>0</v>
      </c>
      <c r="V47" s="166"/>
    </row>
    <row r="48" spans="1:22" ht="16.2" thickBot="1">
      <c r="A48" s="130"/>
      <c r="B48" s="133"/>
      <c r="C48" s="130"/>
      <c r="D48" s="132"/>
      <c r="E48" s="128"/>
      <c r="F48" s="128"/>
      <c r="G48" s="134">
        <f t="shared" si="3"/>
        <v>25358.78</v>
      </c>
      <c r="H48" s="130"/>
      <c r="I48" s="127">
        <f>IF(Table324[[#This Row],[CODE]]=1, Table324[ [#This Row],[Account Deposit Amount] ]-Table324[ [#This Row],[Account Withdrawl Amount] ], )</f>
        <v>0</v>
      </c>
      <c r="J48" s="129">
        <f>IF(Table324[[#This Row],[CODE]]=2, Table324[ [#This Row],[Account Deposit Amount] ]-Table324[ [#This Row],[Account Withdrawl Amount] ], )</f>
        <v>0</v>
      </c>
      <c r="K48" s="129">
        <f>IF(Table324[[#This Row],[CODE]]=3, Table324[ [#This Row],[Account Deposit Amount] ]-Table324[ [#This Row],[Account Withdrawl Amount] ], )</f>
        <v>0</v>
      </c>
      <c r="L48" s="128">
        <f>IF(Table324[[#This Row],[CODE]]=4, Table324[ [#This Row],[Account Deposit Amount] ]-Table324[ [#This Row],[Account Withdrawl Amount] ], )</f>
        <v>0</v>
      </c>
      <c r="M48" s="128">
        <f>IF(Table324[[#This Row],[CODE]]=5, Table324[ [#This Row],[Account Deposit Amount] ]-Table324[ [#This Row],[Account Withdrawl Amount] ], )</f>
        <v>0</v>
      </c>
      <c r="N48" s="128">
        <f>IF(Table324[[#This Row],[CODE]]=6, Table324[ [#This Row],[Account Deposit Amount] ]-Table324[ [#This Row],[Account Withdrawl Amount] ], )</f>
        <v>0</v>
      </c>
      <c r="O48" s="128">
        <f>IF(Table324[[#This Row],[CODE]]=11, Table324[ [#This Row],[Account Deposit Amount] ]-Table324[ [#This Row],[Account Withdrawl Amount] ], )</f>
        <v>0</v>
      </c>
      <c r="P48" s="128">
        <f>IF(Table324[[#This Row],[CODE]]=12, Table324[ [#This Row],[Account Deposit Amount] ]-Table324[ [#This Row],[Account Withdrawl Amount] ], )</f>
        <v>0</v>
      </c>
      <c r="Q48" s="128">
        <f>IF(Table324[[#This Row],[CODE]]=13, Table324[ [#This Row],[Account Deposit Amount] ]-Table324[ [#This Row],[Account Withdrawl Amount] ], )</f>
        <v>0</v>
      </c>
      <c r="R48" s="128">
        <f>IF(Table324[[#This Row],[CODE]]=14, Table324[ [#This Row],[Account Deposit Amount] ]-Table324[ [#This Row],[Account Withdrawl Amount] ], )</f>
        <v>0</v>
      </c>
      <c r="S48" s="128">
        <f>IF(Table324[[#This Row],[CODE]]=15, Table324[ [#This Row],[Account Deposit Amount] ]-Table324[ [#This Row],[Account Withdrawl Amount] ], )</f>
        <v>0</v>
      </c>
      <c r="T48" s="128">
        <f>IF(Table324[[#This Row],[CODE]]=16, Table324[ [#This Row],[Account Deposit Amount] ]-Table324[ [#This Row],[Account Withdrawl Amount] ], )</f>
        <v>0</v>
      </c>
      <c r="U48" s="127">
        <f>IF(Table324[[#This Row],[CODE]]=17, Table324[ [#This Row],[Account Deposit Amount] ]-Table324[ [#This Row],[Account Withdrawl Amount] ], )</f>
        <v>0</v>
      </c>
      <c r="V48" s="166"/>
    </row>
    <row r="49" spans="1:22" ht="16.2" thickBot="1">
      <c r="A49" s="130"/>
      <c r="B49" s="133"/>
      <c r="C49" s="130"/>
      <c r="D49" s="132"/>
      <c r="E49" s="128"/>
      <c r="F49" s="128"/>
      <c r="G49" s="134">
        <f t="shared" si="3"/>
        <v>25358.78</v>
      </c>
      <c r="H49" s="130"/>
      <c r="I49" s="127">
        <f>IF(Table324[[#This Row],[CODE]]=1, Table324[ [#This Row],[Account Deposit Amount] ]-Table324[ [#This Row],[Account Withdrawl Amount] ], )</f>
        <v>0</v>
      </c>
      <c r="J49" s="129">
        <f>IF(Table324[[#This Row],[CODE]]=2, Table324[ [#This Row],[Account Deposit Amount] ]-Table324[ [#This Row],[Account Withdrawl Amount] ], )</f>
        <v>0</v>
      </c>
      <c r="K49" s="129">
        <f>IF(Table324[[#This Row],[CODE]]=3, Table324[ [#This Row],[Account Deposit Amount] ]-Table324[ [#This Row],[Account Withdrawl Amount] ], )</f>
        <v>0</v>
      </c>
      <c r="L49" s="128">
        <f>IF(Table324[[#This Row],[CODE]]=4, Table324[ [#This Row],[Account Deposit Amount] ]-Table324[ [#This Row],[Account Withdrawl Amount] ], )</f>
        <v>0</v>
      </c>
      <c r="M49" s="128">
        <f>IF(Table324[[#This Row],[CODE]]=5, Table324[ [#This Row],[Account Deposit Amount] ]-Table324[ [#This Row],[Account Withdrawl Amount] ], )</f>
        <v>0</v>
      </c>
      <c r="N49" s="128">
        <f>IF(Table324[[#This Row],[CODE]]=6, Table324[ [#This Row],[Account Deposit Amount] ]-Table324[ [#This Row],[Account Withdrawl Amount] ], )</f>
        <v>0</v>
      </c>
      <c r="O49" s="128">
        <f>IF(Table324[[#This Row],[CODE]]=11, Table324[ [#This Row],[Account Deposit Amount] ]-Table324[ [#This Row],[Account Withdrawl Amount] ], )</f>
        <v>0</v>
      </c>
      <c r="P49" s="128">
        <f>IF(Table324[[#This Row],[CODE]]=12, Table324[ [#This Row],[Account Deposit Amount] ]-Table324[ [#This Row],[Account Withdrawl Amount] ], )</f>
        <v>0</v>
      </c>
      <c r="Q49" s="128">
        <f>IF(Table324[[#This Row],[CODE]]=13, Table324[ [#This Row],[Account Deposit Amount] ]-Table324[ [#This Row],[Account Withdrawl Amount] ], )</f>
        <v>0</v>
      </c>
      <c r="R49" s="128">
        <f>IF(Table324[[#This Row],[CODE]]=14, Table324[ [#This Row],[Account Deposit Amount] ]-Table324[ [#This Row],[Account Withdrawl Amount] ], )</f>
        <v>0</v>
      </c>
      <c r="S49" s="128">
        <f>IF(Table324[[#This Row],[CODE]]=15, Table324[ [#This Row],[Account Deposit Amount] ]-Table324[ [#This Row],[Account Withdrawl Amount] ], )</f>
        <v>0</v>
      </c>
      <c r="T49" s="128">
        <f>IF(Table324[[#This Row],[CODE]]=16, Table324[ [#This Row],[Account Deposit Amount] ]-Table324[ [#This Row],[Account Withdrawl Amount] ], )</f>
        <v>0</v>
      </c>
      <c r="U49" s="127">
        <f>IF(Table324[[#This Row],[CODE]]=17, Table324[ [#This Row],[Account Deposit Amount] ]-Table324[ [#This Row],[Account Withdrawl Amount] ], )</f>
        <v>0</v>
      </c>
      <c r="V49" s="166"/>
    </row>
    <row r="50" spans="1:22" ht="16.2" thickBot="1">
      <c r="A50" s="130"/>
      <c r="B50" s="133"/>
      <c r="C50" s="130"/>
      <c r="D50" s="132"/>
      <c r="E50" s="128"/>
      <c r="F50" s="128"/>
      <c r="G50" s="131">
        <f t="shared" si="3"/>
        <v>25358.78</v>
      </c>
      <c r="H50" s="130"/>
      <c r="I50" s="127">
        <f>IF(Table324[[#This Row],[CODE]]=1, Table324[ [#This Row],[Account Deposit Amount] ]-Table324[ [#This Row],[Account Withdrawl Amount] ], )</f>
        <v>0</v>
      </c>
      <c r="J50" s="129">
        <f>IF(Table324[[#This Row],[CODE]]=2, Table324[ [#This Row],[Account Deposit Amount] ]-Table324[ [#This Row],[Account Withdrawl Amount] ], )</f>
        <v>0</v>
      </c>
      <c r="K50" s="129">
        <f>IF(Table324[[#This Row],[CODE]]=3, Table324[ [#This Row],[Account Deposit Amount] ]-Table324[ [#This Row],[Account Withdrawl Amount] ], )</f>
        <v>0</v>
      </c>
      <c r="L50" s="128">
        <f>IF(Table324[[#This Row],[CODE]]=4, Table324[ [#This Row],[Account Deposit Amount] ]-Table324[ [#This Row],[Account Withdrawl Amount] ], )</f>
        <v>0</v>
      </c>
      <c r="M50" s="128">
        <f>IF(Table324[[#This Row],[CODE]]=5, Table324[ [#This Row],[Account Deposit Amount] ]-Table324[ [#This Row],[Account Withdrawl Amount] ], )</f>
        <v>0</v>
      </c>
      <c r="N50" s="128">
        <f>IF(Table324[[#This Row],[CODE]]=6, Table324[ [#This Row],[Account Deposit Amount] ]-Table324[ [#This Row],[Account Withdrawl Amount] ], )</f>
        <v>0</v>
      </c>
      <c r="O50" s="128">
        <f>IF(Table324[[#This Row],[CODE]]=11, Table324[ [#This Row],[Account Deposit Amount] ]-Table324[ [#This Row],[Account Withdrawl Amount] ], )</f>
        <v>0</v>
      </c>
      <c r="P50" s="128">
        <f>IF(Table324[[#This Row],[CODE]]=12, Table324[ [#This Row],[Account Deposit Amount] ]-Table324[ [#This Row],[Account Withdrawl Amount] ], )</f>
        <v>0</v>
      </c>
      <c r="Q50" s="128">
        <f>IF(Table324[[#This Row],[CODE]]=13, Table324[ [#This Row],[Account Deposit Amount] ]-Table324[ [#This Row],[Account Withdrawl Amount] ], )</f>
        <v>0</v>
      </c>
      <c r="R50" s="128">
        <f>IF(Table324[[#This Row],[CODE]]=14, Table324[ [#This Row],[Account Deposit Amount] ]-Table324[ [#This Row],[Account Withdrawl Amount] ], )</f>
        <v>0</v>
      </c>
      <c r="S50" s="128">
        <f>IF(Table324[[#This Row],[CODE]]=15, Table324[ [#This Row],[Account Deposit Amount] ]-Table324[ [#This Row],[Account Withdrawl Amount] ], )</f>
        <v>0</v>
      </c>
      <c r="T50" s="128">
        <f>IF(Table324[[#This Row],[CODE]]=16, Table324[ [#This Row],[Account Deposit Amount] ]-Table324[ [#This Row],[Account Withdrawl Amount] ], )</f>
        <v>0</v>
      </c>
      <c r="U50" s="127">
        <f>IF(Table324[[#This Row],[CODE]]=17, Table324[ [#This Row],[Account Deposit Amount] ]-Table324[ [#This Row],[Account Withdrawl Amount] ], )</f>
        <v>0</v>
      </c>
      <c r="V50" s="166"/>
    </row>
    <row r="51" spans="1:22" ht="16.2" thickBot="1">
      <c r="A51" s="130"/>
      <c r="B51" s="133"/>
      <c r="C51" s="130"/>
      <c r="D51" s="132"/>
      <c r="E51" s="128"/>
      <c r="F51" s="128"/>
      <c r="G51" s="131">
        <f t="shared" si="3"/>
        <v>25358.78</v>
      </c>
      <c r="H51" s="130"/>
      <c r="I51" s="127">
        <f>IF(Table324[[#This Row],[CODE]]=1, Table324[ [#This Row],[Account Deposit Amount] ]-Table324[ [#This Row],[Account Withdrawl Amount] ], )</f>
        <v>0</v>
      </c>
      <c r="J51" s="129">
        <f>IF(Table324[[#This Row],[CODE]]=2, Table324[ [#This Row],[Account Deposit Amount] ]-Table324[ [#This Row],[Account Withdrawl Amount] ], )</f>
        <v>0</v>
      </c>
      <c r="K51" s="129">
        <f>IF(Table324[[#This Row],[CODE]]=3, Table324[ [#This Row],[Account Deposit Amount] ]-Table324[ [#This Row],[Account Withdrawl Amount] ], )</f>
        <v>0</v>
      </c>
      <c r="L51" s="128">
        <f>IF(Table324[[#This Row],[CODE]]=4, Table324[ [#This Row],[Account Deposit Amount] ]-Table324[ [#This Row],[Account Withdrawl Amount] ], )</f>
        <v>0</v>
      </c>
      <c r="M51" s="128">
        <f>IF(Table324[[#This Row],[CODE]]=5, Table324[ [#This Row],[Account Deposit Amount] ]-Table324[ [#This Row],[Account Withdrawl Amount] ], )</f>
        <v>0</v>
      </c>
      <c r="N51" s="128">
        <f>IF(Table324[[#This Row],[CODE]]=6, Table324[ [#This Row],[Account Deposit Amount] ]-Table324[ [#This Row],[Account Withdrawl Amount] ], )</f>
        <v>0</v>
      </c>
      <c r="O51" s="128">
        <f>IF(Table324[[#This Row],[CODE]]=11, Table324[ [#This Row],[Account Deposit Amount] ]-Table324[ [#This Row],[Account Withdrawl Amount] ], )</f>
        <v>0</v>
      </c>
      <c r="P51" s="128">
        <f>IF(Table324[[#This Row],[CODE]]=12, Table324[ [#This Row],[Account Deposit Amount] ]-Table324[ [#This Row],[Account Withdrawl Amount] ], )</f>
        <v>0</v>
      </c>
      <c r="Q51" s="128">
        <f>IF(Table324[[#This Row],[CODE]]=13, Table324[ [#This Row],[Account Deposit Amount] ]-Table324[ [#This Row],[Account Withdrawl Amount] ], )</f>
        <v>0</v>
      </c>
      <c r="R51" s="128">
        <f>IF(Table324[[#This Row],[CODE]]=14, Table324[ [#This Row],[Account Deposit Amount] ]-Table324[ [#This Row],[Account Withdrawl Amount] ], )</f>
        <v>0</v>
      </c>
      <c r="S51" s="128">
        <f>IF(Table324[[#This Row],[CODE]]=15, Table324[ [#This Row],[Account Deposit Amount] ]-Table324[ [#This Row],[Account Withdrawl Amount] ], )</f>
        <v>0</v>
      </c>
      <c r="T51" s="128">
        <f>IF(Table324[[#This Row],[CODE]]=16, Table324[ [#This Row],[Account Deposit Amount] ]-Table324[ [#This Row],[Account Withdrawl Amount] ], )</f>
        <v>0</v>
      </c>
      <c r="U51" s="127">
        <f>IF(Table324[[#This Row],[CODE]]=17, Table324[ [#This Row],[Account Deposit Amount] ]-Table324[ [#This Row],[Account Withdrawl Amount] ], )</f>
        <v>0</v>
      </c>
      <c r="V51" s="166"/>
    </row>
    <row r="52" spans="1:22" ht="16.2" thickBot="1">
      <c r="A52" s="130"/>
      <c r="B52" s="133"/>
      <c r="C52" s="130"/>
      <c r="D52" s="132"/>
      <c r="E52" s="128"/>
      <c r="F52" s="128"/>
      <c r="G52" s="131">
        <f t="shared" si="3"/>
        <v>25358.78</v>
      </c>
      <c r="H52" s="130"/>
      <c r="I52" s="127">
        <f>IF(Table324[[#This Row],[CODE]]=1, Table324[ [#This Row],[Account Deposit Amount] ]-Table324[ [#This Row],[Account Withdrawl Amount] ], )</f>
        <v>0</v>
      </c>
      <c r="J52" s="129">
        <f>IF(Table324[[#This Row],[CODE]]=2, Table324[ [#This Row],[Account Deposit Amount] ]-Table324[ [#This Row],[Account Withdrawl Amount] ], )</f>
        <v>0</v>
      </c>
      <c r="K52" s="129">
        <f>IF(Table324[[#This Row],[CODE]]=3, Table324[ [#This Row],[Account Deposit Amount] ]-Table324[ [#This Row],[Account Withdrawl Amount] ], )</f>
        <v>0</v>
      </c>
      <c r="L52" s="128">
        <f>IF(Table324[[#This Row],[CODE]]=4, Table324[ [#This Row],[Account Deposit Amount] ]-Table324[ [#This Row],[Account Withdrawl Amount] ], )</f>
        <v>0</v>
      </c>
      <c r="M52" s="128">
        <f>IF(Table324[[#This Row],[CODE]]=5, Table324[ [#This Row],[Account Deposit Amount] ]-Table324[ [#This Row],[Account Withdrawl Amount] ], )</f>
        <v>0</v>
      </c>
      <c r="N52" s="128">
        <f>IF(Table324[[#This Row],[CODE]]=6, Table324[ [#This Row],[Account Deposit Amount] ]-Table324[ [#This Row],[Account Withdrawl Amount] ], )</f>
        <v>0</v>
      </c>
      <c r="O52" s="128">
        <f>IF(Table324[[#This Row],[CODE]]=11, Table324[ [#This Row],[Account Deposit Amount] ]-Table324[ [#This Row],[Account Withdrawl Amount] ], )</f>
        <v>0</v>
      </c>
      <c r="P52" s="128">
        <f>IF(Table324[[#This Row],[CODE]]=12, Table324[ [#This Row],[Account Deposit Amount] ]-Table324[ [#This Row],[Account Withdrawl Amount] ], )</f>
        <v>0</v>
      </c>
      <c r="Q52" s="128">
        <f>IF(Table324[[#This Row],[CODE]]=13, Table324[ [#This Row],[Account Deposit Amount] ]-Table324[ [#This Row],[Account Withdrawl Amount] ], )</f>
        <v>0</v>
      </c>
      <c r="R52" s="128">
        <f>IF(Table324[[#This Row],[CODE]]=14, Table324[ [#This Row],[Account Deposit Amount] ]-Table324[ [#This Row],[Account Withdrawl Amount] ], )</f>
        <v>0</v>
      </c>
      <c r="S52" s="128">
        <f>IF(Table324[[#This Row],[CODE]]=15, Table324[ [#This Row],[Account Deposit Amount] ]-Table324[ [#This Row],[Account Withdrawl Amount] ], )</f>
        <v>0</v>
      </c>
      <c r="T52" s="128">
        <f>IF(Table324[[#This Row],[CODE]]=16, Table324[ [#This Row],[Account Deposit Amount] ]-Table324[ [#This Row],[Account Withdrawl Amount] ], )</f>
        <v>0</v>
      </c>
      <c r="U52" s="127">
        <f>IF(Table324[[#This Row],[CODE]]=17, Table324[ [#This Row],[Account Deposit Amount] ]-Table324[ [#This Row],[Account Withdrawl Amount] ], )</f>
        <v>0</v>
      </c>
      <c r="V52" s="166"/>
    </row>
    <row r="53" spans="1:22" ht="16.2" thickBot="1">
      <c r="A53" s="130"/>
      <c r="B53" s="133"/>
      <c r="C53" s="130"/>
      <c r="D53" s="132"/>
      <c r="E53" s="128"/>
      <c r="F53" s="128"/>
      <c r="G53" s="131">
        <f t="shared" si="3"/>
        <v>25358.78</v>
      </c>
      <c r="H53" s="130"/>
      <c r="I53" s="127">
        <f>IF(Table324[[#This Row],[CODE]]=1, Table324[ [#This Row],[Account Deposit Amount] ]-Table324[ [#This Row],[Account Withdrawl Amount] ], )</f>
        <v>0</v>
      </c>
      <c r="J53" s="129">
        <f>IF(Table324[[#This Row],[CODE]]=2, Table324[ [#This Row],[Account Deposit Amount] ]-Table324[ [#This Row],[Account Withdrawl Amount] ], )</f>
        <v>0</v>
      </c>
      <c r="K53" s="129">
        <f>IF(Table324[[#This Row],[CODE]]=3, Table324[ [#This Row],[Account Deposit Amount] ]-Table324[ [#This Row],[Account Withdrawl Amount] ], )</f>
        <v>0</v>
      </c>
      <c r="L53" s="128">
        <f>IF(Table324[[#This Row],[CODE]]=4, Table324[ [#This Row],[Account Deposit Amount] ]-Table324[ [#This Row],[Account Withdrawl Amount] ], )</f>
        <v>0</v>
      </c>
      <c r="M53" s="128">
        <f>IF(Table324[[#This Row],[CODE]]=5, Table324[ [#This Row],[Account Deposit Amount] ]-Table324[ [#This Row],[Account Withdrawl Amount] ], )</f>
        <v>0</v>
      </c>
      <c r="N53" s="128">
        <f>IF(Table324[[#This Row],[CODE]]=6, Table324[ [#This Row],[Account Deposit Amount] ]-Table324[ [#This Row],[Account Withdrawl Amount] ], )</f>
        <v>0</v>
      </c>
      <c r="O53" s="128">
        <f>IF(Table324[[#This Row],[CODE]]=11, Table324[ [#This Row],[Account Deposit Amount] ]-Table324[ [#This Row],[Account Withdrawl Amount] ], )</f>
        <v>0</v>
      </c>
      <c r="P53" s="128">
        <f>IF(Table324[[#This Row],[CODE]]=12, Table324[ [#This Row],[Account Deposit Amount] ]-Table324[ [#This Row],[Account Withdrawl Amount] ], )</f>
        <v>0</v>
      </c>
      <c r="Q53" s="128">
        <f>IF(Table324[[#This Row],[CODE]]=13, Table324[ [#This Row],[Account Deposit Amount] ]-Table324[ [#This Row],[Account Withdrawl Amount] ], )</f>
        <v>0</v>
      </c>
      <c r="R53" s="128">
        <f>IF(Table324[[#This Row],[CODE]]=14, Table324[ [#This Row],[Account Deposit Amount] ]-Table324[ [#This Row],[Account Withdrawl Amount] ], )</f>
        <v>0</v>
      </c>
      <c r="S53" s="128">
        <f>IF(Table324[[#This Row],[CODE]]=15, Table324[ [#This Row],[Account Deposit Amount] ]-Table324[ [#This Row],[Account Withdrawl Amount] ], )</f>
        <v>0</v>
      </c>
      <c r="T53" s="128">
        <f>IF(Table324[[#This Row],[CODE]]=16, Table324[ [#This Row],[Account Deposit Amount] ]-Table324[ [#This Row],[Account Withdrawl Amount] ], )</f>
        <v>0</v>
      </c>
      <c r="U53" s="127">
        <f>IF(Table324[[#This Row],[CODE]]=17, Table324[ [#This Row],[Account Deposit Amount] ]-Table324[ [#This Row],[Account Withdrawl Amount] ], )</f>
        <v>0</v>
      </c>
      <c r="V53" s="166"/>
    </row>
    <row r="54" spans="1:22" ht="16.2" thickBot="1">
      <c r="A54" s="130"/>
      <c r="B54" s="133"/>
      <c r="C54" s="130"/>
      <c r="D54" s="132"/>
      <c r="E54" s="128"/>
      <c r="F54" s="128"/>
      <c r="G54" s="131">
        <f t="shared" si="3"/>
        <v>25358.78</v>
      </c>
      <c r="H54" s="130"/>
      <c r="I54" s="127">
        <f>IF(Table324[[#This Row],[CODE]]=1, Table324[ [#This Row],[Account Deposit Amount] ]-Table324[ [#This Row],[Account Withdrawl Amount] ], )</f>
        <v>0</v>
      </c>
      <c r="J54" s="129">
        <f>IF(Table324[[#This Row],[CODE]]=2, Table324[ [#This Row],[Account Deposit Amount] ]-Table324[ [#This Row],[Account Withdrawl Amount] ], )</f>
        <v>0</v>
      </c>
      <c r="K54" s="129">
        <f>IF(Table324[[#This Row],[CODE]]=3, Table324[ [#This Row],[Account Deposit Amount] ]-Table324[ [#This Row],[Account Withdrawl Amount] ], )</f>
        <v>0</v>
      </c>
      <c r="L54" s="128">
        <f>IF(Table324[[#This Row],[CODE]]=4, Table324[ [#This Row],[Account Deposit Amount] ]-Table324[ [#This Row],[Account Withdrawl Amount] ], )</f>
        <v>0</v>
      </c>
      <c r="M54" s="128">
        <f>IF(Table324[[#This Row],[CODE]]=5, Table324[ [#This Row],[Account Deposit Amount] ]-Table324[ [#This Row],[Account Withdrawl Amount] ], )</f>
        <v>0</v>
      </c>
      <c r="N54" s="128">
        <f>IF(Table324[[#This Row],[CODE]]=6, Table324[ [#This Row],[Account Deposit Amount] ]-Table324[ [#This Row],[Account Withdrawl Amount] ], )</f>
        <v>0</v>
      </c>
      <c r="O54" s="128">
        <f>IF(Table324[[#This Row],[CODE]]=11, Table324[ [#This Row],[Account Deposit Amount] ]-Table324[ [#This Row],[Account Withdrawl Amount] ], )</f>
        <v>0</v>
      </c>
      <c r="P54" s="128">
        <f>IF(Table324[[#This Row],[CODE]]=12, Table324[ [#This Row],[Account Deposit Amount] ]-Table324[ [#This Row],[Account Withdrawl Amount] ], )</f>
        <v>0</v>
      </c>
      <c r="Q54" s="128">
        <f>IF(Table324[[#This Row],[CODE]]=13, Table324[ [#This Row],[Account Deposit Amount] ]-Table324[ [#This Row],[Account Withdrawl Amount] ], )</f>
        <v>0</v>
      </c>
      <c r="R54" s="128">
        <f>IF(Table324[[#This Row],[CODE]]=14, Table324[ [#This Row],[Account Deposit Amount] ]-Table324[ [#This Row],[Account Withdrawl Amount] ], )</f>
        <v>0</v>
      </c>
      <c r="S54" s="128">
        <f>IF(Table324[[#This Row],[CODE]]=15, Table324[ [#This Row],[Account Deposit Amount] ]-Table324[ [#This Row],[Account Withdrawl Amount] ], )</f>
        <v>0</v>
      </c>
      <c r="T54" s="128">
        <f>IF(Table324[[#This Row],[CODE]]=16, Table324[ [#This Row],[Account Deposit Amount] ]-Table324[ [#This Row],[Account Withdrawl Amount] ], )</f>
        <v>0</v>
      </c>
      <c r="U54" s="127">
        <f>IF(Table324[[#This Row],[CODE]]=17, Table324[ [#This Row],[Account Deposit Amount] ]-Table324[ [#This Row],[Account Withdrawl Amount] ], )</f>
        <v>0</v>
      </c>
      <c r="V54" s="166"/>
    </row>
    <row r="55" spans="1:22" ht="16.2" thickBot="1">
      <c r="A55" s="130"/>
      <c r="B55" s="133"/>
      <c r="C55" s="130"/>
      <c r="D55" s="132"/>
      <c r="E55" s="128"/>
      <c r="F55" s="128"/>
      <c r="G55" s="131">
        <f t="shared" si="3"/>
        <v>25358.78</v>
      </c>
      <c r="H55" s="130"/>
      <c r="I55" s="127">
        <f>IF(Table324[[#This Row],[CODE]]=1, Table324[ [#This Row],[Account Deposit Amount] ]-Table324[ [#This Row],[Account Withdrawl Amount] ], )</f>
        <v>0</v>
      </c>
      <c r="J55" s="129">
        <f>IF(Table324[[#This Row],[CODE]]=2, Table324[ [#This Row],[Account Deposit Amount] ]-Table324[ [#This Row],[Account Withdrawl Amount] ], )</f>
        <v>0</v>
      </c>
      <c r="K55" s="129">
        <f>IF(Table324[[#This Row],[CODE]]=3, Table324[ [#This Row],[Account Deposit Amount] ]-Table324[ [#This Row],[Account Withdrawl Amount] ], )</f>
        <v>0</v>
      </c>
      <c r="L55" s="128">
        <f>IF(Table324[[#This Row],[CODE]]=4, Table324[ [#This Row],[Account Deposit Amount] ]-Table324[ [#This Row],[Account Withdrawl Amount] ], )</f>
        <v>0</v>
      </c>
      <c r="M55" s="128">
        <f>IF(Table324[[#This Row],[CODE]]=5, Table324[ [#This Row],[Account Deposit Amount] ]-Table324[ [#This Row],[Account Withdrawl Amount] ], )</f>
        <v>0</v>
      </c>
      <c r="N55" s="128">
        <f>IF(Table324[[#This Row],[CODE]]=6, Table324[ [#This Row],[Account Deposit Amount] ]-Table324[ [#This Row],[Account Withdrawl Amount] ], )</f>
        <v>0</v>
      </c>
      <c r="O55" s="128">
        <f>IF(Table324[[#This Row],[CODE]]=11, Table324[ [#This Row],[Account Deposit Amount] ]-Table324[ [#This Row],[Account Withdrawl Amount] ], )</f>
        <v>0</v>
      </c>
      <c r="P55" s="128">
        <f>IF(Table324[[#This Row],[CODE]]=12, Table324[ [#This Row],[Account Deposit Amount] ]-Table324[ [#This Row],[Account Withdrawl Amount] ], )</f>
        <v>0</v>
      </c>
      <c r="Q55" s="128">
        <f>IF(Table324[[#This Row],[CODE]]=13, Table324[ [#This Row],[Account Deposit Amount] ]-Table324[ [#This Row],[Account Withdrawl Amount] ], )</f>
        <v>0</v>
      </c>
      <c r="R55" s="128">
        <f>IF(Table324[[#This Row],[CODE]]=14, Table324[ [#This Row],[Account Deposit Amount] ]-Table324[ [#This Row],[Account Withdrawl Amount] ], )</f>
        <v>0</v>
      </c>
      <c r="S55" s="128">
        <f>IF(Table324[[#This Row],[CODE]]=15, Table324[ [#This Row],[Account Deposit Amount] ]-Table324[ [#This Row],[Account Withdrawl Amount] ], )</f>
        <v>0</v>
      </c>
      <c r="T55" s="128">
        <f>IF(Table324[[#This Row],[CODE]]=16, Table324[ [#This Row],[Account Deposit Amount] ]-Table324[ [#This Row],[Account Withdrawl Amount] ], )</f>
        <v>0</v>
      </c>
      <c r="U55" s="127">
        <f>IF(Table324[[#This Row],[CODE]]=17, Table324[ [#This Row],[Account Deposit Amount] ]-Table324[ [#This Row],[Account Withdrawl Amount] ], )</f>
        <v>0</v>
      </c>
      <c r="V55" s="166"/>
    </row>
    <row r="56" spans="1:22" ht="16.2" thickBot="1">
      <c r="A56" s="130"/>
      <c r="B56" s="133"/>
      <c r="C56" s="130"/>
      <c r="D56" s="132"/>
      <c r="E56" s="128"/>
      <c r="F56" s="128"/>
      <c r="G56" s="131">
        <f t="shared" si="3"/>
        <v>25358.78</v>
      </c>
      <c r="H56" s="130"/>
      <c r="I56" s="127">
        <f>IF(Table324[[#This Row],[CODE]]=1, Table324[ [#This Row],[Account Deposit Amount] ]-Table324[ [#This Row],[Account Withdrawl Amount] ], )</f>
        <v>0</v>
      </c>
      <c r="J56" s="129">
        <f>IF(Table324[[#This Row],[CODE]]=2, Table324[ [#This Row],[Account Deposit Amount] ]-Table324[ [#This Row],[Account Withdrawl Amount] ], )</f>
        <v>0</v>
      </c>
      <c r="K56" s="129">
        <f>IF(Table324[[#This Row],[CODE]]=3, Table324[ [#This Row],[Account Deposit Amount] ]-Table324[ [#This Row],[Account Withdrawl Amount] ], )</f>
        <v>0</v>
      </c>
      <c r="L56" s="128">
        <f>IF(Table324[[#This Row],[CODE]]=4, Table324[ [#This Row],[Account Deposit Amount] ]-Table324[ [#This Row],[Account Withdrawl Amount] ], )</f>
        <v>0</v>
      </c>
      <c r="M56" s="128">
        <f>IF(Table324[[#This Row],[CODE]]=5, Table324[ [#This Row],[Account Deposit Amount] ]-Table324[ [#This Row],[Account Withdrawl Amount] ], )</f>
        <v>0</v>
      </c>
      <c r="N56" s="128">
        <f>IF(Table324[[#This Row],[CODE]]=6, Table324[ [#This Row],[Account Deposit Amount] ]-Table324[ [#This Row],[Account Withdrawl Amount] ], )</f>
        <v>0</v>
      </c>
      <c r="O56" s="128">
        <f>IF(Table324[[#This Row],[CODE]]=11, Table324[ [#This Row],[Account Deposit Amount] ]-Table324[ [#This Row],[Account Withdrawl Amount] ], )</f>
        <v>0</v>
      </c>
      <c r="P56" s="128">
        <f>IF(Table324[[#This Row],[CODE]]=12, Table324[ [#This Row],[Account Deposit Amount] ]-Table324[ [#This Row],[Account Withdrawl Amount] ], )</f>
        <v>0</v>
      </c>
      <c r="Q56" s="128">
        <f>IF(Table324[[#This Row],[CODE]]=13, Table324[ [#This Row],[Account Deposit Amount] ]-Table324[ [#This Row],[Account Withdrawl Amount] ], )</f>
        <v>0</v>
      </c>
      <c r="R56" s="128">
        <f>IF(Table324[[#This Row],[CODE]]=14, Table324[ [#This Row],[Account Deposit Amount] ]-Table324[ [#This Row],[Account Withdrawl Amount] ], )</f>
        <v>0</v>
      </c>
      <c r="S56" s="128">
        <f>IF(Table324[[#This Row],[CODE]]=15, Table324[ [#This Row],[Account Deposit Amount] ]-Table324[ [#This Row],[Account Withdrawl Amount] ], )</f>
        <v>0</v>
      </c>
      <c r="T56" s="128">
        <f>IF(Table324[[#This Row],[CODE]]=16, Table324[ [#This Row],[Account Deposit Amount] ]-Table324[ [#This Row],[Account Withdrawl Amount] ], )</f>
        <v>0</v>
      </c>
      <c r="U56" s="127">
        <f>IF(Table324[[#This Row],[CODE]]=17, Table324[ [#This Row],[Account Deposit Amount] ]-Table324[ [#This Row],[Account Withdrawl Amount] ], )</f>
        <v>0</v>
      </c>
      <c r="V56" s="166"/>
    </row>
    <row r="57" spans="1:22" ht="16.2" thickBot="1">
      <c r="A57" s="130"/>
      <c r="B57" s="133"/>
      <c r="C57" s="130"/>
      <c r="D57" s="132"/>
      <c r="E57" s="128"/>
      <c r="F57" s="128"/>
      <c r="G57" s="131">
        <f t="shared" si="3"/>
        <v>25358.78</v>
      </c>
      <c r="H57" s="130"/>
      <c r="I57" s="127">
        <f>IF(Table324[[#This Row],[CODE]]=1, Table324[ [#This Row],[Account Deposit Amount] ]-Table324[ [#This Row],[Account Withdrawl Amount] ], )</f>
        <v>0</v>
      </c>
      <c r="J57" s="129">
        <f>IF(Table324[[#This Row],[CODE]]=2, Table324[ [#This Row],[Account Deposit Amount] ]-Table324[ [#This Row],[Account Withdrawl Amount] ], )</f>
        <v>0</v>
      </c>
      <c r="K57" s="129">
        <f>IF(Table324[[#This Row],[CODE]]=3, Table324[ [#This Row],[Account Deposit Amount] ]-Table324[ [#This Row],[Account Withdrawl Amount] ], )</f>
        <v>0</v>
      </c>
      <c r="L57" s="128">
        <f>IF(Table324[[#This Row],[CODE]]=4, Table324[ [#This Row],[Account Deposit Amount] ]-Table324[ [#This Row],[Account Withdrawl Amount] ], )</f>
        <v>0</v>
      </c>
      <c r="M57" s="128">
        <f>IF(Table324[[#This Row],[CODE]]=5, Table324[ [#This Row],[Account Deposit Amount] ]-Table324[ [#This Row],[Account Withdrawl Amount] ], )</f>
        <v>0</v>
      </c>
      <c r="N57" s="128">
        <f>IF(Table324[[#This Row],[CODE]]=6, Table324[ [#This Row],[Account Deposit Amount] ]-Table324[ [#This Row],[Account Withdrawl Amount] ], )</f>
        <v>0</v>
      </c>
      <c r="O57" s="128">
        <f>IF(Table324[[#This Row],[CODE]]=11, Table324[ [#This Row],[Account Deposit Amount] ]-Table324[ [#This Row],[Account Withdrawl Amount] ], )</f>
        <v>0</v>
      </c>
      <c r="P57" s="128">
        <f>IF(Table324[[#This Row],[CODE]]=12, Table324[ [#This Row],[Account Deposit Amount] ]-Table324[ [#This Row],[Account Withdrawl Amount] ], )</f>
        <v>0</v>
      </c>
      <c r="Q57" s="128">
        <f>IF(Table324[[#This Row],[CODE]]=13, Table324[ [#This Row],[Account Deposit Amount] ]-Table324[ [#This Row],[Account Withdrawl Amount] ], )</f>
        <v>0</v>
      </c>
      <c r="R57" s="128">
        <f>IF(Table324[[#This Row],[CODE]]=14, Table324[ [#This Row],[Account Deposit Amount] ]-Table324[ [#This Row],[Account Withdrawl Amount] ], )</f>
        <v>0</v>
      </c>
      <c r="S57" s="128">
        <f>IF(Table324[[#This Row],[CODE]]=15, Table324[ [#This Row],[Account Deposit Amount] ]-Table324[ [#This Row],[Account Withdrawl Amount] ], )</f>
        <v>0</v>
      </c>
      <c r="T57" s="128">
        <f>IF(Table324[[#This Row],[CODE]]=16, Table324[ [#This Row],[Account Deposit Amount] ]-Table324[ [#This Row],[Account Withdrawl Amount] ], )</f>
        <v>0</v>
      </c>
      <c r="U57" s="127">
        <f>IF(Table324[[#This Row],[CODE]]=17, Table324[ [#This Row],[Account Deposit Amount] ]-Table324[ [#This Row],[Account Withdrawl Amount] ], )</f>
        <v>0</v>
      </c>
      <c r="V57" s="166"/>
    </row>
    <row r="58" spans="1:22" ht="16.2" thickBot="1">
      <c r="A58" s="130"/>
      <c r="B58" s="133"/>
      <c r="C58" s="130"/>
      <c r="D58" s="132"/>
      <c r="E58" s="128"/>
      <c r="F58" s="128"/>
      <c r="G58" s="131">
        <f t="shared" si="3"/>
        <v>25358.78</v>
      </c>
      <c r="H58" s="130"/>
      <c r="I58" s="127">
        <f>IF(Table324[[#This Row],[CODE]]=1, Table324[ [#This Row],[Account Deposit Amount] ]-Table324[ [#This Row],[Account Withdrawl Amount] ], )</f>
        <v>0</v>
      </c>
      <c r="J58" s="129">
        <f>IF(Table324[[#This Row],[CODE]]=2, Table324[ [#This Row],[Account Deposit Amount] ]-Table324[ [#This Row],[Account Withdrawl Amount] ], )</f>
        <v>0</v>
      </c>
      <c r="K58" s="129">
        <f>IF(Table324[[#This Row],[CODE]]=3, Table324[ [#This Row],[Account Deposit Amount] ]-Table324[ [#This Row],[Account Withdrawl Amount] ], )</f>
        <v>0</v>
      </c>
      <c r="L58" s="128">
        <f>IF(Table324[[#This Row],[CODE]]=4, Table324[ [#This Row],[Account Deposit Amount] ]-Table324[ [#This Row],[Account Withdrawl Amount] ], )</f>
        <v>0</v>
      </c>
      <c r="M58" s="128">
        <f>IF(Table324[[#This Row],[CODE]]=5, Table324[ [#This Row],[Account Deposit Amount] ]-Table324[ [#This Row],[Account Withdrawl Amount] ], )</f>
        <v>0</v>
      </c>
      <c r="N58" s="128">
        <f>IF(Table324[[#This Row],[CODE]]=6, Table324[ [#This Row],[Account Deposit Amount] ]-Table324[ [#This Row],[Account Withdrawl Amount] ], )</f>
        <v>0</v>
      </c>
      <c r="O58" s="128">
        <f>IF(Table324[[#This Row],[CODE]]=11, Table324[ [#This Row],[Account Deposit Amount] ]-Table324[ [#This Row],[Account Withdrawl Amount] ], )</f>
        <v>0</v>
      </c>
      <c r="P58" s="128">
        <f>IF(Table324[[#This Row],[CODE]]=12, Table324[ [#This Row],[Account Deposit Amount] ]-Table324[ [#This Row],[Account Withdrawl Amount] ], )</f>
        <v>0</v>
      </c>
      <c r="Q58" s="128">
        <f>IF(Table324[[#This Row],[CODE]]=13, Table324[ [#This Row],[Account Deposit Amount] ]-Table324[ [#This Row],[Account Withdrawl Amount] ], )</f>
        <v>0</v>
      </c>
      <c r="R58" s="128">
        <f>IF(Table324[[#This Row],[CODE]]=14, Table324[ [#This Row],[Account Deposit Amount] ]-Table324[ [#This Row],[Account Withdrawl Amount] ], )</f>
        <v>0</v>
      </c>
      <c r="S58" s="128">
        <f>IF(Table324[[#This Row],[CODE]]=15, Table324[ [#This Row],[Account Deposit Amount] ]-Table324[ [#This Row],[Account Withdrawl Amount] ], )</f>
        <v>0</v>
      </c>
      <c r="T58" s="128">
        <f>IF(Table324[[#This Row],[CODE]]=16, Table324[ [#This Row],[Account Deposit Amount] ]-Table324[ [#This Row],[Account Withdrawl Amount] ], )</f>
        <v>0</v>
      </c>
      <c r="U58" s="127">
        <f>IF(Table324[[#This Row],[CODE]]=17, Table324[ [#This Row],[Account Deposit Amount] ]-Table324[ [#This Row],[Account Withdrawl Amount] ], )</f>
        <v>0</v>
      </c>
      <c r="V58" s="166"/>
    </row>
    <row r="59" spans="1:22" ht="16.2" thickBot="1">
      <c r="A59" s="130"/>
      <c r="B59" s="133"/>
      <c r="C59" s="130"/>
      <c r="D59" s="132"/>
      <c r="E59" s="128"/>
      <c r="F59" s="128"/>
      <c r="G59" s="131">
        <f t="shared" si="3"/>
        <v>25358.78</v>
      </c>
      <c r="H59" s="130"/>
      <c r="I59" s="127">
        <f>IF(Table324[[#This Row],[CODE]]=1, Table324[ [#This Row],[Account Deposit Amount] ]-Table324[ [#This Row],[Account Withdrawl Amount] ], )</f>
        <v>0</v>
      </c>
      <c r="J59" s="129">
        <f>IF(Table324[[#This Row],[CODE]]=2, Table324[ [#This Row],[Account Deposit Amount] ]-Table324[ [#This Row],[Account Withdrawl Amount] ], )</f>
        <v>0</v>
      </c>
      <c r="K59" s="129">
        <f>IF(Table324[[#This Row],[CODE]]=3, Table324[ [#This Row],[Account Deposit Amount] ]-Table324[ [#This Row],[Account Withdrawl Amount] ], )</f>
        <v>0</v>
      </c>
      <c r="L59" s="128">
        <f>IF(Table324[[#This Row],[CODE]]=4, Table324[ [#This Row],[Account Deposit Amount] ]-Table324[ [#This Row],[Account Withdrawl Amount] ], )</f>
        <v>0</v>
      </c>
      <c r="M59" s="128">
        <f>IF(Table324[[#This Row],[CODE]]=5, Table324[ [#This Row],[Account Deposit Amount] ]-Table324[ [#This Row],[Account Withdrawl Amount] ], )</f>
        <v>0</v>
      </c>
      <c r="N59" s="128">
        <f>IF(Table324[[#This Row],[CODE]]=6, Table324[ [#This Row],[Account Deposit Amount] ]-Table324[ [#This Row],[Account Withdrawl Amount] ], )</f>
        <v>0</v>
      </c>
      <c r="O59" s="128">
        <f>IF(Table324[[#This Row],[CODE]]=11, Table324[ [#This Row],[Account Deposit Amount] ]-Table324[ [#This Row],[Account Withdrawl Amount] ], )</f>
        <v>0</v>
      </c>
      <c r="P59" s="128">
        <f>IF(Table324[[#This Row],[CODE]]=12, Table324[ [#This Row],[Account Deposit Amount] ]-Table324[ [#This Row],[Account Withdrawl Amount] ], )</f>
        <v>0</v>
      </c>
      <c r="Q59" s="128">
        <f>IF(Table324[[#This Row],[CODE]]=13, Table324[ [#This Row],[Account Deposit Amount] ]-Table324[ [#This Row],[Account Withdrawl Amount] ], )</f>
        <v>0</v>
      </c>
      <c r="R59" s="128">
        <f>IF(Table324[[#This Row],[CODE]]=14, Table324[ [#This Row],[Account Deposit Amount] ]-Table324[ [#This Row],[Account Withdrawl Amount] ], )</f>
        <v>0</v>
      </c>
      <c r="S59" s="128">
        <f>IF(Table324[[#This Row],[CODE]]=15, Table324[ [#This Row],[Account Deposit Amount] ]-Table324[ [#This Row],[Account Withdrawl Amount] ], )</f>
        <v>0</v>
      </c>
      <c r="T59" s="128">
        <f>IF(Table324[[#This Row],[CODE]]=16, Table324[ [#This Row],[Account Deposit Amount] ]-Table324[ [#This Row],[Account Withdrawl Amount] ], )</f>
        <v>0</v>
      </c>
      <c r="U59" s="127">
        <f>IF(Table324[[#This Row],[CODE]]=17, Table324[ [#This Row],[Account Deposit Amount] ]-Table324[ [#This Row],[Account Withdrawl Amount] ], )</f>
        <v>0</v>
      </c>
      <c r="V59" s="166"/>
    </row>
    <row r="60" spans="1:22" ht="16.2" thickBot="1">
      <c r="A60" s="130"/>
      <c r="B60" s="133"/>
      <c r="C60" s="130"/>
      <c r="D60" s="132"/>
      <c r="E60" s="128"/>
      <c r="F60" s="128"/>
      <c r="G60" s="131">
        <f t="shared" si="3"/>
        <v>25358.78</v>
      </c>
      <c r="H60" s="130"/>
      <c r="I60" s="127">
        <f>IF(Table324[[#This Row],[CODE]]=1, Table324[ [#This Row],[Account Deposit Amount] ]-Table324[ [#This Row],[Account Withdrawl Amount] ], )</f>
        <v>0</v>
      </c>
      <c r="J60" s="129">
        <f>IF(Table324[[#This Row],[CODE]]=2, Table324[ [#This Row],[Account Deposit Amount] ]-Table324[ [#This Row],[Account Withdrawl Amount] ], )</f>
        <v>0</v>
      </c>
      <c r="K60" s="129">
        <f>IF(Table324[[#This Row],[CODE]]=3, Table324[ [#This Row],[Account Deposit Amount] ]-Table324[ [#This Row],[Account Withdrawl Amount] ], )</f>
        <v>0</v>
      </c>
      <c r="L60" s="128">
        <f>IF(Table324[[#This Row],[CODE]]=4, Table324[ [#This Row],[Account Deposit Amount] ]-Table324[ [#This Row],[Account Withdrawl Amount] ], )</f>
        <v>0</v>
      </c>
      <c r="M60" s="128">
        <f>IF(Table324[[#This Row],[CODE]]=5, Table324[ [#This Row],[Account Deposit Amount] ]-Table324[ [#This Row],[Account Withdrawl Amount] ], )</f>
        <v>0</v>
      </c>
      <c r="N60" s="128">
        <f>IF(Table324[[#This Row],[CODE]]=6, Table324[ [#This Row],[Account Deposit Amount] ]-Table324[ [#This Row],[Account Withdrawl Amount] ], )</f>
        <v>0</v>
      </c>
      <c r="O60" s="128">
        <f>IF(Table324[[#This Row],[CODE]]=11, Table324[ [#This Row],[Account Deposit Amount] ]-Table324[ [#This Row],[Account Withdrawl Amount] ], )</f>
        <v>0</v>
      </c>
      <c r="P60" s="128">
        <f>IF(Table324[[#This Row],[CODE]]=12, Table324[ [#This Row],[Account Deposit Amount] ]-Table324[ [#This Row],[Account Withdrawl Amount] ], )</f>
        <v>0</v>
      </c>
      <c r="Q60" s="128">
        <f>IF(Table324[[#This Row],[CODE]]=13, Table324[ [#This Row],[Account Deposit Amount] ]-Table324[ [#This Row],[Account Withdrawl Amount] ], )</f>
        <v>0</v>
      </c>
      <c r="R60" s="128">
        <f>IF(Table324[[#This Row],[CODE]]=14, Table324[ [#This Row],[Account Deposit Amount] ]-Table324[ [#This Row],[Account Withdrawl Amount] ], )</f>
        <v>0</v>
      </c>
      <c r="S60" s="128">
        <f>IF(Table324[[#This Row],[CODE]]=15, Table324[ [#This Row],[Account Deposit Amount] ]-Table324[ [#This Row],[Account Withdrawl Amount] ], )</f>
        <v>0</v>
      </c>
      <c r="T60" s="128">
        <f>IF(Table324[[#This Row],[CODE]]=16, Table324[ [#This Row],[Account Deposit Amount] ]-Table324[ [#This Row],[Account Withdrawl Amount] ], )</f>
        <v>0</v>
      </c>
      <c r="U60" s="127">
        <f>IF(Table324[[#This Row],[CODE]]=17, Table324[ [#This Row],[Account Deposit Amount] ]-Table324[ [#This Row],[Account Withdrawl Amount] ], )</f>
        <v>0</v>
      </c>
      <c r="V60" s="166"/>
    </row>
    <row r="61" spans="1:22" ht="16.2" thickBot="1">
      <c r="A61" s="130"/>
      <c r="B61" s="133"/>
      <c r="C61" s="130"/>
      <c r="D61" s="132"/>
      <c r="E61" s="128"/>
      <c r="F61" s="128"/>
      <c r="G61" s="131">
        <f t="shared" si="3"/>
        <v>25358.78</v>
      </c>
      <c r="H61" s="130"/>
      <c r="I61" s="127">
        <f>IF(Table324[[#This Row],[CODE]]=1, Table324[ [#This Row],[Account Deposit Amount] ]-Table324[ [#This Row],[Account Withdrawl Amount] ], )</f>
        <v>0</v>
      </c>
      <c r="J61" s="129">
        <f>IF(Table324[[#This Row],[CODE]]=2, Table324[ [#This Row],[Account Deposit Amount] ]-Table324[ [#This Row],[Account Withdrawl Amount] ], )</f>
        <v>0</v>
      </c>
      <c r="K61" s="129">
        <f>IF(Table324[[#This Row],[CODE]]=3, Table324[ [#This Row],[Account Deposit Amount] ]-Table324[ [#This Row],[Account Withdrawl Amount] ], )</f>
        <v>0</v>
      </c>
      <c r="L61" s="128">
        <f>IF(Table324[[#This Row],[CODE]]=4, Table324[ [#This Row],[Account Deposit Amount] ]-Table324[ [#This Row],[Account Withdrawl Amount] ], )</f>
        <v>0</v>
      </c>
      <c r="M61" s="128">
        <f>IF(Table324[[#This Row],[CODE]]=5, Table324[ [#This Row],[Account Deposit Amount] ]-Table324[ [#This Row],[Account Withdrawl Amount] ], )</f>
        <v>0</v>
      </c>
      <c r="N61" s="128">
        <f>IF(Table324[[#This Row],[CODE]]=6, Table324[ [#This Row],[Account Deposit Amount] ]-Table324[ [#This Row],[Account Withdrawl Amount] ], )</f>
        <v>0</v>
      </c>
      <c r="O61" s="128">
        <f>IF(Table324[[#This Row],[CODE]]=11, Table324[ [#This Row],[Account Deposit Amount] ]-Table324[ [#This Row],[Account Withdrawl Amount] ], )</f>
        <v>0</v>
      </c>
      <c r="P61" s="128">
        <f>IF(Table324[[#This Row],[CODE]]=12, Table324[ [#This Row],[Account Deposit Amount] ]-Table324[ [#This Row],[Account Withdrawl Amount] ], )</f>
        <v>0</v>
      </c>
      <c r="Q61" s="128">
        <f>IF(Table324[[#This Row],[CODE]]=13, Table324[ [#This Row],[Account Deposit Amount] ]-Table324[ [#This Row],[Account Withdrawl Amount] ], )</f>
        <v>0</v>
      </c>
      <c r="R61" s="128">
        <f>IF(Table324[[#This Row],[CODE]]=14, Table324[ [#This Row],[Account Deposit Amount] ]-Table324[ [#This Row],[Account Withdrawl Amount] ], )</f>
        <v>0</v>
      </c>
      <c r="S61" s="128">
        <f>IF(Table324[[#This Row],[CODE]]=15, Table324[ [#This Row],[Account Deposit Amount] ]-Table324[ [#This Row],[Account Withdrawl Amount] ], )</f>
        <v>0</v>
      </c>
      <c r="T61" s="128">
        <f>IF(Table324[[#This Row],[CODE]]=16, Table324[ [#This Row],[Account Deposit Amount] ]-Table324[ [#This Row],[Account Withdrawl Amount] ], )</f>
        <v>0</v>
      </c>
      <c r="U61" s="127">
        <f>IF(Table324[[#This Row],[CODE]]=17, Table324[ [#This Row],[Account Deposit Amount] ]-Table324[ [#This Row],[Account Withdrawl Amount] ], )</f>
        <v>0</v>
      </c>
      <c r="V61" s="166"/>
    </row>
    <row r="62" spans="1:22" ht="16.2" thickBot="1">
      <c r="A62" s="130"/>
      <c r="B62" s="133"/>
      <c r="C62" s="130"/>
      <c r="D62" s="132"/>
      <c r="E62" s="128"/>
      <c r="F62" s="128"/>
      <c r="G62" s="131">
        <f t="shared" si="3"/>
        <v>25358.78</v>
      </c>
      <c r="H62" s="130"/>
      <c r="I62" s="127">
        <f>IF(Table324[[#This Row],[CODE]]=1, Table324[ [#This Row],[Account Deposit Amount] ]-Table324[ [#This Row],[Account Withdrawl Amount] ], )</f>
        <v>0</v>
      </c>
      <c r="J62" s="129">
        <f>IF(Table324[[#This Row],[CODE]]=2, Table324[ [#This Row],[Account Deposit Amount] ]-Table324[ [#This Row],[Account Withdrawl Amount] ], )</f>
        <v>0</v>
      </c>
      <c r="K62" s="129">
        <f>IF(Table324[[#This Row],[CODE]]=3, Table324[ [#This Row],[Account Deposit Amount] ]-Table324[ [#This Row],[Account Withdrawl Amount] ], )</f>
        <v>0</v>
      </c>
      <c r="L62" s="128">
        <f>IF(Table324[[#This Row],[CODE]]=4, Table324[ [#This Row],[Account Deposit Amount] ]-Table324[ [#This Row],[Account Withdrawl Amount] ], )</f>
        <v>0</v>
      </c>
      <c r="M62" s="128">
        <f>IF(Table324[[#This Row],[CODE]]=5, Table324[ [#This Row],[Account Deposit Amount] ]-Table324[ [#This Row],[Account Withdrawl Amount] ], )</f>
        <v>0</v>
      </c>
      <c r="N62" s="128">
        <f>IF(Table324[[#This Row],[CODE]]=6, Table324[ [#This Row],[Account Deposit Amount] ]-Table324[ [#This Row],[Account Withdrawl Amount] ], )</f>
        <v>0</v>
      </c>
      <c r="O62" s="128">
        <f>IF(Table324[[#This Row],[CODE]]=11, Table324[ [#This Row],[Account Deposit Amount] ]-Table324[ [#This Row],[Account Withdrawl Amount] ], )</f>
        <v>0</v>
      </c>
      <c r="P62" s="128">
        <f>IF(Table324[[#This Row],[CODE]]=12, Table324[ [#This Row],[Account Deposit Amount] ]-Table324[ [#This Row],[Account Withdrawl Amount] ], )</f>
        <v>0</v>
      </c>
      <c r="Q62" s="128">
        <f>IF(Table324[[#This Row],[CODE]]=13, Table324[ [#This Row],[Account Deposit Amount] ]-Table324[ [#This Row],[Account Withdrawl Amount] ], )</f>
        <v>0</v>
      </c>
      <c r="R62" s="128">
        <f>IF(Table324[[#This Row],[CODE]]=14, Table324[ [#This Row],[Account Deposit Amount] ]-Table324[ [#This Row],[Account Withdrawl Amount] ], )</f>
        <v>0</v>
      </c>
      <c r="S62" s="128">
        <f>IF(Table324[[#This Row],[CODE]]=15, Table324[ [#This Row],[Account Deposit Amount] ]-Table324[ [#This Row],[Account Withdrawl Amount] ], )</f>
        <v>0</v>
      </c>
      <c r="T62" s="128">
        <f>IF(Table324[[#This Row],[CODE]]=16, Table324[ [#This Row],[Account Deposit Amount] ]-Table324[ [#This Row],[Account Withdrawl Amount] ], )</f>
        <v>0</v>
      </c>
      <c r="U62" s="127">
        <f>IF(Table324[[#This Row],[CODE]]=17, Table324[ [#This Row],[Account Deposit Amount] ]-Table324[ [#This Row],[Account Withdrawl Amount] ], )</f>
        <v>0</v>
      </c>
      <c r="V62" s="166"/>
    </row>
    <row r="63" spans="1:22" ht="16.2" thickBot="1">
      <c r="A63" s="130"/>
      <c r="B63" s="133"/>
      <c r="C63" s="130"/>
      <c r="D63" s="132"/>
      <c r="E63" s="128"/>
      <c r="F63" s="128"/>
      <c r="G63" s="131">
        <f t="shared" si="3"/>
        <v>25358.78</v>
      </c>
      <c r="H63" s="130"/>
      <c r="I63" s="127">
        <f>IF(Table324[[#This Row],[CODE]]=1, Table324[ [#This Row],[Account Deposit Amount] ]-Table324[ [#This Row],[Account Withdrawl Amount] ], )</f>
        <v>0</v>
      </c>
      <c r="J63" s="129">
        <f>IF(Table324[[#This Row],[CODE]]=2, Table324[ [#This Row],[Account Deposit Amount] ]-Table324[ [#This Row],[Account Withdrawl Amount] ], )</f>
        <v>0</v>
      </c>
      <c r="K63" s="129">
        <f>IF(Table324[[#This Row],[CODE]]=3, Table324[ [#This Row],[Account Deposit Amount] ]-Table324[ [#This Row],[Account Withdrawl Amount] ], )</f>
        <v>0</v>
      </c>
      <c r="L63" s="128">
        <f>IF(Table324[[#This Row],[CODE]]=4, Table324[ [#This Row],[Account Deposit Amount] ]-Table324[ [#This Row],[Account Withdrawl Amount] ], )</f>
        <v>0</v>
      </c>
      <c r="M63" s="128">
        <f>IF(Table324[[#This Row],[CODE]]=5, Table324[ [#This Row],[Account Deposit Amount] ]-Table324[ [#This Row],[Account Withdrawl Amount] ], )</f>
        <v>0</v>
      </c>
      <c r="N63" s="128">
        <f>IF(Table324[[#This Row],[CODE]]=6, Table324[ [#This Row],[Account Deposit Amount] ]-Table324[ [#This Row],[Account Withdrawl Amount] ], )</f>
        <v>0</v>
      </c>
      <c r="O63" s="128">
        <f>IF(Table324[[#This Row],[CODE]]=11, Table324[ [#This Row],[Account Deposit Amount] ]-Table324[ [#This Row],[Account Withdrawl Amount] ], )</f>
        <v>0</v>
      </c>
      <c r="P63" s="128">
        <f>IF(Table324[[#This Row],[CODE]]=12, Table324[ [#This Row],[Account Deposit Amount] ]-Table324[ [#This Row],[Account Withdrawl Amount] ], )</f>
        <v>0</v>
      </c>
      <c r="Q63" s="128">
        <f>IF(Table324[[#This Row],[CODE]]=13, Table324[ [#This Row],[Account Deposit Amount] ]-Table324[ [#This Row],[Account Withdrawl Amount] ], )</f>
        <v>0</v>
      </c>
      <c r="R63" s="128">
        <f>IF(Table324[[#This Row],[CODE]]=14, Table324[ [#This Row],[Account Deposit Amount] ]-Table324[ [#This Row],[Account Withdrawl Amount] ], )</f>
        <v>0</v>
      </c>
      <c r="S63" s="128">
        <f>IF(Table324[[#This Row],[CODE]]=15, Table324[ [#This Row],[Account Deposit Amount] ]-Table324[ [#This Row],[Account Withdrawl Amount] ], )</f>
        <v>0</v>
      </c>
      <c r="T63" s="128">
        <f>IF(Table324[[#This Row],[CODE]]=16, Table324[ [#This Row],[Account Deposit Amount] ]-Table324[ [#This Row],[Account Withdrawl Amount] ], )</f>
        <v>0</v>
      </c>
      <c r="U63" s="127">
        <f>IF(Table324[[#This Row],[CODE]]=17, Table324[ [#This Row],[Account Deposit Amount] ]-Table324[ [#This Row],[Account Withdrawl Amount] ], )</f>
        <v>0</v>
      </c>
      <c r="V63" s="166"/>
    </row>
    <row r="64" spans="1:22" ht="16.2" thickBot="1">
      <c r="A64" s="130"/>
      <c r="B64" s="133"/>
      <c r="C64" s="130"/>
      <c r="D64" s="132"/>
      <c r="E64" s="128"/>
      <c r="F64" s="128"/>
      <c r="G64" s="131">
        <f t="shared" si="3"/>
        <v>25358.78</v>
      </c>
      <c r="H64" s="130"/>
      <c r="I64" s="127">
        <f>IF(Table324[[#This Row],[CODE]]=1, Table324[ [#This Row],[Account Deposit Amount] ]-Table324[ [#This Row],[Account Withdrawl Amount] ], )</f>
        <v>0</v>
      </c>
      <c r="J64" s="129">
        <f>IF(Table324[[#This Row],[CODE]]=2, Table324[ [#This Row],[Account Deposit Amount] ]-Table324[ [#This Row],[Account Withdrawl Amount] ], )</f>
        <v>0</v>
      </c>
      <c r="K64" s="129">
        <f>IF(Table324[[#This Row],[CODE]]=3, Table324[ [#This Row],[Account Deposit Amount] ]-Table324[ [#This Row],[Account Withdrawl Amount] ], )</f>
        <v>0</v>
      </c>
      <c r="L64" s="128">
        <f>IF(Table324[[#This Row],[CODE]]=4, Table324[ [#This Row],[Account Deposit Amount] ]-Table324[ [#This Row],[Account Withdrawl Amount] ], )</f>
        <v>0</v>
      </c>
      <c r="M64" s="128">
        <f>IF(Table324[[#This Row],[CODE]]=5, Table324[ [#This Row],[Account Deposit Amount] ]-Table324[ [#This Row],[Account Withdrawl Amount] ], )</f>
        <v>0</v>
      </c>
      <c r="N64" s="128">
        <f>IF(Table324[[#This Row],[CODE]]=6, Table324[ [#This Row],[Account Deposit Amount] ]-Table324[ [#This Row],[Account Withdrawl Amount] ], )</f>
        <v>0</v>
      </c>
      <c r="O64" s="128">
        <f>IF(Table324[[#This Row],[CODE]]=11, Table324[ [#This Row],[Account Deposit Amount] ]-Table324[ [#This Row],[Account Withdrawl Amount] ], )</f>
        <v>0</v>
      </c>
      <c r="P64" s="128">
        <f>IF(Table324[[#This Row],[CODE]]=12, Table324[ [#This Row],[Account Deposit Amount] ]-Table324[ [#This Row],[Account Withdrawl Amount] ], )</f>
        <v>0</v>
      </c>
      <c r="Q64" s="128">
        <f>IF(Table324[[#This Row],[CODE]]=13, Table324[ [#This Row],[Account Deposit Amount] ]-Table324[ [#This Row],[Account Withdrawl Amount] ], )</f>
        <v>0</v>
      </c>
      <c r="R64" s="128">
        <f>IF(Table324[[#This Row],[CODE]]=14, Table324[ [#This Row],[Account Deposit Amount] ]-Table324[ [#This Row],[Account Withdrawl Amount] ], )</f>
        <v>0</v>
      </c>
      <c r="S64" s="128">
        <f>IF(Table324[[#This Row],[CODE]]=15, Table324[ [#This Row],[Account Deposit Amount] ]-Table324[ [#This Row],[Account Withdrawl Amount] ], )</f>
        <v>0</v>
      </c>
      <c r="T64" s="128">
        <f>IF(Table324[[#This Row],[CODE]]=16, Table324[ [#This Row],[Account Deposit Amount] ]-Table324[ [#This Row],[Account Withdrawl Amount] ], )</f>
        <v>0</v>
      </c>
      <c r="U64" s="127">
        <f>IF(Table324[[#This Row],[CODE]]=17, Table324[ [#This Row],[Account Deposit Amount] ]-Table324[ [#This Row],[Account Withdrawl Amount] ], )</f>
        <v>0</v>
      </c>
      <c r="V64" s="166"/>
    </row>
    <row r="65" spans="1:22" ht="16.2" thickBot="1">
      <c r="A65" s="130"/>
      <c r="B65" s="133"/>
      <c r="C65" s="130"/>
      <c r="D65" s="132"/>
      <c r="E65" s="128"/>
      <c r="F65" s="128"/>
      <c r="G65" s="131">
        <f t="shared" si="3"/>
        <v>25358.78</v>
      </c>
      <c r="H65" s="130"/>
      <c r="I65" s="127">
        <f>IF(Table324[[#This Row],[CODE]]=1, Table324[ [#This Row],[Account Deposit Amount] ]-Table324[ [#This Row],[Account Withdrawl Amount] ], )</f>
        <v>0</v>
      </c>
      <c r="J65" s="129">
        <f>IF(Table324[[#This Row],[CODE]]=2, Table324[ [#This Row],[Account Deposit Amount] ]-Table324[ [#This Row],[Account Withdrawl Amount] ], )</f>
        <v>0</v>
      </c>
      <c r="K65" s="129">
        <f>IF(Table324[[#This Row],[CODE]]=3, Table324[ [#This Row],[Account Deposit Amount] ]-Table324[ [#This Row],[Account Withdrawl Amount] ], )</f>
        <v>0</v>
      </c>
      <c r="L65" s="128">
        <f>IF(Table324[[#This Row],[CODE]]=4, Table324[ [#This Row],[Account Deposit Amount] ]-Table324[ [#This Row],[Account Withdrawl Amount] ], )</f>
        <v>0</v>
      </c>
      <c r="M65" s="128">
        <f>IF(Table324[[#This Row],[CODE]]=5, Table324[ [#This Row],[Account Deposit Amount] ]-Table324[ [#This Row],[Account Withdrawl Amount] ], )</f>
        <v>0</v>
      </c>
      <c r="N65" s="128">
        <f>IF(Table324[[#This Row],[CODE]]=6, Table324[ [#This Row],[Account Deposit Amount] ]-Table324[ [#This Row],[Account Withdrawl Amount] ], )</f>
        <v>0</v>
      </c>
      <c r="O65" s="128">
        <f>IF(Table324[[#This Row],[CODE]]=11, Table324[ [#This Row],[Account Deposit Amount] ]-Table324[ [#This Row],[Account Withdrawl Amount] ], )</f>
        <v>0</v>
      </c>
      <c r="P65" s="128">
        <f>IF(Table324[[#This Row],[CODE]]=12, Table324[ [#This Row],[Account Deposit Amount] ]-Table324[ [#This Row],[Account Withdrawl Amount] ], )</f>
        <v>0</v>
      </c>
      <c r="Q65" s="128">
        <f>IF(Table324[[#This Row],[CODE]]=13, Table324[ [#This Row],[Account Deposit Amount] ]-Table324[ [#This Row],[Account Withdrawl Amount] ], )</f>
        <v>0</v>
      </c>
      <c r="R65" s="128">
        <f>IF(Table324[[#This Row],[CODE]]=14, Table324[ [#This Row],[Account Deposit Amount] ]-Table324[ [#This Row],[Account Withdrawl Amount] ], )</f>
        <v>0</v>
      </c>
      <c r="S65" s="128">
        <f>IF(Table324[[#This Row],[CODE]]=15, Table324[ [#This Row],[Account Deposit Amount] ]-Table324[ [#This Row],[Account Withdrawl Amount] ], )</f>
        <v>0</v>
      </c>
      <c r="T65" s="128">
        <f>IF(Table324[[#This Row],[CODE]]=16, Table324[ [#This Row],[Account Deposit Amount] ]-Table324[ [#This Row],[Account Withdrawl Amount] ], )</f>
        <v>0</v>
      </c>
      <c r="U65" s="127">
        <f>IF(Table324[[#This Row],[CODE]]=17, Table324[ [#This Row],[Account Deposit Amount] ]-Table324[ [#This Row],[Account Withdrawl Amount] ], )</f>
        <v>0</v>
      </c>
      <c r="V65" s="166"/>
    </row>
    <row r="66" spans="1:22" ht="16.2" thickBot="1">
      <c r="A66" s="130"/>
      <c r="B66" s="133"/>
      <c r="C66" s="130"/>
      <c r="D66" s="132"/>
      <c r="E66" s="128"/>
      <c r="F66" s="128"/>
      <c r="G66" s="131">
        <f t="shared" si="3"/>
        <v>25358.78</v>
      </c>
      <c r="H66" s="130"/>
      <c r="I66" s="127">
        <f>IF(Table324[[#This Row],[CODE]]=1, Table324[ [#This Row],[Account Deposit Amount] ]-Table324[ [#This Row],[Account Withdrawl Amount] ], )</f>
        <v>0</v>
      </c>
      <c r="J66" s="129">
        <f>IF(Table324[[#This Row],[CODE]]=2, Table324[ [#This Row],[Account Deposit Amount] ]-Table324[ [#This Row],[Account Withdrawl Amount] ], )</f>
        <v>0</v>
      </c>
      <c r="K66" s="129">
        <f>IF(Table324[[#This Row],[CODE]]=3, Table324[ [#This Row],[Account Deposit Amount] ]-Table324[ [#This Row],[Account Withdrawl Amount] ], )</f>
        <v>0</v>
      </c>
      <c r="L66" s="128">
        <f>IF(Table324[[#This Row],[CODE]]=4, Table324[ [#This Row],[Account Deposit Amount] ]-Table324[ [#This Row],[Account Withdrawl Amount] ], )</f>
        <v>0</v>
      </c>
      <c r="M66" s="128">
        <f>IF(Table324[[#This Row],[CODE]]=5, Table324[ [#This Row],[Account Deposit Amount] ]-Table324[ [#This Row],[Account Withdrawl Amount] ], )</f>
        <v>0</v>
      </c>
      <c r="N66" s="128">
        <f>IF(Table324[[#This Row],[CODE]]=6, Table324[ [#This Row],[Account Deposit Amount] ]-Table324[ [#This Row],[Account Withdrawl Amount] ], )</f>
        <v>0</v>
      </c>
      <c r="O66" s="128">
        <f>IF(Table324[[#This Row],[CODE]]=11, Table324[ [#This Row],[Account Deposit Amount] ]-Table324[ [#This Row],[Account Withdrawl Amount] ], )</f>
        <v>0</v>
      </c>
      <c r="P66" s="128">
        <f>IF(Table324[[#This Row],[CODE]]=12, Table324[ [#This Row],[Account Deposit Amount] ]-Table324[ [#This Row],[Account Withdrawl Amount] ], )</f>
        <v>0</v>
      </c>
      <c r="Q66" s="128">
        <f>IF(Table324[[#This Row],[CODE]]=13, Table324[ [#This Row],[Account Deposit Amount] ]-Table324[ [#This Row],[Account Withdrawl Amount] ], )</f>
        <v>0</v>
      </c>
      <c r="R66" s="128">
        <f>IF(Table324[[#This Row],[CODE]]=14, Table324[ [#This Row],[Account Deposit Amount] ]-Table324[ [#This Row],[Account Withdrawl Amount] ], )</f>
        <v>0</v>
      </c>
      <c r="S66" s="128">
        <f>IF(Table324[[#This Row],[CODE]]=15, Table324[ [#This Row],[Account Deposit Amount] ]-Table324[ [#This Row],[Account Withdrawl Amount] ], )</f>
        <v>0</v>
      </c>
      <c r="T66" s="128">
        <f>IF(Table324[[#This Row],[CODE]]=16, Table324[ [#This Row],[Account Deposit Amount] ]-Table324[ [#This Row],[Account Withdrawl Amount] ], )</f>
        <v>0</v>
      </c>
      <c r="U66" s="127">
        <f>IF(Table324[[#This Row],[CODE]]=17, Table324[ [#This Row],[Account Deposit Amount] ]-Table324[ [#This Row],[Account Withdrawl Amount] ], )</f>
        <v>0</v>
      </c>
      <c r="V66" s="166"/>
    </row>
    <row r="67" spans="1:22" ht="16.2" thickBot="1">
      <c r="A67" s="130"/>
      <c r="B67" s="133"/>
      <c r="C67" s="130"/>
      <c r="D67" s="132"/>
      <c r="E67" s="128"/>
      <c r="F67" s="128"/>
      <c r="G67" s="131">
        <f t="shared" si="3"/>
        <v>25358.78</v>
      </c>
      <c r="H67" s="130"/>
      <c r="I67" s="127">
        <f>IF(Table324[[#This Row],[CODE]]=1, Table324[ [#This Row],[Account Deposit Amount] ]-Table324[ [#This Row],[Account Withdrawl Amount] ], )</f>
        <v>0</v>
      </c>
      <c r="J67" s="129">
        <f>IF(Table324[[#This Row],[CODE]]=2, Table324[ [#This Row],[Account Deposit Amount] ]-Table324[ [#This Row],[Account Withdrawl Amount] ], )</f>
        <v>0</v>
      </c>
      <c r="K67" s="129">
        <f>IF(Table324[[#This Row],[CODE]]=3, Table324[ [#This Row],[Account Deposit Amount] ]-Table324[ [#This Row],[Account Withdrawl Amount] ], )</f>
        <v>0</v>
      </c>
      <c r="L67" s="128">
        <f>IF(Table324[[#This Row],[CODE]]=4, Table324[ [#This Row],[Account Deposit Amount] ]-Table324[ [#This Row],[Account Withdrawl Amount] ], )</f>
        <v>0</v>
      </c>
      <c r="M67" s="128">
        <f>IF(Table324[[#This Row],[CODE]]=5, Table324[ [#This Row],[Account Deposit Amount] ]-Table324[ [#This Row],[Account Withdrawl Amount] ], )</f>
        <v>0</v>
      </c>
      <c r="N67" s="128">
        <f>IF(Table324[[#This Row],[CODE]]=6, Table324[ [#This Row],[Account Deposit Amount] ]-Table324[ [#This Row],[Account Withdrawl Amount] ], )</f>
        <v>0</v>
      </c>
      <c r="O67" s="128">
        <f>IF(Table324[[#This Row],[CODE]]=11, Table324[ [#This Row],[Account Deposit Amount] ]-Table324[ [#This Row],[Account Withdrawl Amount] ], )</f>
        <v>0</v>
      </c>
      <c r="P67" s="128">
        <f>IF(Table324[[#This Row],[CODE]]=12, Table324[ [#This Row],[Account Deposit Amount] ]-Table324[ [#This Row],[Account Withdrawl Amount] ], )</f>
        <v>0</v>
      </c>
      <c r="Q67" s="128">
        <f>IF(Table324[[#This Row],[CODE]]=13, Table324[ [#This Row],[Account Deposit Amount] ]-Table324[ [#This Row],[Account Withdrawl Amount] ], )</f>
        <v>0</v>
      </c>
      <c r="R67" s="128">
        <f>IF(Table324[[#This Row],[CODE]]=14, Table324[ [#This Row],[Account Deposit Amount] ]-Table324[ [#This Row],[Account Withdrawl Amount] ], )</f>
        <v>0</v>
      </c>
      <c r="S67" s="128">
        <f>IF(Table324[[#This Row],[CODE]]=15, Table324[ [#This Row],[Account Deposit Amount] ]-Table324[ [#This Row],[Account Withdrawl Amount] ], )</f>
        <v>0</v>
      </c>
      <c r="T67" s="128">
        <f>IF(Table324[[#This Row],[CODE]]=16, Table324[ [#This Row],[Account Deposit Amount] ]-Table324[ [#This Row],[Account Withdrawl Amount] ], )</f>
        <v>0</v>
      </c>
      <c r="U67" s="127">
        <f>IF(Table324[[#This Row],[CODE]]=17, Table324[ [#This Row],[Account Deposit Amount] ]-Table324[ [#This Row],[Account Withdrawl Amount] ], )</f>
        <v>0</v>
      </c>
      <c r="V67" s="166"/>
    </row>
    <row r="68" spans="1:22" ht="16.2" thickBot="1">
      <c r="A68" s="130"/>
      <c r="B68" s="133"/>
      <c r="C68" s="130"/>
      <c r="D68" s="132"/>
      <c r="E68" s="128"/>
      <c r="F68" s="128"/>
      <c r="G68" s="131">
        <f t="shared" si="3"/>
        <v>25358.78</v>
      </c>
      <c r="H68" s="130"/>
      <c r="I68" s="127">
        <f>IF(Table324[[#This Row],[CODE]]=1, Table324[ [#This Row],[Account Deposit Amount] ]-Table324[ [#This Row],[Account Withdrawl Amount] ], )</f>
        <v>0</v>
      </c>
      <c r="J68" s="129">
        <f>IF(Table324[[#This Row],[CODE]]=2, Table324[ [#This Row],[Account Deposit Amount] ]-Table324[ [#This Row],[Account Withdrawl Amount] ], )</f>
        <v>0</v>
      </c>
      <c r="K68" s="129">
        <f>IF(Table324[[#This Row],[CODE]]=3, Table324[ [#This Row],[Account Deposit Amount] ]-Table324[ [#This Row],[Account Withdrawl Amount] ], )</f>
        <v>0</v>
      </c>
      <c r="L68" s="128">
        <f>IF(Table324[[#This Row],[CODE]]=4, Table324[ [#This Row],[Account Deposit Amount] ]-Table324[ [#This Row],[Account Withdrawl Amount] ], )</f>
        <v>0</v>
      </c>
      <c r="M68" s="128">
        <f>IF(Table324[[#This Row],[CODE]]=5, Table324[ [#This Row],[Account Deposit Amount] ]-Table324[ [#This Row],[Account Withdrawl Amount] ], )</f>
        <v>0</v>
      </c>
      <c r="N68" s="128">
        <f>IF(Table324[[#This Row],[CODE]]=6, Table324[ [#This Row],[Account Deposit Amount] ]-Table324[ [#This Row],[Account Withdrawl Amount] ], )</f>
        <v>0</v>
      </c>
      <c r="O68" s="128">
        <f>IF(Table324[[#This Row],[CODE]]=11, Table324[ [#This Row],[Account Deposit Amount] ]-Table324[ [#This Row],[Account Withdrawl Amount] ], )</f>
        <v>0</v>
      </c>
      <c r="P68" s="128">
        <f>IF(Table324[[#This Row],[CODE]]=12, Table324[ [#This Row],[Account Deposit Amount] ]-Table324[ [#This Row],[Account Withdrawl Amount] ], )</f>
        <v>0</v>
      </c>
      <c r="Q68" s="128">
        <f>IF(Table324[[#This Row],[CODE]]=13, Table324[ [#This Row],[Account Deposit Amount] ]-Table324[ [#This Row],[Account Withdrawl Amount] ], )</f>
        <v>0</v>
      </c>
      <c r="R68" s="128">
        <f>IF(Table324[[#This Row],[CODE]]=14, Table324[ [#This Row],[Account Deposit Amount] ]-Table324[ [#This Row],[Account Withdrawl Amount] ], )</f>
        <v>0</v>
      </c>
      <c r="S68" s="128">
        <f>IF(Table324[[#This Row],[CODE]]=15, Table324[ [#This Row],[Account Deposit Amount] ]-Table324[ [#This Row],[Account Withdrawl Amount] ], )</f>
        <v>0</v>
      </c>
      <c r="T68" s="128">
        <f>IF(Table324[[#This Row],[CODE]]=16, Table324[ [#This Row],[Account Deposit Amount] ]-Table324[ [#This Row],[Account Withdrawl Amount] ], )</f>
        <v>0</v>
      </c>
      <c r="U68" s="127">
        <f>IF(Table324[[#This Row],[CODE]]=17, Table324[ [#This Row],[Account Deposit Amount] ]-Table324[ [#This Row],[Account Withdrawl Amount] ], )</f>
        <v>0</v>
      </c>
      <c r="V68" s="166"/>
    </row>
    <row r="69" spans="1:22" ht="16.2" thickBot="1">
      <c r="A69" s="130"/>
      <c r="B69" s="133"/>
      <c r="C69" s="130"/>
      <c r="D69" s="132"/>
      <c r="E69" s="128"/>
      <c r="F69" s="128"/>
      <c r="G69" s="131">
        <f t="shared" ref="G69:G100" si="4">G68+E69-F69</f>
        <v>25358.78</v>
      </c>
      <c r="H69" s="130"/>
      <c r="I69" s="127">
        <f>IF(Table324[[#This Row],[CODE]]=1, Table324[ [#This Row],[Account Deposit Amount] ]-Table324[ [#This Row],[Account Withdrawl Amount] ], )</f>
        <v>0</v>
      </c>
      <c r="J69" s="129">
        <f>IF(Table324[[#This Row],[CODE]]=2, Table324[ [#This Row],[Account Deposit Amount] ]-Table324[ [#This Row],[Account Withdrawl Amount] ], )</f>
        <v>0</v>
      </c>
      <c r="K69" s="129">
        <f>IF(Table324[[#This Row],[CODE]]=3, Table324[ [#This Row],[Account Deposit Amount] ]-Table324[ [#This Row],[Account Withdrawl Amount] ], )</f>
        <v>0</v>
      </c>
      <c r="L69" s="128">
        <f>IF(Table324[[#This Row],[CODE]]=4, Table324[ [#This Row],[Account Deposit Amount] ]-Table324[ [#This Row],[Account Withdrawl Amount] ], )</f>
        <v>0</v>
      </c>
      <c r="M69" s="128">
        <f>IF(Table324[[#This Row],[CODE]]=5, Table324[ [#This Row],[Account Deposit Amount] ]-Table324[ [#This Row],[Account Withdrawl Amount] ], )</f>
        <v>0</v>
      </c>
      <c r="N69" s="128">
        <f>IF(Table324[[#This Row],[CODE]]=6, Table324[ [#This Row],[Account Deposit Amount] ]-Table324[ [#This Row],[Account Withdrawl Amount] ], )</f>
        <v>0</v>
      </c>
      <c r="O69" s="128">
        <f>IF(Table324[[#This Row],[CODE]]=11, Table324[ [#This Row],[Account Deposit Amount] ]-Table324[ [#This Row],[Account Withdrawl Amount] ], )</f>
        <v>0</v>
      </c>
      <c r="P69" s="128">
        <f>IF(Table324[[#This Row],[CODE]]=12, Table324[ [#This Row],[Account Deposit Amount] ]-Table324[ [#This Row],[Account Withdrawl Amount] ], )</f>
        <v>0</v>
      </c>
      <c r="Q69" s="128">
        <f>IF(Table324[[#This Row],[CODE]]=13, Table324[ [#This Row],[Account Deposit Amount] ]-Table324[ [#This Row],[Account Withdrawl Amount] ], )</f>
        <v>0</v>
      </c>
      <c r="R69" s="128">
        <f>IF(Table324[[#This Row],[CODE]]=14, Table324[ [#This Row],[Account Deposit Amount] ]-Table324[ [#This Row],[Account Withdrawl Amount] ], )</f>
        <v>0</v>
      </c>
      <c r="S69" s="128">
        <f>IF(Table324[[#This Row],[CODE]]=15, Table324[ [#This Row],[Account Deposit Amount] ]-Table324[ [#This Row],[Account Withdrawl Amount] ], )</f>
        <v>0</v>
      </c>
      <c r="T69" s="128">
        <f>IF(Table324[[#This Row],[CODE]]=16, Table324[ [#This Row],[Account Deposit Amount] ]-Table324[ [#This Row],[Account Withdrawl Amount] ], )</f>
        <v>0</v>
      </c>
      <c r="U69" s="127">
        <f>IF(Table324[[#This Row],[CODE]]=17, Table324[ [#This Row],[Account Deposit Amount] ]-Table324[ [#This Row],[Account Withdrawl Amount] ], )</f>
        <v>0</v>
      </c>
      <c r="V69" s="166"/>
    </row>
    <row r="70" spans="1:22" ht="16.2" thickBot="1">
      <c r="A70" s="130"/>
      <c r="B70" s="133"/>
      <c r="C70" s="130"/>
      <c r="D70" s="132"/>
      <c r="E70" s="128"/>
      <c r="F70" s="128"/>
      <c r="G70" s="131">
        <f t="shared" si="4"/>
        <v>25358.78</v>
      </c>
      <c r="H70" s="130"/>
      <c r="I70" s="127">
        <f>IF(Table324[[#This Row],[CODE]]=1, Table324[ [#This Row],[Account Deposit Amount] ]-Table324[ [#This Row],[Account Withdrawl Amount] ], )</f>
        <v>0</v>
      </c>
      <c r="J70" s="129">
        <f>IF(Table324[[#This Row],[CODE]]=2, Table324[ [#This Row],[Account Deposit Amount] ]-Table324[ [#This Row],[Account Withdrawl Amount] ], )</f>
        <v>0</v>
      </c>
      <c r="K70" s="129">
        <f>IF(Table324[[#This Row],[CODE]]=3, Table324[ [#This Row],[Account Deposit Amount] ]-Table324[ [#This Row],[Account Withdrawl Amount] ], )</f>
        <v>0</v>
      </c>
      <c r="L70" s="128">
        <f>IF(Table324[[#This Row],[CODE]]=4, Table324[ [#This Row],[Account Deposit Amount] ]-Table324[ [#This Row],[Account Withdrawl Amount] ], )</f>
        <v>0</v>
      </c>
      <c r="M70" s="128">
        <f>IF(Table324[[#This Row],[CODE]]=5, Table324[ [#This Row],[Account Deposit Amount] ]-Table324[ [#This Row],[Account Withdrawl Amount] ], )</f>
        <v>0</v>
      </c>
      <c r="N70" s="128">
        <f>IF(Table324[[#This Row],[CODE]]=6, Table324[ [#This Row],[Account Deposit Amount] ]-Table324[ [#This Row],[Account Withdrawl Amount] ], )</f>
        <v>0</v>
      </c>
      <c r="O70" s="128">
        <f>IF(Table324[[#This Row],[CODE]]=11, Table324[ [#This Row],[Account Deposit Amount] ]-Table324[ [#This Row],[Account Withdrawl Amount] ], )</f>
        <v>0</v>
      </c>
      <c r="P70" s="128">
        <f>IF(Table324[[#This Row],[CODE]]=12, Table324[ [#This Row],[Account Deposit Amount] ]-Table324[ [#This Row],[Account Withdrawl Amount] ], )</f>
        <v>0</v>
      </c>
      <c r="Q70" s="128">
        <f>IF(Table324[[#This Row],[CODE]]=13, Table324[ [#This Row],[Account Deposit Amount] ]-Table324[ [#This Row],[Account Withdrawl Amount] ], )</f>
        <v>0</v>
      </c>
      <c r="R70" s="128">
        <f>IF(Table324[[#This Row],[CODE]]=14, Table324[ [#This Row],[Account Deposit Amount] ]-Table324[ [#This Row],[Account Withdrawl Amount] ], )</f>
        <v>0</v>
      </c>
      <c r="S70" s="128">
        <f>IF(Table324[[#This Row],[CODE]]=15, Table324[ [#This Row],[Account Deposit Amount] ]-Table324[ [#This Row],[Account Withdrawl Amount] ], )</f>
        <v>0</v>
      </c>
      <c r="T70" s="128">
        <f>IF(Table324[[#This Row],[CODE]]=16, Table324[ [#This Row],[Account Deposit Amount] ]-Table324[ [#This Row],[Account Withdrawl Amount] ], )</f>
        <v>0</v>
      </c>
      <c r="U70" s="127">
        <f>IF(Table324[[#This Row],[CODE]]=17, Table324[ [#This Row],[Account Deposit Amount] ]-Table324[ [#This Row],[Account Withdrawl Amount] ], )</f>
        <v>0</v>
      </c>
      <c r="V70" s="166"/>
    </row>
    <row r="71" spans="1:22" ht="16.2" thickBot="1">
      <c r="A71" s="130"/>
      <c r="B71" s="133"/>
      <c r="C71" s="130"/>
      <c r="D71" s="132"/>
      <c r="E71" s="128"/>
      <c r="F71" s="128"/>
      <c r="G71" s="131">
        <f t="shared" si="4"/>
        <v>25358.78</v>
      </c>
      <c r="H71" s="130"/>
      <c r="I71" s="127">
        <f>IF(Table324[[#This Row],[CODE]]=1, Table324[ [#This Row],[Account Deposit Amount] ]-Table324[ [#This Row],[Account Withdrawl Amount] ], )</f>
        <v>0</v>
      </c>
      <c r="J71" s="129">
        <f>IF(Table324[[#This Row],[CODE]]=2, Table324[ [#This Row],[Account Deposit Amount] ]-Table324[ [#This Row],[Account Withdrawl Amount] ], )</f>
        <v>0</v>
      </c>
      <c r="K71" s="129">
        <f>IF(Table324[[#This Row],[CODE]]=3, Table324[ [#This Row],[Account Deposit Amount] ]-Table324[ [#This Row],[Account Withdrawl Amount] ], )</f>
        <v>0</v>
      </c>
      <c r="L71" s="128">
        <f>IF(Table324[[#This Row],[CODE]]=4, Table324[ [#This Row],[Account Deposit Amount] ]-Table324[ [#This Row],[Account Withdrawl Amount] ], )</f>
        <v>0</v>
      </c>
      <c r="M71" s="128">
        <f>IF(Table324[[#This Row],[CODE]]=5, Table324[ [#This Row],[Account Deposit Amount] ]-Table324[ [#This Row],[Account Withdrawl Amount] ], )</f>
        <v>0</v>
      </c>
      <c r="N71" s="128">
        <f>IF(Table324[[#This Row],[CODE]]=6, Table324[ [#This Row],[Account Deposit Amount] ]-Table324[ [#This Row],[Account Withdrawl Amount] ], )</f>
        <v>0</v>
      </c>
      <c r="O71" s="128">
        <f>IF(Table324[[#This Row],[CODE]]=11, Table324[ [#This Row],[Account Deposit Amount] ]-Table324[ [#This Row],[Account Withdrawl Amount] ], )</f>
        <v>0</v>
      </c>
      <c r="P71" s="128">
        <f>IF(Table324[[#This Row],[CODE]]=12, Table324[ [#This Row],[Account Deposit Amount] ]-Table324[ [#This Row],[Account Withdrawl Amount] ], )</f>
        <v>0</v>
      </c>
      <c r="Q71" s="128">
        <f>IF(Table324[[#This Row],[CODE]]=13, Table324[ [#This Row],[Account Deposit Amount] ]-Table324[ [#This Row],[Account Withdrawl Amount] ], )</f>
        <v>0</v>
      </c>
      <c r="R71" s="128">
        <f>IF(Table324[[#This Row],[CODE]]=14, Table324[ [#This Row],[Account Deposit Amount] ]-Table324[ [#This Row],[Account Withdrawl Amount] ], )</f>
        <v>0</v>
      </c>
      <c r="S71" s="128">
        <f>IF(Table324[[#This Row],[CODE]]=15, Table324[ [#This Row],[Account Deposit Amount] ]-Table324[ [#This Row],[Account Withdrawl Amount] ], )</f>
        <v>0</v>
      </c>
      <c r="T71" s="128">
        <f>IF(Table324[[#This Row],[CODE]]=16, Table324[ [#This Row],[Account Deposit Amount] ]-Table324[ [#This Row],[Account Withdrawl Amount] ], )</f>
        <v>0</v>
      </c>
      <c r="U71" s="127">
        <f>IF(Table324[[#This Row],[CODE]]=17, Table324[ [#This Row],[Account Deposit Amount] ]-Table324[ [#This Row],[Account Withdrawl Amount] ], )</f>
        <v>0</v>
      </c>
      <c r="V71" s="166"/>
    </row>
    <row r="72" spans="1:22" ht="16.2" thickBot="1">
      <c r="A72" s="130"/>
      <c r="B72" s="133"/>
      <c r="C72" s="130"/>
      <c r="D72" s="132"/>
      <c r="E72" s="128"/>
      <c r="F72" s="128"/>
      <c r="G72" s="131">
        <f t="shared" si="4"/>
        <v>25358.78</v>
      </c>
      <c r="H72" s="130"/>
      <c r="I72" s="127">
        <f>IF(Table324[[#This Row],[CODE]]=1, Table324[ [#This Row],[Account Deposit Amount] ]-Table324[ [#This Row],[Account Withdrawl Amount] ], )</f>
        <v>0</v>
      </c>
      <c r="J72" s="129">
        <f>IF(Table324[[#This Row],[CODE]]=2, Table324[ [#This Row],[Account Deposit Amount] ]-Table324[ [#This Row],[Account Withdrawl Amount] ], )</f>
        <v>0</v>
      </c>
      <c r="K72" s="129">
        <f>IF(Table324[[#This Row],[CODE]]=3, Table324[ [#This Row],[Account Deposit Amount] ]-Table324[ [#This Row],[Account Withdrawl Amount] ], )</f>
        <v>0</v>
      </c>
      <c r="L72" s="128">
        <f>IF(Table324[[#This Row],[CODE]]=4, Table324[ [#This Row],[Account Deposit Amount] ]-Table324[ [#This Row],[Account Withdrawl Amount] ], )</f>
        <v>0</v>
      </c>
      <c r="M72" s="128">
        <f>IF(Table324[[#This Row],[CODE]]=5, Table324[ [#This Row],[Account Deposit Amount] ]-Table324[ [#This Row],[Account Withdrawl Amount] ], )</f>
        <v>0</v>
      </c>
      <c r="N72" s="128">
        <f>IF(Table324[[#This Row],[CODE]]=6, Table324[ [#This Row],[Account Deposit Amount] ]-Table324[ [#This Row],[Account Withdrawl Amount] ], )</f>
        <v>0</v>
      </c>
      <c r="O72" s="128">
        <f>IF(Table324[[#This Row],[CODE]]=11, Table324[ [#This Row],[Account Deposit Amount] ]-Table324[ [#This Row],[Account Withdrawl Amount] ], )</f>
        <v>0</v>
      </c>
      <c r="P72" s="128">
        <f>IF(Table324[[#This Row],[CODE]]=12, Table324[ [#This Row],[Account Deposit Amount] ]-Table324[ [#This Row],[Account Withdrawl Amount] ], )</f>
        <v>0</v>
      </c>
      <c r="Q72" s="128">
        <f>IF(Table324[[#This Row],[CODE]]=13, Table324[ [#This Row],[Account Deposit Amount] ]-Table324[ [#This Row],[Account Withdrawl Amount] ], )</f>
        <v>0</v>
      </c>
      <c r="R72" s="128">
        <f>IF(Table324[[#This Row],[CODE]]=14, Table324[ [#This Row],[Account Deposit Amount] ]-Table324[ [#This Row],[Account Withdrawl Amount] ], )</f>
        <v>0</v>
      </c>
      <c r="S72" s="128">
        <f>IF(Table324[[#This Row],[CODE]]=15, Table324[ [#This Row],[Account Deposit Amount] ]-Table324[ [#This Row],[Account Withdrawl Amount] ], )</f>
        <v>0</v>
      </c>
      <c r="T72" s="128">
        <f>IF(Table324[[#This Row],[CODE]]=16, Table324[ [#This Row],[Account Deposit Amount] ]-Table324[ [#This Row],[Account Withdrawl Amount] ], )</f>
        <v>0</v>
      </c>
      <c r="U72" s="127">
        <f>IF(Table324[[#This Row],[CODE]]=17, Table324[ [#This Row],[Account Deposit Amount] ]-Table324[ [#This Row],[Account Withdrawl Amount] ], )</f>
        <v>0</v>
      </c>
      <c r="V72" s="166"/>
    </row>
    <row r="73" spans="1:22" ht="16.2" thickBot="1">
      <c r="A73" s="130"/>
      <c r="B73" s="133"/>
      <c r="C73" s="130"/>
      <c r="D73" s="132"/>
      <c r="E73" s="128"/>
      <c r="F73" s="128"/>
      <c r="G73" s="131">
        <f t="shared" si="4"/>
        <v>25358.78</v>
      </c>
      <c r="H73" s="130"/>
      <c r="I73" s="127">
        <f>IF(Table324[[#This Row],[CODE]]=1, Table324[ [#This Row],[Account Deposit Amount] ]-Table324[ [#This Row],[Account Withdrawl Amount] ], )</f>
        <v>0</v>
      </c>
      <c r="J73" s="129">
        <f>IF(Table324[[#This Row],[CODE]]=2, Table324[ [#This Row],[Account Deposit Amount] ]-Table324[ [#This Row],[Account Withdrawl Amount] ], )</f>
        <v>0</v>
      </c>
      <c r="K73" s="129">
        <f>IF(Table324[[#This Row],[CODE]]=3, Table324[ [#This Row],[Account Deposit Amount] ]-Table324[ [#This Row],[Account Withdrawl Amount] ], )</f>
        <v>0</v>
      </c>
      <c r="L73" s="128">
        <f>IF(Table324[[#This Row],[CODE]]=4, Table324[ [#This Row],[Account Deposit Amount] ]-Table324[ [#This Row],[Account Withdrawl Amount] ], )</f>
        <v>0</v>
      </c>
      <c r="M73" s="128">
        <f>IF(Table324[[#This Row],[CODE]]=5, Table324[ [#This Row],[Account Deposit Amount] ]-Table324[ [#This Row],[Account Withdrawl Amount] ], )</f>
        <v>0</v>
      </c>
      <c r="N73" s="128">
        <f>IF(Table324[[#This Row],[CODE]]=6, Table324[ [#This Row],[Account Deposit Amount] ]-Table324[ [#This Row],[Account Withdrawl Amount] ], )</f>
        <v>0</v>
      </c>
      <c r="O73" s="128">
        <f>IF(Table324[[#This Row],[CODE]]=11, Table324[ [#This Row],[Account Deposit Amount] ]-Table324[ [#This Row],[Account Withdrawl Amount] ], )</f>
        <v>0</v>
      </c>
      <c r="P73" s="128">
        <f>IF(Table324[[#This Row],[CODE]]=12, Table324[ [#This Row],[Account Deposit Amount] ]-Table324[ [#This Row],[Account Withdrawl Amount] ], )</f>
        <v>0</v>
      </c>
      <c r="Q73" s="128">
        <f>IF(Table324[[#This Row],[CODE]]=13, Table324[ [#This Row],[Account Deposit Amount] ]-Table324[ [#This Row],[Account Withdrawl Amount] ], )</f>
        <v>0</v>
      </c>
      <c r="R73" s="128">
        <f>IF(Table324[[#This Row],[CODE]]=14, Table324[ [#This Row],[Account Deposit Amount] ]-Table324[ [#This Row],[Account Withdrawl Amount] ], )</f>
        <v>0</v>
      </c>
      <c r="S73" s="128">
        <f>IF(Table324[[#This Row],[CODE]]=15, Table324[ [#This Row],[Account Deposit Amount] ]-Table324[ [#This Row],[Account Withdrawl Amount] ], )</f>
        <v>0</v>
      </c>
      <c r="T73" s="128">
        <f>IF(Table324[[#This Row],[CODE]]=16, Table324[ [#This Row],[Account Deposit Amount] ]-Table324[ [#This Row],[Account Withdrawl Amount] ], )</f>
        <v>0</v>
      </c>
      <c r="U73" s="127">
        <f>IF(Table324[[#This Row],[CODE]]=17, Table324[ [#This Row],[Account Deposit Amount] ]-Table324[ [#This Row],[Account Withdrawl Amount] ], )</f>
        <v>0</v>
      </c>
      <c r="V73" s="166"/>
    </row>
    <row r="74" spans="1:22" ht="16.2" thickBot="1">
      <c r="A74" s="130"/>
      <c r="B74" s="133"/>
      <c r="C74" s="130"/>
      <c r="D74" s="132"/>
      <c r="E74" s="128"/>
      <c r="F74" s="128"/>
      <c r="G74" s="131">
        <f t="shared" si="4"/>
        <v>25358.78</v>
      </c>
      <c r="H74" s="130"/>
      <c r="I74" s="127">
        <f>IF(Table324[[#This Row],[CODE]]=1, Table324[ [#This Row],[Account Deposit Amount] ]-Table324[ [#This Row],[Account Withdrawl Amount] ], )</f>
        <v>0</v>
      </c>
      <c r="J74" s="129">
        <f>IF(Table324[[#This Row],[CODE]]=2, Table324[ [#This Row],[Account Deposit Amount] ]-Table324[ [#This Row],[Account Withdrawl Amount] ], )</f>
        <v>0</v>
      </c>
      <c r="K74" s="129">
        <f>IF(Table324[[#This Row],[CODE]]=3, Table324[ [#This Row],[Account Deposit Amount] ]-Table324[ [#This Row],[Account Withdrawl Amount] ], )</f>
        <v>0</v>
      </c>
      <c r="L74" s="128">
        <f>IF(Table324[[#This Row],[CODE]]=4, Table324[ [#This Row],[Account Deposit Amount] ]-Table324[ [#This Row],[Account Withdrawl Amount] ], )</f>
        <v>0</v>
      </c>
      <c r="M74" s="128">
        <f>IF(Table324[[#This Row],[CODE]]=5, Table324[ [#This Row],[Account Deposit Amount] ]-Table324[ [#This Row],[Account Withdrawl Amount] ], )</f>
        <v>0</v>
      </c>
      <c r="N74" s="128">
        <f>IF(Table324[[#This Row],[CODE]]=6, Table324[ [#This Row],[Account Deposit Amount] ]-Table324[ [#This Row],[Account Withdrawl Amount] ], )</f>
        <v>0</v>
      </c>
      <c r="O74" s="128">
        <f>IF(Table324[[#This Row],[CODE]]=11, Table324[ [#This Row],[Account Deposit Amount] ]-Table324[ [#This Row],[Account Withdrawl Amount] ], )</f>
        <v>0</v>
      </c>
      <c r="P74" s="128">
        <f>IF(Table324[[#This Row],[CODE]]=12, Table324[ [#This Row],[Account Deposit Amount] ]-Table324[ [#This Row],[Account Withdrawl Amount] ], )</f>
        <v>0</v>
      </c>
      <c r="Q74" s="128">
        <f>IF(Table324[[#This Row],[CODE]]=13, Table324[ [#This Row],[Account Deposit Amount] ]-Table324[ [#This Row],[Account Withdrawl Amount] ], )</f>
        <v>0</v>
      </c>
      <c r="R74" s="128">
        <f>IF(Table324[[#This Row],[CODE]]=14, Table324[ [#This Row],[Account Deposit Amount] ]-Table324[ [#This Row],[Account Withdrawl Amount] ], )</f>
        <v>0</v>
      </c>
      <c r="S74" s="128">
        <f>IF(Table324[[#This Row],[CODE]]=15, Table324[ [#This Row],[Account Deposit Amount] ]-Table324[ [#This Row],[Account Withdrawl Amount] ], )</f>
        <v>0</v>
      </c>
      <c r="T74" s="128">
        <f>IF(Table324[[#This Row],[CODE]]=16, Table324[ [#This Row],[Account Deposit Amount] ]-Table324[ [#This Row],[Account Withdrawl Amount] ], )</f>
        <v>0</v>
      </c>
      <c r="U74" s="127">
        <f>IF(Table324[[#This Row],[CODE]]=17, Table324[ [#This Row],[Account Deposit Amount] ]-Table324[ [#This Row],[Account Withdrawl Amount] ], )</f>
        <v>0</v>
      </c>
      <c r="V74" s="166"/>
    </row>
    <row r="75" spans="1:22" ht="16.2" thickBot="1">
      <c r="A75" s="130"/>
      <c r="B75" s="133"/>
      <c r="C75" s="130"/>
      <c r="D75" s="132"/>
      <c r="E75" s="128"/>
      <c r="F75" s="128"/>
      <c r="G75" s="131">
        <f t="shared" si="4"/>
        <v>25358.78</v>
      </c>
      <c r="H75" s="130"/>
      <c r="I75" s="127">
        <f>IF(Table324[[#This Row],[CODE]]=1, Table324[ [#This Row],[Account Deposit Amount] ]-Table324[ [#This Row],[Account Withdrawl Amount] ], )</f>
        <v>0</v>
      </c>
      <c r="J75" s="129">
        <f>IF(Table324[[#This Row],[CODE]]=2, Table324[ [#This Row],[Account Deposit Amount] ]-Table324[ [#This Row],[Account Withdrawl Amount] ], )</f>
        <v>0</v>
      </c>
      <c r="K75" s="129">
        <f>IF(Table324[[#This Row],[CODE]]=3, Table324[ [#This Row],[Account Deposit Amount] ]-Table324[ [#This Row],[Account Withdrawl Amount] ], )</f>
        <v>0</v>
      </c>
      <c r="L75" s="128">
        <f>IF(Table324[[#This Row],[CODE]]=4, Table324[ [#This Row],[Account Deposit Amount] ]-Table324[ [#This Row],[Account Withdrawl Amount] ], )</f>
        <v>0</v>
      </c>
      <c r="M75" s="128">
        <f>IF(Table324[[#This Row],[CODE]]=5, Table324[ [#This Row],[Account Deposit Amount] ]-Table324[ [#This Row],[Account Withdrawl Amount] ], )</f>
        <v>0</v>
      </c>
      <c r="N75" s="128">
        <f>IF(Table324[[#This Row],[CODE]]=6, Table324[ [#This Row],[Account Deposit Amount] ]-Table324[ [#This Row],[Account Withdrawl Amount] ], )</f>
        <v>0</v>
      </c>
      <c r="O75" s="128">
        <f>IF(Table324[[#This Row],[CODE]]=11, Table324[ [#This Row],[Account Deposit Amount] ]-Table324[ [#This Row],[Account Withdrawl Amount] ], )</f>
        <v>0</v>
      </c>
      <c r="P75" s="128">
        <f>IF(Table324[[#This Row],[CODE]]=12, Table324[ [#This Row],[Account Deposit Amount] ]-Table324[ [#This Row],[Account Withdrawl Amount] ], )</f>
        <v>0</v>
      </c>
      <c r="Q75" s="128">
        <f>IF(Table324[[#This Row],[CODE]]=13, Table324[ [#This Row],[Account Deposit Amount] ]-Table324[ [#This Row],[Account Withdrawl Amount] ], )</f>
        <v>0</v>
      </c>
      <c r="R75" s="128">
        <f>IF(Table324[[#This Row],[CODE]]=14, Table324[ [#This Row],[Account Deposit Amount] ]-Table324[ [#This Row],[Account Withdrawl Amount] ], )</f>
        <v>0</v>
      </c>
      <c r="S75" s="128">
        <f>IF(Table324[[#This Row],[CODE]]=15, Table324[ [#This Row],[Account Deposit Amount] ]-Table324[ [#This Row],[Account Withdrawl Amount] ], )</f>
        <v>0</v>
      </c>
      <c r="T75" s="128">
        <f>IF(Table324[[#This Row],[CODE]]=16, Table324[ [#This Row],[Account Deposit Amount] ]-Table324[ [#This Row],[Account Withdrawl Amount] ], )</f>
        <v>0</v>
      </c>
      <c r="U75" s="127">
        <f>IF(Table324[[#This Row],[CODE]]=17, Table324[ [#This Row],[Account Deposit Amount] ]-Table324[ [#This Row],[Account Withdrawl Amount] ], )</f>
        <v>0</v>
      </c>
      <c r="V75" s="166"/>
    </row>
    <row r="76" spans="1:22" ht="16.2" thickBot="1">
      <c r="A76" s="130"/>
      <c r="B76" s="133"/>
      <c r="C76" s="130"/>
      <c r="D76" s="132"/>
      <c r="E76" s="128"/>
      <c r="F76" s="128"/>
      <c r="G76" s="131">
        <f t="shared" si="4"/>
        <v>25358.78</v>
      </c>
      <c r="H76" s="130"/>
      <c r="I76" s="127">
        <f>IF(Table324[[#This Row],[CODE]]=1, Table324[ [#This Row],[Account Deposit Amount] ]-Table324[ [#This Row],[Account Withdrawl Amount] ], )</f>
        <v>0</v>
      </c>
      <c r="J76" s="129">
        <f>IF(Table324[[#This Row],[CODE]]=2, Table324[ [#This Row],[Account Deposit Amount] ]-Table324[ [#This Row],[Account Withdrawl Amount] ], )</f>
        <v>0</v>
      </c>
      <c r="K76" s="129">
        <f>IF(Table324[[#This Row],[CODE]]=3, Table324[ [#This Row],[Account Deposit Amount] ]-Table324[ [#This Row],[Account Withdrawl Amount] ], )</f>
        <v>0</v>
      </c>
      <c r="L76" s="128">
        <f>IF(Table324[[#This Row],[CODE]]=4, Table324[ [#This Row],[Account Deposit Amount] ]-Table324[ [#This Row],[Account Withdrawl Amount] ], )</f>
        <v>0</v>
      </c>
      <c r="M76" s="128">
        <f>IF(Table324[[#This Row],[CODE]]=5, Table324[ [#This Row],[Account Deposit Amount] ]-Table324[ [#This Row],[Account Withdrawl Amount] ], )</f>
        <v>0</v>
      </c>
      <c r="N76" s="128">
        <f>IF(Table324[[#This Row],[CODE]]=6, Table324[ [#This Row],[Account Deposit Amount] ]-Table324[ [#This Row],[Account Withdrawl Amount] ], )</f>
        <v>0</v>
      </c>
      <c r="O76" s="128">
        <f>IF(Table324[[#This Row],[CODE]]=11, Table324[ [#This Row],[Account Deposit Amount] ]-Table324[ [#This Row],[Account Withdrawl Amount] ], )</f>
        <v>0</v>
      </c>
      <c r="P76" s="128">
        <f>IF(Table324[[#This Row],[CODE]]=12, Table324[ [#This Row],[Account Deposit Amount] ]-Table324[ [#This Row],[Account Withdrawl Amount] ], )</f>
        <v>0</v>
      </c>
      <c r="Q76" s="128">
        <f>IF(Table324[[#This Row],[CODE]]=13, Table324[ [#This Row],[Account Deposit Amount] ]-Table324[ [#This Row],[Account Withdrawl Amount] ], )</f>
        <v>0</v>
      </c>
      <c r="R76" s="128">
        <f>IF(Table324[[#This Row],[CODE]]=14, Table324[ [#This Row],[Account Deposit Amount] ]-Table324[ [#This Row],[Account Withdrawl Amount] ], )</f>
        <v>0</v>
      </c>
      <c r="S76" s="128">
        <f>IF(Table324[[#This Row],[CODE]]=15, Table324[ [#This Row],[Account Deposit Amount] ]-Table324[ [#This Row],[Account Withdrawl Amount] ], )</f>
        <v>0</v>
      </c>
      <c r="T76" s="128">
        <f>IF(Table324[[#This Row],[CODE]]=16, Table324[ [#This Row],[Account Deposit Amount] ]-Table324[ [#This Row],[Account Withdrawl Amount] ], )</f>
        <v>0</v>
      </c>
      <c r="U76" s="127">
        <f>IF(Table324[[#This Row],[CODE]]=17, Table324[ [#This Row],[Account Deposit Amount] ]-Table324[ [#This Row],[Account Withdrawl Amount] ], )</f>
        <v>0</v>
      </c>
      <c r="V76" s="166"/>
    </row>
    <row r="77" spans="1:22" ht="16.2" thickBot="1">
      <c r="A77" s="130"/>
      <c r="B77" s="133"/>
      <c r="C77" s="130"/>
      <c r="D77" s="132"/>
      <c r="E77" s="128"/>
      <c r="F77" s="128"/>
      <c r="G77" s="131">
        <f t="shared" si="4"/>
        <v>25358.78</v>
      </c>
      <c r="H77" s="130"/>
      <c r="I77" s="127">
        <f>IF(Table324[[#This Row],[CODE]]=1, Table324[ [#This Row],[Account Deposit Amount] ]-Table324[ [#This Row],[Account Withdrawl Amount] ], )</f>
        <v>0</v>
      </c>
      <c r="J77" s="129">
        <f>IF(Table324[[#This Row],[CODE]]=2, Table324[ [#This Row],[Account Deposit Amount] ]-Table324[ [#This Row],[Account Withdrawl Amount] ], )</f>
        <v>0</v>
      </c>
      <c r="K77" s="129">
        <f>IF(Table324[[#This Row],[CODE]]=3, Table324[ [#This Row],[Account Deposit Amount] ]-Table324[ [#This Row],[Account Withdrawl Amount] ], )</f>
        <v>0</v>
      </c>
      <c r="L77" s="128">
        <f>IF(Table324[[#This Row],[CODE]]=4, Table324[ [#This Row],[Account Deposit Amount] ]-Table324[ [#This Row],[Account Withdrawl Amount] ], )</f>
        <v>0</v>
      </c>
      <c r="M77" s="128">
        <f>IF(Table324[[#This Row],[CODE]]=5, Table324[ [#This Row],[Account Deposit Amount] ]-Table324[ [#This Row],[Account Withdrawl Amount] ], )</f>
        <v>0</v>
      </c>
      <c r="N77" s="128">
        <f>IF(Table324[[#This Row],[CODE]]=6, Table324[ [#This Row],[Account Deposit Amount] ]-Table324[ [#This Row],[Account Withdrawl Amount] ], )</f>
        <v>0</v>
      </c>
      <c r="O77" s="128">
        <f>IF(Table324[[#This Row],[CODE]]=11, Table324[ [#This Row],[Account Deposit Amount] ]-Table324[ [#This Row],[Account Withdrawl Amount] ], )</f>
        <v>0</v>
      </c>
      <c r="P77" s="128">
        <f>IF(Table324[[#This Row],[CODE]]=12, Table324[ [#This Row],[Account Deposit Amount] ]-Table324[ [#This Row],[Account Withdrawl Amount] ], )</f>
        <v>0</v>
      </c>
      <c r="Q77" s="128">
        <f>IF(Table324[[#This Row],[CODE]]=13, Table324[ [#This Row],[Account Deposit Amount] ]-Table324[ [#This Row],[Account Withdrawl Amount] ], )</f>
        <v>0</v>
      </c>
      <c r="R77" s="128">
        <f>IF(Table324[[#This Row],[CODE]]=14, Table324[ [#This Row],[Account Deposit Amount] ]-Table324[ [#This Row],[Account Withdrawl Amount] ], )</f>
        <v>0</v>
      </c>
      <c r="S77" s="128">
        <f>IF(Table324[[#This Row],[CODE]]=15, Table324[ [#This Row],[Account Deposit Amount] ]-Table324[ [#This Row],[Account Withdrawl Amount] ], )</f>
        <v>0</v>
      </c>
      <c r="T77" s="128">
        <f>IF(Table324[[#This Row],[CODE]]=16, Table324[ [#This Row],[Account Deposit Amount] ]-Table324[ [#This Row],[Account Withdrawl Amount] ], )</f>
        <v>0</v>
      </c>
      <c r="U77" s="127">
        <f>IF(Table324[[#This Row],[CODE]]=17, Table324[ [#This Row],[Account Deposit Amount] ]-Table324[ [#This Row],[Account Withdrawl Amount] ], )</f>
        <v>0</v>
      </c>
      <c r="V77" s="166"/>
    </row>
    <row r="78" spans="1:22" ht="16.2" thickBot="1">
      <c r="A78" s="130"/>
      <c r="B78" s="133"/>
      <c r="C78" s="130"/>
      <c r="D78" s="132"/>
      <c r="E78" s="128"/>
      <c r="F78" s="128"/>
      <c r="G78" s="131">
        <f t="shared" si="4"/>
        <v>25358.78</v>
      </c>
      <c r="H78" s="130"/>
      <c r="I78" s="127">
        <f>IF(Table324[[#This Row],[CODE]]=1, Table324[ [#This Row],[Account Deposit Amount] ]-Table324[ [#This Row],[Account Withdrawl Amount] ], )</f>
        <v>0</v>
      </c>
      <c r="J78" s="129">
        <f>IF(Table324[[#This Row],[CODE]]=2, Table324[ [#This Row],[Account Deposit Amount] ]-Table324[ [#This Row],[Account Withdrawl Amount] ], )</f>
        <v>0</v>
      </c>
      <c r="K78" s="129">
        <f>IF(Table324[[#This Row],[CODE]]=3, Table324[ [#This Row],[Account Deposit Amount] ]-Table324[ [#This Row],[Account Withdrawl Amount] ], )</f>
        <v>0</v>
      </c>
      <c r="L78" s="128">
        <f>IF(Table324[[#This Row],[CODE]]=4, Table324[ [#This Row],[Account Deposit Amount] ]-Table324[ [#This Row],[Account Withdrawl Amount] ], )</f>
        <v>0</v>
      </c>
      <c r="M78" s="128">
        <f>IF(Table324[[#This Row],[CODE]]=5, Table324[ [#This Row],[Account Deposit Amount] ]-Table324[ [#This Row],[Account Withdrawl Amount] ], )</f>
        <v>0</v>
      </c>
      <c r="N78" s="128">
        <f>IF(Table324[[#This Row],[CODE]]=6, Table324[ [#This Row],[Account Deposit Amount] ]-Table324[ [#This Row],[Account Withdrawl Amount] ], )</f>
        <v>0</v>
      </c>
      <c r="O78" s="128">
        <f>IF(Table324[[#This Row],[CODE]]=11, Table324[ [#This Row],[Account Deposit Amount] ]-Table324[ [#This Row],[Account Withdrawl Amount] ], )</f>
        <v>0</v>
      </c>
      <c r="P78" s="128">
        <f>IF(Table324[[#This Row],[CODE]]=12, Table324[ [#This Row],[Account Deposit Amount] ]-Table324[ [#This Row],[Account Withdrawl Amount] ], )</f>
        <v>0</v>
      </c>
      <c r="Q78" s="128">
        <f>IF(Table324[[#This Row],[CODE]]=13, Table324[ [#This Row],[Account Deposit Amount] ]-Table324[ [#This Row],[Account Withdrawl Amount] ], )</f>
        <v>0</v>
      </c>
      <c r="R78" s="128">
        <f>IF(Table324[[#This Row],[CODE]]=14, Table324[ [#This Row],[Account Deposit Amount] ]-Table324[ [#This Row],[Account Withdrawl Amount] ], )</f>
        <v>0</v>
      </c>
      <c r="S78" s="128">
        <f>IF(Table324[[#This Row],[CODE]]=15, Table324[ [#This Row],[Account Deposit Amount] ]-Table324[ [#This Row],[Account Withdrawl Amount] ], )</f>
        <v>0</v>
      </c>
      <c r="T78" s="128">
        <f>IF(Table324[[#This Row],[CODE]]=16, Table324[ [#This Row],[Account Deposit Amount] ]-Table324[ [#This Row],[Account Withdrawl Amount] ], )</f>
        <v>0</v>
      </c>
      <c r="U78" s="127">
        <f>IF(Table324[[#This Row],[CODE]]=17, Table324[ [#This Row],[Account Deposit Amount] ]-Table324[ [#This Row],[Account Withdrawl Amount] ], )</f>
        <v>0</v>
      </c>
      <c r="V78" s="166"/>
    </row>
    <row r="79" spans="1:22" ht="16.2" thickBot="1">
      <c r="A79" s="130"/>
      <c r="B79" s="133"/>
      <c r="C79" s="130"/>
      <c r="D79" s="132"/>
      <c r="E79" s="128"/>
      <c r="F79" s="128"/>
      <c r="G79" s="131">
        <f t="shared" si="4"/>
        <v>25358.78</v>
      </c>
      <c r="H79" s="130"/>
      <c r="I79" s="127">
        <f>IF(Table324[[#This Row],[CODE]]=1, Table324[ [#This Row],[Account Deposit Amount] ]-Table324[ [#This Row],[Account Withdrawl Amount] ], )</f>
        <v>0</v>
      </c>
      <c r="J79" s="129">
        <f>IF(Table324[[#This Row],[CODE]]=2, Table324[ [#This Row],[Account Deposit Amount] ]-Table324[ [#This Row],[Account Withdrawl Amount] ], )</f>
        <v>0</v>
      </c>
      <c r="K79" s="129">
        <f>IF(Table324[[#This Row],[CODE]]=3, Table324[ [#This Row],[Account Deposit Amount] ]-Table324[ [#This Row],[Account Withdrawl Amount] ], )</f>
        <v>0</v>
      </c>
      <c r="L79" s="128">
        <f>IF(Table324[[#This Row],[CODE]]=4, Table324[ [#This Row],[Account Deposit Amount] ]-Table324[ [#This Row],[Account Withdrawl Amount] ], )</f>
        <v>0</v>
      </c>
      <c r="M79" s="128">
        <f>IF(Table324[[#This Row],[CODE]]=5, Table324[ [#This Row],[Account Deposit Amount] ]-Table324[ [#This Row],[Account Withdrawl Amount] ], )</f>
        <v>0</v>
      </c>
      <c r="N79" s="128">
        <f>IF(Table324[[#This Row],[CODE]]=6, Table324[ [#This Row],[Account Deposit Amount] ]-Table324[ [#This Row],[Account Withdrawl Amount] ], )</f>
        <v>0</v>
      </c>
      <c r="O79" s="128">
        <f>IF(Table324[[#This Row],[CODE]]=11, Table324[ [#This Row],[Account Deposit Amount] ]-Table324[ [#This Row],[Account Withdrawl Amount] ], )</f>
        <v>0</v>
      </c>
      <c r="P79" s="128">
        <f>IF(Table324[[#This Row],[CODE]]=12, Table324[ [#This Row],[Account Deposit Amount] ]-Table324[ [#This Row],[Account Withdrawl Amount] ], )</f>
        <v>0</v>
      </c>
      <c r="Q79" s="128">
        <f>IF(Table324[[#This Row],[CODE]]=13, Table324[ [#This Row],[Account Deposit Amount] ]-Table324[ [#This Row],[Account Withdrawl Amount] ], )</f>
        <v>0</v>
      </c>
      <c r="R79" s="128">
        <f>IF(Table324[[#This Row],[CODE]]=14, Table324[ [#This Row],[Account Deposit Amount] ]-Table324[ [#This Row],[Account Withdrawl Amount] ], )</f>
        <v>0</v>
      </c>
      <c r="S79" s="128">
        <f>IF(Table324[[#This Row],[CODE]]=15, Table324[ [#This Row],[Account Deposit Amount] ]-Table324[ [#This Row],[Account Withdrawl Amount] ], )</f>
        <v>0</v>
      </c>
      <c r="T79" s="128">
        <f>IF(Table324[[#This Row],[CODE]]=16, Table324[ [#This Row],[Account Deposit Amount] ]-Table324[ [#This Row],[Account Withdrawl Amount] ], )</f>
        <v>0</v>
      </c>
      <c r="U79" s="127">
        <f>IF(Table324[[#This Row],[CODE]]=17, Table324[ [#This Row],[Account Deposit Amount] ]-Table324[ [#This Row],[Account Withdrawl Amount] ], )</f>
        <v>0</v>
      </c>
      <c r="V79" s="166"/>
    </row>
    <row r="80" spans="1:22" ht="16.2" thickBot="1">
      <c r="A80" s="130"/>
      <c r="B80" s="133"/>
      <c r="C80" s="130"/>
      <c r="D80" s="132"/>
      <c r="E80" s="128"/>
      <c r="F80" s="128"/>
      <c r="G80" s="131">
        <f t="shared" si="4"/>
        <v>25358.78</v>
      </c>
      <c r="H80" s="130"/>
      <c r="I80" s="127">
        <f>IF(Table324[[#This Row],[CODE]]=1, Table324[ [#This Row],[Account Deposit Amount] ]-Table324[ [#This Row],[Account Withdrawl Amount] ], )</f>
        <v>0</v>
      </c>
      <c r="J80" s="129">
        <f>IF(Table324[[#This Row],[CODE]]=2, Table324[ [#This Row],[Account Deposit Amount] ]-Table324[ [#This Row],[Account Withdrawl Amount] ], )</f>
        <v>0</v>
      </c>
      <c r="K80" s="129">
        <f>IF(Table324[[#This Row],[CODE]]=3, Table324[ [#This Row],[Account Deposit Amount] ]-Table324[ [#This Row],[Account Withdrawl Amount] ], )</f>
        <v>0</v>
      </c>
      <c r="L80" s="128">
        <f>IF(Table324[[#This Row],[CODE]]=4, Table324[ [#This Row],[Account Deposit Amount] ]-Table324[ [#This Row],[Account Withdrawl Amount] ], )</f>
        <v>0</v>
      </c>
      <c r="M80" s="128">
        <f>IF(Table324[[#This Row],[CODE]]=5, Table324[ [#This Row],[Account Deposit Amount] ]-Table324[ [#This Row],[Account Withdrawl Amount] ], )</f>
        <v>0</v>
      </c>
      <c r="N80" s="128">
        <f>IF(Table324[[#This Row],[CODE]]=6, Table324[ [#This Row],[Account Deposit Amount] ]-Table324[ [#This Row],[Account Withdrawl Amount] ], )</f>
        <v>0</v>
      </c>
      <c r="O80" s="128">
        <f>IF(Table324[[#This Row],[CODE]]=11, Table324[ [#This Row],[Account Deposit Amount] ]-Table324[ [#This Row],[Account Withdrawl Amount] ], )</f>
        <v>0</v>
      </c>
      <c r="P80" s="128">
        <f>IF(Table324[[#This Row],[CODE]]=12, Table324[ [#This Row],[Account Deposit Amount] ]-Table324[ [#This Row],[Account Withdrawl Amount] ], )</f>
        <v>0</v>
      </c>
      <c r="Q80" s="128">
        <f>IF(Table324[[#This Row],[CODE]]=13, Table324[ [#This Row],[Account Deposit Amount] ]-Table324[ [#This Row],[Account Withdrawl Amount] ], )</f>
        <v>0</v>
      </c>
      <c r="R80" s="128">
        <f>IF(Table324[[#This Row],[CODE]]=14, Table324[ [#This Row],[Account Deposit Amount] ]-Table324[ [#This Row],[Account Withdrawl Amount] ], )</f>
        <v>0</v>
      </c>
      <c r="S80" s="128">
        <f>IF(Table324[[#This Row],[CODE]]=15, Table324[ [#This Row],[Account Deposit Amount] ]-Table324[ [#This Row],[Account Withdrawl Amount] ], )</f>
        <v>0</v>
      </c>
      <c r="T80" s="128">
        <f>IF(Table324[[#This Row],[CODE]]=16, Table324[ [#This Row],[Account Deposit Amount] ]-Table324[ [#This Row],[Account Withdrawl Amount] ], )</f>
        <v>0</v>
      </c>
      <c r="U80" s="127">
        <f>IF(Table324[[#This Row],[CODE]]=17, Table324[ [#This Row],[Account Deposit Amount] ]-Table324[ [#This Row],[Account Withdrawl Amount] ], )</f>
        <v>0</v>
      </c>
      <c r="V80" s="166"/>
    </row>
    <row r="81" spans="1:22" ht="16.2" thickBot="1">
      <c r="A81" s="130"/>
      <c r="B81" s="133"/>
      <c r="C81" s="130"/>
      <c r="D81" s="132"/>
      <c r="E81" s="128"/>
      <c r="F81" s="128"/>
      <c r="G81" s="131">
        <f t="shared" si="4"/>
        <v>25358.78</v>
      </c>
      <c r="H81" s="130"/>
      <c r="I81" s="127">
        <f>IF(Table324[[#This Row],[CODE]]=1, Table324[ [#This Row],[Account Deposit Amount] ]-Table324[ [#This Row],[Account Withdrawl Amount] ], )</f>
        <v>0</v>
      </c>
      <c r="J81" s="129">
        <f>IF(Table324[[#This Row],[CODE]]=2, Table324[ [#This Row],[Account Deposit Amount] ]-Table324[ [#This Row],[Account Withdrawl Amount] ], )</f>
        <v>0</v>
      </c>
      <c r="K81" s="129">
        <f>IF(Table324[[#This Row],[CODE]]=3, Table324[ [#This Row],[Account Deposit Amount] ]-Table324[ [#This Row],[Account Withdrawl Amount] ], )</f>
        <v>0</v>
      </c>
      <c r="L81" s="128">
        <f>IF(Table324[[#This Row],[CODE]]=4, Table324[ [#This Row],[Account Deposit Amount] ]-Table324[ [#This Row],[Account Withdrawl Amount] ], )</f>
        <v>0</v>
      </c>
      <c r="M81" s="128">
        <f>IF(Table324[[#This Row],[CODE]]=5, Table324[ [#This Row],[Account Deposit Amount] ]-Table324[ [#This Row],[Account Withdrawl Amount] ], )</f>
        <v>0</v>
      </c>
      <c r="N81" s="128">
        <f>IF(Table324[[#This Row],[CODE]]=6, Table324[ [#This Row],[Account Deposit Amount] ]-Table324[ [#This Row],[Account Withdrawl Amount] ], )</f>
        <v>0</v>
      </c>
      <c r="O81" s="128">
        <f>IF(Table324[[#This Row],[CODE]]=11, Table324[ [#This Row],[Account Deposit Amount] ]-Table324[ [#This Row],[Account Withdrawl Amount] ], )</f>
        <v>0</v>
      </c>
      <c r="P81" s="128">
        <f>IF(Table324[[#This Row],[CODE]]=12, Table324[ [#This Row],[Account Deposit Amount] ]-Table324[ [#This Row],[Account Withdrawl Amount] ], )</f>
        <v>0</v>
      </c>
      <c r="Q81" s="128">
        <f>IF(Table324[[#This Row],[CODE]]=13, Table324[ [#This Row],[Account Deposit Amount] ]-Table324[ [#This Row],[Account Withdrawl Amount] ], )</f>
        <v>0</v>
      </c>
      <c r="R81" s="128">
        <f>IF(Table324[[#This Row],[CODE]]=14, Table324[ [#This Row],[Account Deposit Amount] ]-Table324[ [#This Row],[Account Withdrawl Amount] ], )</f>
        <v>0</v>
      </c>
      <c r="S81" s="128">
        <f>IF(Table324[[#This Row],[CODE]]=15, Table324[ [#This Row],[Account Deposit Amount] ]-Table324[ [#This Row],[Account Withdrawl Amount] ], )</f>
        <v>0</v>
      </c>
      <c r="T81" s="128">
        <f>IF(Table324[[#This Row],[CODE]]=16, Table324[ [#This Row],[Account Deposit Amount] ]-Table324[ [#This Row],[Account Withdrawl Amount] ], )</f>
        <v>0</v>
      </c>
      <c r="U81" s="127">
        <f>IF(Table324[[#This Row],[CODE]]=17, Table324[ [#This Row],[Account Deposit Amount] ]-Table324[ [#This Row],[Account Withdrawl Amount] ], )</f>
        <v>0</v>
      </c>
      <c r="V81" s="166"/>
    </row>
    <row r="82" spans="1:22" ht="16.2" thickBot="1">
      <c r="A82" s="130"/>
      <c r="B82" s="133"/>
      <c r="C82" s="130"/>
      <c r="D82" s="132"/>
      <c r="E82" s="128"/>
      <c r="F82" s="128"/>
      <c r="G82" s="131">
        <f t="shared" si="4"/>
        <v>25358.78</v>
      </c>
      <c r="H82" s="130"/>
      <c r="I82" s="127">
        <f>IF(Table324[[#This Row],[CODE]]=1, Table324[ [#This Row],[Account Deposit Amount] ]-Table324[ [#This Row],[Account Withdrawl Amount] ], )</f>
        <v>0</v>
      </c>
      <c r="J82" s="129">
        <f>IF(Table324[[#This Row],[CODE]]=2, Table324[ [#This Row],[Account Deposit Amount] ]-Table324[ [#This Row],[Account Withdrawl Amount] ], )</f>
        <v>0</v>
      </c>
      <c r="K82" s="129">
        <f>IF(Table324[[#This Row],[CODE]]=3, Table324[ [#This Row],[Account Deposit Amount] ]-Table324[ [#This Row],[Account Withdrawl Amount] ], )</f>
        <v>0</v>
      </c>
      <c r="L82" s="128">
        <f>IF(Table324[[#This Row],[CODE]]=4, Table324[ [#This Row],[Account Deposit Amount] ]-Table324[ [#This Row],[Account Withdrawl Amount] ], )</f>
        <v>0</v>
      </c>
      <c r="M82" s="128">
        <f>IF(Table324[[#This Row],[CODE]]=5, Table324[ [#This Row],[Account Deposit Amount] ]-Table324[ [#This Row],[Account Withdrawl Amount] ], )</f>
        <v>0</v>
      </c>
      <c r="N82" s="128">
        <f>IF(Table324[[#This Row],[CODE]]=6, Table324[ [#This Row],[Account Deposit Amount] ]-Table324[ [#This Row],[Account Withdrawl Amount] ], )</f>
        <v>0</v>
      </c>
      <c r="O82" s="128">
        <f>IF(Table324[[#This Row],[CODE]]=11, Table324[ [#This Row],[Account Deposit Amount] ]-Table324[ [#This Row],[Account Withdrawl Amount] ], )</f>
        <v>0</v>
      </c>
      <c r="P82" s="128">
        <f>IF(Table324[[#This Row],[CODE]]=12, Table324[ [#This Row],[Account Deposit Amount] ]-Table324[ [#This Row],[Account Withdrawl Amount] ], )</f>
        <v>0</v>
      </c>
      <c r="Q82" s="128">
        <f>IF(Table324[[#This Row],[CODE]]=13, Table324[ [#This Row],[Account Deposit Amount] ]-Table324[ [#This Row],[Account Withdrawl Amount] ], )</f>
        <v>0</v>
      </c>
      <c r="R82" s="128">
        <f>IF(Table324[[#This Row],[CODE]]=14, Table324[ [#This Row],[Account Deposit Amount] ]-Table324[ [#This Row],[Account Withdrawl Amount] ], )</f>
        <v>0</v>
      </c>
      <c r="S82" s="128">
        <f>IF(Table324[[#This Row],[CODE]]=15, Table324[ [#This Row],[Account Deposit Amount] ]-Table324[ [#This Row],[Account Withdrawl Amount] ], )</f>
        <v>0</v>
      </c>
      <c r="T82" s="128">
        <f>IF(Table324[[#This Row],[CODE]]=16, Table324[ [#This Row],[Account Deposit Amount] ]-Table324[ [#This Row],[Account Withdrawl Amount] ], )</f>
        <v>0</v>
      </c>
      <c r="U82" s="127">
        <f>IF(Table324[[#This Row],[CODE]]=17, Table324[ [#This Row],[Account Deposit Amount] ]-Table324[ [#This Row],[Account Withdrawl Amount] ], )</f>
        <v>0</v>
      </c>
      <c r="V82" s="166"/>
    </row>
    <row r="83" spans="1:22" ht="16.2" thickBot="1">
      <c r="A83" s="130"/>
      <c r="B83" s="133"/>
      <c r="C83" s="130"/>
      <c r="D83" s="132"/>
      <c r="E83" s="128"/>
      <c r="F83" s="128"/>
      <c r="G83" s="131">
        <f t="shared" si="4"/>
        <v>25358.78</v>
      </c>
      <c r="H83" s="130"/>
      <c r="I83" s="127">
        <f>IF(Table324[[#This Row],[CODE]]=1, Table324[ [#This Row],[Account Deposit Amount] ]-Table324[ [#This Row],[Account Withdrawl Amount] ], )</f>
        <v>0</v>
      </c>
      <c r="J83" s="129">
        <f>IF(Table324[[#This Row],[CODE]]=2, Table324[ [#This Row],[Account Deposit Amount] ]-Table324[ [#This Row],[Account Withdrawl Amount] ], )</f>
        <v>0</v>
      </c>
      <c r="K83" s="129">
        <f>IF(Table324[[#This Row],[CODE]]=3, Table324[ [#This Row],[Account Deposit Amount] ]-Table324[ [#This Row],[Account Withdrawl Amount] ], )</f>
        <v>0</v>
      </c>
      <c r="L83" s="128">
        <f>IF(Table324[[#This Row],[CODE]]=4, Table324[ [#This Row],[Account Deposit Amount] ]-Table324[ [#This Row],[Account Withdrawl Amount] ], )</f>
        <v>0</v>
      </c>
      <c r="M83" s="128">
        <f>IF(Table324[[#This Row],[CODE]]=5, Table324[ [#This Row],[Account Deposit Amount] ]-Table324[ [#This Row],[Account Withdrawl Amount] ], )</f>
        <v>0</v>
      </c>
      <c r="N83" s="128">
        <f>IF(Table324[[#This Row],[CODE]]=6, Table324[ [#This Row],[Account Deposit Amount] ]-Table324[ [#This Row],[Account Withdrawl Amount] ], )</f>
        <v>0</v>
      </c>
      <c r="O83" s="128">
        <f>IF(Table324[[#This Row],[CODE]]=11, Table324[ [#This Row],[Account Deposit Amount] ]-Table324[ [#This Row],[Account Withdrawl Amount] ], )</f>
        <v>0</v>
      </c>
      <c r="P83" s="128">
        <f>IF(Table324[[#This Row],[CODE]]=12, Table324[ [#This Row],[Account Deposit Amount] ]-Table324[ [#This Row],[Account Withdrawl Amount] ], )</f>
        <v>0</v>
      </c>
      <c r="Q83" s="128">
        <f>IF(Table324[[#This Row],[CODE]]=13, Table324[ [#This Row],[Account Deposit Amount] ]-Table324[ [#This Row],[Account Withdrawl Amount] ], )</f>
        <v>0</v>
      </c>
      <c r="R83" s="128">
        <f>IF(Table324[[#This Row],[CODE]]=14, Table324[ [#This Row],[Account Deposit Amount] ]-Table324[ [#This Row],[Account Withdrawl Amount] ], )</f>
        <v>0</v>
      </c>
      <c r="S83" s="128">
        <f>IF(Table324[[#This Row],[CODE]]=15, Table324[ [#This Row],[Account Deposit Amount] ]-Table324[ [#This Row],[Account Withdrawl Amount] ], )</f>
        <v>0</v>
      </c>
      <c r="T83" s="128">
        <f>IF(Table324[[#This Row],[CODE]]=16, Table324[ [#This Row],[Account Deposit Amount] ]-Table324[ [#This Row],[Account Withdrawl Amount] ], )</f>
        <v>0</v>
      </c>
      <c r="U83" s="127">
        <f>IF(Table324[[#This Row],[CODE]]=17, Table324[ [#This Row],[Account Deposit Amount] ]-Table324[ [#This Row],[Account Withdrawl Amount] ], )</f>
        <v>0</v>
      </c>
      <c r="V83" s="166"/>
    </row>
    <row r="84" spans="1:22" ht="16.2" thickBot="1">
      <c r="A84" s="130"/>
      <c r="B84" s="133"/>
      <c r="C84" s="130"/>
      <c r="D84" s="132"/>
      <c r="E84" s="128"/>
      <c r="F84" s="128"/>
      <c r="G84" s="131">
        <f t="shared" si="4"/>
        <v>25358.78</v>
      </c>
      <c r="H84" s="130"/>
      <c r="I84" s="127">
        <f>IF(Table324[[#This Row],[CODE]]=1, Table324[ [#This Row],[Account Deposit Amount] ]-Table324[ [#This Row],[Account Withdrawl Amount] ], )</f>
        <v>0</v>
      </c>
      <c r="J84" s="129">
        <f>IF(Table324[[#This Row],[CODE]]=2, Table324[ [#This Row],[Account Deposit Amount] ]-Table324[ [#This Row],[Account Withdrawl Amount] ], )</f>
        <v>0</v>
      </c>
      <c r="K84" s="129">
        <f>IF(Table324[[#This Row],[CODE]]=3, Table324[ [#This Row],[Account Deposit Amount] ]-Table324[ [#This Row],[Account Withdrawl Amount] ], )</f>
        <v>0</v>
      </c>
      <c r="L84" s="128">
        <f>IF(Table324[[#This Row],[CODE]]=4, Table324[ [#This Row],[Account Deposit Amount] ]-Table324[ [#This Row],[Account Withdrawl Amount] ], )</f>
        <v>0</v>
      </c>
      <c r="M84" s="128">
        <f>IF(Table324[[#This Row],[CODE]]=5, Table324[ [#This Row],[Account Deposit Amount] ]-Table324[ [#This Row],[Account Withdrawl Amount] ], )</f>
        <v>0</v>
      </c>
      <c r="N84" s="128">
        <f>IF(Table324[[#This Row],[CODE]]=6, Table324[ [#This Row],[Account Deposit Amount] ]-Table324[ [#This Row],[Account Withdrawl Amount] ], )</f>
        <v>0</v>
      </c>
      <c r="O84" s="128">
        <f>IF(Table324[[#This Row],[CODE]]=11, Table324[ [#This Row],[Account Deposit Amount] ]-Table324[ [#This Row],[Account Withdrawl Amount] ], )</f>
        <v>0</v>
      </c>
      <c r="P84" s="128">
        <f>IF(Table324[[#This Row],[CODE]]=12, Table324[ [#This Row],[Account Deposit Amount] ]-Table324[ [#This Row],[Account Withdrawl Amount] ], )</f>
        <v>0</v>
      </c>
      <c r="Q84" s="128">
        <f>IF(Table324[[#This Row],[CODE]]=13, Table324[ [#This Row],[Account Deposit Amount] ]-Table324[ [#This Row],[Account Withdrawl Amount] ], )</f>
        <v>0</v>
      </c>
      <c r="R84" s="128">
        <f>IF(Table324[[#This Row],[CODE]]=14, Table324[ [#This Row],[Account Deposit Amount] ]-Table324[ [#This Row],[Account Withdrawl Amount] ], )</f>
        <v>0</v>
      </c>
      <c r="S84" s="128">
        <f>IF(Table324[[#This Row],[CODE]]=15, Table324[ [#This Row],[Account Deposit Amount] ]-Table324[ [#This Row],[Account Withdrawl Amount] ], )</f>
        <v>0</v>
      </c>
      <c r="T84" s="128">
        <f>IF(Table324[[#This Row],[CODE]]=16, Table324[ [#This Row],[Account Deposit Amount] ]-Table324[ [#This Row],[Account Withdrawl Amount] ], )</f>
        <v>0</v>
      </c>
      <c r="U84" s="127">
        <f>IF(Table324[[#This Row],[CODE]]=17, Table324[ [#This Row],[Account Deposit Amount] ]-Table324[ [#This Row],[Account Withdrawl Amount] ], )</f>
        <v>0</v>
      </c>
      <c r="V84" s="166"/>
    </row>
    <row r="85" spans="1:22" ht="16.2" thickBot="1">
      <c r="A85" s="130"/>
      <c r="B85" s="133"/>
      <c r="C85" s="130"/>
      <c r="D85" s="132"/>
      <c r="E85" s="128"/>
      <c r="F85" s="128"/>
      <c r="G85" s="131">
        <f t="shared" si="4"/>
        <v>25358.78</v>
      </c>
      <c r="H85" s="130"/>
      <c r="I85" s="127">
        <f>IF(Table324[[#This Row],[CODE]]=1, Table324[ [#This Row],[Account Deposit Amount] ]-Table324[ [#This Row],[Account Withdrawl Amount] ], )</f>
        <v>0</v>
      </c>
      <c r="J85" s="129">
        <f>IF(Table324[[#This Row],[CODE]]=2, Table324[ [#This Row],[Account Deposit Amount] ]-Table324[ [#This Row],[Account Withdrawl Amount] ], )</f>
        <v>0</v>
      </c>
      <c r="K85" s="129">
        <f>IF(Table324[[#This Row],[CODE]]=3, Table324[ [#This Row],[Account Deposit Amount] ]-Table324[ [#This Row],[Account Withdrawl Amount] ], )</f>
        <v>0</v>
      </c>
      <c r="L85" s="128">
        <f>IF(Table324[[#This Row],[CODE]]=4, Table324[ [#This Row],[Account Deposit Amount] ]-Table324[ [#This Row],[Account Withdrawl Amount] ], )</f>
        <v>0</v>
      </c>
      <c r="M85" s="128">
        <f>IF(Table324[[#This Row],[CODE]]=5, Table324[ [#This Row],[Account Deposit Amount] ]-Table324[ [#This Row],[Account Withdrawl Amount] ], )</f>
        <v>0</v>
      </c>
      <c r="N85" s="128">
        <f>IF(Table324[[#This Row],[CODE]]=6, Table324[ [#This Row],[Account Deposit Amount] ]-Table324[ [#This Row],[Account Withdrawl Amount] ], )</f>
        <v>0</v>
      </c>
      <c r="O85" s="128">
        <f>IF(Table324[[#This Row],[CODE]]=11, Table324[ [#This Row],[Account Deposit Amount] ]-Table324[ [#This Row],[Account Withdrawl Amount] ], )</f>
        <v>0</v>
      </c>
      <c r="P85" s="128">
        <f>IF(Table324[[#This Row],[CODE]]=12, Table324[ [#This Row],[Account Deposit Amount] ]-Table324[ [#This Row],[Account Withdrawl Amount] ], )</f>
        <v>0</v>
      </c>
      <c r="Q85" s="128">
        <f>IF(Table324[[#This Row],[CODE]]=13, Table324[ [#This Row],[Account Deposit Amount] ]-Table324[ [#This Row],[Account Withdrawl Amount] ], )</f>
        <v>0</v>
      </c>
      <c r="R85" s="128">
        <f>IF(Table324[[#This Row],[CODE]]=14, Table324[ [#This Row],[Account Deposit Amount] ]-Table324[ [#This Row],[Account Withdrawl Amount] ], )</f>
        <v>0</v>
      </c>
      <c r="S85" s="128">
        <f>IF(Table324[[#This Row],[CODE]]=15, Table324[ [#This Row],[Account Deposit Amount] ]-Table324[ [#This Row],[Account Withdrawl Amount] ], )</f>
        <v>0</v>
      </c>
      <c r="T85" s="128">
        <f>IF(Table324[[#This Row],[CODE]]=16, Table324[ [#This Row],[Account Deposit Amount] ]-Table324[ [#This Row],[Account Withdrawl Amount] ], )</f>
        <v>0</v>
      </c>
      <c r="U85" s="127">
        <f>IF(Table324[[#This Row],[CODE]]=17, Table324[ [#This Row],[Account Deposit Amount] ]-Table324[ [#This Row],[Account Withdrawl Amount] ], )</f>
        <v>0</v>
      </c>
      <c r="V85" s="166"/>
    </row>
    <row r="86" spans="1:22" ht="16.2" thickBot="1">
      <c r="A86" s="130"/>
      <c r="B86" s="133"/>
      <c r="C86" s="130"/>
      <c r="D86" s="132"/>
      <c r="E86" s="128"/>
      <c r="F86" s="128"/>
      <c r="G86" s="131">
        <f t="shared" si="4"/>
        <v>25358.78</v>
      </c>
      <c r="H86" s="130"/>
      <c r="I86" s="127">
        <f>IF(Table324[[#This Row],[CODE]]=1, Table324[ [#This Row],[Account Deposit Amount] ]-Table324[ [#This Row],[Account Withdrawl Amount] ], )</f>
        <v>0</v>
      </c>
      <c r="J86" s="129">
        <f>IF(Table324[[#This Row],[CODE]]=2, Table324[ [#This Row],[Account Deposit Amount] ]-Table324[ [#This Row],[Account Withdrawl Amount] ], )</f>
        <v>0</v>
      </c>
      <c r="K86" s="129">
        <f>IF(Table324[[#This Row],[CODE]]=3, Table324[ [#This Row],[Account Deposit Amount] ]-Table324[ [#This Row],[Account Withdrawl Amount] ], )</f>
        <v>0</v>
      </c>
      <c r="L86" s="128">
        <f>IF(Table324[[#This Row],[CODE]]=4, Table324[ [#This Row],[Account Deposit Amount] ]-Table324[ [#This Row],[Account Withdrawl Amount] ], )</f>
        <v>0</v>
      </c>
      <c r="M86" s="128">
        <f>IF(Table324[[#This Row],[CODE]]=5, Table324[ [#This Row],[Account Deposit Amount] ]-Table324[ [#This Row],[Account Withdrawl Amount] ], )</f>
        <v>0</v>
      </c>
      <c r="N86" s="128">
        <f>IF(Table324[[#This Row],[CODE]]=6, Table324[ [#This Row],[Account Deposit Amount] ]-Table324[ [#This Row],[Account Withdrawl Amount] ], )</f>
        <v>0</v>
      </c>
      <c r="O86" s="128">
        <f>IF(Table324[[#This Row],[CODE]]=11, Table324[ [#This Row],[Account Deposit Amount] ]-Table324[ [#This Row],[Account Withdrawl Amount] ], )</f>
        <v>0</v>
      </c>
      <c r="P86" s="128">
        <f>IF(Table324[[#This Row],[CODE]]=12, Table324[ [#This Row],[Account Deposit Amount] ]-Table324[ [#This Row],[Account Withdrawl Amount] ], )</f>
        <v>0</v>
      </c>
      <c r="Q86" s="128">
        <f>IF(Table324[[#This Row],[CODE]]=13, Table324[ [#This Row],[Account Deposit Amount] ]-Table324[ [#This Row],[Account Withdrawl Amount] ], )</f>
        <v>0</v>
      </c>
      <c r="R86" s="128">
        <f>IF(Table324[[#This Row],[CODE]]=14, Table324[ [#This Row],[Account Deposit Amount] ]-Table324[ [#This Row],[Account Withdrawl Amount] ], )</f>
        <v>0</v>
      </c>
      <c r="S86" s="128">
        <f>IF(Table324[[#This Row],[CODE]]=15, Table324[ [#This Row],[Account Deposit Amount] ]-Table324[ [#This Row],[Account Withdrawl Amount] ], )</f>
        <v>0</v>
      </c>
      <c r="T86" s="128">
        <f>IF(Table324[[#This Row],[CODE]]=16, Table324[ [#This Row],[Account Deposit Amount] ]-Table324[ [#This Row],[Account Withdrawl Amount] ], )</f>
        <v>0</v>
      </c>
      <c r="U86" s="127">
        <f>IF(Table324[[#This Row],[CODE]]=17, Table324[ [#This Row],[Account Deposit Amount] ]-Table324[ [#This Row],[Account Withdrawl Amount] ], )</f>
        <v>0</v>
      </c>
      <c r="V86" s="166"/>
    </row>
    <row r="87" spans="1:22" ht="16.2" thickBot="1">
      <c r="A87" s="130"/>
      <c r="B87" s="133"/>
      <c r="C87" s="130"/>
      <c r="D87" s="132"/>
      <c r="E87" s="128"/>
      <c r="F87" s="128"/>
      <c r="G87" s="131">
        <f t="shared" si="4"/>
        <v>25358.78</v>
      </c>
      <c r="H87" s="130"/>
      <c r="I87" s="127">
        <f>IF(Table324[[#This Row],[CODE]]=1, Table324[ [#This Row],[Account Deposit Amount] ]-Table324[ [#This Row],[Account Withdrawl Amount] ], )</f>
        <v>0</v>
      </c>
      <c r="J87" s="129">
        <f>IF(Table324[[#This Row],[CODE]]=2, Table324[ [#This Row],[Account Deposit Amount] ]-Table324[ [#This Row],[Account Withdrawl Amount] ], )</f>
        <v>0</v>
      </c>
      <c r="K87" s="129">
        <f>IF(Table324[[#This Row],[CODE]]=3, Table324[ [#This Row],[Account Deposit Amount] ]-Table324[ [#This Row],[Account Withdrawl Amount] ], )</f>
        <v>0</v>
      </c>
      <c r="L87" s="128">
        <f>IF(Table324[[#This Row],[CODE]]=4, Table324[ [#This Row],[Account Deposit Amount] ]-Table324[ [#This Row],[Account Withdrawl Amount] ], )</f>
        <v>0</v>
      </c>
      <c r="M87" s="128">
        <f>IF(Table324[[#This Row],[CODE]]=5, Table324[ [#This Row],[Account Deposit Amount] ]-Table324[ [#This Row],[Account Withdrawl Amount] ], )</f>
        <v>0</v>
      </c>
      <c r="N87" s="128">
        <f>IF(Table324[[#This Row],[CODE]]=6, Table324[ [#This Row],[Account Deposit Amount] ]-Table324[ [#This Row],[Account Withdrawl Amount] ], )</f>
        <v>0</v>
      </c>
      <c r="O87" s="128">
        <f>IF(Table324[[#This Row],[CODE]]=11, Table324[ [#This Row],[Account Deposit Amount] ]-Table324[ [#This Row],[Account Withdrawl Amount] ], )</f>
        <v>0</v>
      </c>
      <c r="P87" s="128">
        <f>IF(Table324[[#This Row],[CODE]]=12, Table324[ [#This Row],[Account Deposit Amount] ]-Table324[ [#This Row],[Account Withdrawl Amount] ], )</f>
        <v>0</v>
      </c>
      <c r="Q87" s="128">
        <f>IF(Table324[[#This Row],[CODE]]=13, Table324[ [#This Row],[Account Deposit Amount] ]-Table324[ [#This Row],[Account Withdrawl Amount] ], )</f>
        <v>0</v>
      </c>
      <c r="R87" s="128">
        <f>IF(Table324[[#This Row],[CODE]]=14, Table324[ [#This Row],[Account Deposit Amount] ]-Table324[ [#This Row],[Account Withdrawl Amount] ], )</f>
        <v>0</v>
      </c>
      <c r="S87" s="128">
        <f>IF(Table324[[#This Row],[CODE]]=15, Table324[ [#This Row],[Account Deposit Amount] ]-Table324[ [#This Row],[Account Withdrawl Amount] ], )</f>
        <v>0</v>
      </c>
      <c r="T87" s="128">
        <f>IF(Table324[[#This Row],[CODE]]=16, Table324[ [#This Row],[Account Deposit Amount] ]-Table324[ [#This Row],[Account Withdrawl Amount] ], )</f>
        <v>0</v>
      </c>
      <c r="U87" s="127">
        <f>IF(Table324[[#This Row],[CODE]]=17, Table324[ [#This Row],[Account Deposit Amount] ]-Table324[ [#This Row],[Account Withdrawl Amount] ], )</f>
        <v>0</v>
      </c>
      <c r="V87" s="166"/>
    </row>
    <row r="88" spans="1:22" ht="16.2" thickBot="1">
      <c r="A88" s="130"/>
      <c r="B88" s="133"/>
      <c r="C88" s="130"/>
      <c r="D88" s="132"/>
      <c r="E88" s="128"/>
      <c r="F88" s="128"/>
      <c r="G88" s="131">
        <f t="shared" si="4"/>
        <v>25358.78</v>
      </c>
      <c r="H88" s="130"/>
      <c r="I88" s="127">
        <f>IF(Table324[[#This Row],[CODE]]=1, Table324[ [#This Row],[Account Deposit Amount] ]-Table324[ [#This Row],[Account Withdrawl Amount] ], )</f>
        <v>0</v>
      </c>
      <c r="J88" s="129">
        <f>IF(Table324[[#This Row],[CODE]]=2, Table324[ [#This Row],[Account Deposit Amount] ]-Table324[ [#This Row],[Account Withdrawl Amount] ], )</f>
        <v>0</v>
      </c>
      <c r="K88" s="129">
        <f>IF(Table324[[#This Row],[CODE]]=3, Table324[ [#This Row],[Account Deposit Amount] ]-Table324[ [#This Row],[Account Withdrawl Amount] ], )</f>
        <v>0</v>
      </c>
      <c r="L88" s="128">
        <f>IF(Table324[[#This Row],[CODE]]=4, Table324[ [#This Row],[Account Deposit Amount] ]-Table324[ [#This Row],[Account Withdrawl Amount] ], )</f>
        <v>0</v>
      </c>
      <c r="M88" s="128">
        <f>IF(Table324[[#This Row],[CODE]]=5, Table324[ [#This Row],[Account Deposit Amount] ]-Table324[ [#This Row],[Account Withdrawl Amount] ], )</f>
        <v>0</v>
      </c>
      <c r="N88" s="128">
        <f>IF(Table324[[#This Row],[CODE]]=6, Table324[ [#This Row],[Account Deposit Amount] ]-Table324[ [#This Row],[Account Withdrawl Amount] ], )</f>
        <v>0</v>
      </c>
      <c r="O88" s="128">
        <f>IF(Table324[[#This Row],[CODE]]=11, Table324[ [#This Row],[Account Deposit Amount] ]-Table324[ [#This Row],[Account Withdrawl Amount] ], )</f>
        <v>0</v>
      </c>
      <c r="P88" s="128">
        <f>IF(Table324[[#This Row],[CODE]]=12, Table324[ [#This Row],[Account Deposit Amount] ]-Table324[ [#This Row],[Account Withdrawl Amount] ], )</f>
        <v>0</v>
      </c>
      <c r="Q88" s="128">
        <f>IF(Table324[[#This Row],[CODE]]=13, Table324[ [#This Row],[Account Deposit Amount] ]-Table324[ [#This Row],[Account Withdrawl Amount] ], )</f>
        <v>0</v>
      </c>
      <c r="R88" s="128">
        <f>IF(Table324[[#This Row],[CODE]]=14, Table324[ [#This Row],[Account Deposit Amount] ]-Table324[ [#This Row],[Account Withdrawl Amount] ], )</f>
        <v>0</v>
      </c>
      <c r="S88" s="128">
        <f>IF(Table324[[#This Row],[CODE]]=15, Table324[ [#This Row],[Account Deposit Amount] ]-Table324[ [#This Row],[Account Withdrawl Amount] ], )</f>
        <v>0</v>
      </c>
      <c r="T88" s="128">
        <f>IF(Table324[[#This Row],[CODE]]=16, Table324[ [#This Row],[Account Deposit Amount] ]-Table324[ [#This Row],[Account Withdrawl Amount] ], )</f>
        <v>0</v>
      </c>
      <c r="U88" s="127">
        <f>IF(Table324[[#This Row],[CODE]]=17, Table324[ [#This Row],[Account Deposit Amount] ]-Table324[ [#This Row],[Account Withdrawl Amount] ], )</f>
        <v>0</v>
      </c>
      <c r="V88" s="166"/>
    </row>
    <row r="89" spans="1:22" ht="16.2" thickBot="1">
      <c r="A89" s="130"/>
      <c r="B89" s="133"/>
      <c r="C89" s="130"/>
      <c r="D89" s="132"/>
      <c r="E89" s="128"/>
      <c r="F89" s="128"/>
      <c r="G89" s="131">
        <f t="shared" si="4"/>
        <v>25358.78</v>
      </c>
      <c r="H89" s="130"/>
      <c r="I89" s="127">
        <f>IF(Table324[[#This Row],[CODE]]=1, Table324[ [#This Row],[Account Deposit Amount] ]-Table324[ [#This Row],[Account Withdrawl Amount] ], )</f>
        <v>0</v>
      </c>
      <c r="J89" s="129">
        <f>IF(Table324[[#This Row],[CODE]]=2, Table324[ [#This Row],[Account Deposit Amount] ]-Table324[ [#This Row],[Account Withdrawl Amount] ], )</f>
        <v>0</v>
      </c>
      <c r="K89" s="129">
        <f>IF(Table324[[#This Row],[CODE]]=3, Table324[ [#This Row],[Account Deposit Amount] ]-Table324[ [#This Row],[Account Withdrawl Amount] ], )</f>
        <v>0</v>
      </c>
      <c r="L89" s="128">
        <f>IF(Table324[[#This Row],[CODE]]=4, Table324[ [#This Row],[Account Deposit Amount] ]-Table324[ [#This Row],[Account Withdrawl Amount] ], )</f>
        <v>0</v>
      </c>
      <c r="M89" s="128">
        <f>IF(Table324[[#This Row],[CODE]]=5, Table324[ [#This Row],[Account Deposit Amount] ]-Table324[ [#This Row],[Account Withdrawl Amount] ], )</f>
        <v>0</v>
      </c>
      <c r="N89" s="128">
        <f>IF(Table324[[#This Row],[CODE]]=6, Table324[ [#This Row],[Account Deposit Amount] ]-Table324[ [#This Row],[Account Withdrawl Amount] ], )</f>
        <v>0</v>
      </c>
      <c r="O89" s="128">
        <f>IF(Table324[[#This Row],[CODE]]=11, Table324[ [#This Row],[Account Deposit Amount] ]-Table324[ [#This Row],[Account Withdrawl Amount] ], )</f>
        <v>0</v>
      </c>
      <c r="P89" s="128">
        <f>IF(Table324[[#This Row],[CODE]]=12, Table324[ [#This Row],[Account Deposit Amount] ]-Table324[ [#This Row],[Account Withdrawl Amount] ], )</f>
        <v>0</v>
      </c>
      <c r="Q89" s="128">
        <f>IF(Table324[[#This Row],[CODE]]=13, Table324[ [#This Row],[Account Deposit Amount] ]-Table324[ [#This Row],[Account Withdrawl Amount] ], )</f>
        <v>0</v>
      </c>
      <c r="R89" s="128">
        <f>IF(Table324[[#This Row],[CODE]]=14, Table324[ [#This Row],[Account Deposit Amount] ]-Table324[ [#This Row],[Account Withdrawl Amount] ], )</f>
        <v>0</v>
      </c>
      <c r="S89" s="128">
        <f>IF(Table324[[#This Row],[CODE]]=15, Table324[ [#This Row],[Account Deposit Amount] ]-Table324[ [#This Row],[Account Withdrawl Amount] ], )</f>
        <v>0</v>
      </c>
      <c r="T89" s="128">
        <f>IF(Table324[[#This Row],[CODE]]=16, Table324[ [#This Row],[Account Deposit Amount] ]-Table324[ [#This Row],[Account Withdrawl Amount] ], )</f>
        <v>0</v>
      </c>
      <c r="U89" s="127">
        <f>IF(Table324[[#This Row],[CODE]]=17, Table324[ [#This Row],[Account Deposit Amount] ]-Table324[ [#This Row],[Account Withdrawl Amount] ], )</f>
        <v>0</v>
      </c>
      <c r="V89" s="166"/>
    </row>
    <row r="90" spans="1:22" ht="16.2" thickBot="1">
      <c r="A90" s="130"/>
      <c r="B90" s="133"/>
      <c r="C90" s="130"/>
      <c r="D90" s="132"/>
      <c r="E90" s="128"/>
      <c r="F90" s="128"/>
      <c r="G90" s="131">
        <f t="shared" si="4"/>
        <v>25358.78</v>
      </c>
      <c r="H90" s="130"/>
      <c r="I90" s="127">
        <f>IF(Table324[[#This Row],[CODE]]=1, Table324[ [#This Row],[Account Deposit Amount] ]-Table324[ [#This Row],[Account Withdrawl Amount] ], )</f>
        <v>0</v>
      </c>
      <c r="J90" s="129">
        <f>IF(Table324[[#This Row],[CODE]]=2, Table324[ [#This Row],[Account Deposit Amount] ]-Table324[ [#This Row],[Account Withdrawl Amount] ], )</f>
        <v>0</v>
      </c>
      <c r="K90" s="129">
        <f>IF(Table324[[#This Row],[CODE]]=3, Table324[ [#This Row],[Account Deposit Amount] ]-Table324[ [#This Row],[Account Withdrawl Amount] ], )</f>
        <v>0</v>
      </c>
      <c r="L90" s="128">
        <f>IF(Table324[[#This Row],[CODE]]=4, Table324[ [#This Row],[Account Deposit Amount] ]-Table324[ [#This Row],[Account Withdrawl Amount] ], )</f>
        <v>0</v>
      </c>
      <c r="M90" s="128">
        <f>IF(Table324[[#This Row],[CODE]]=5, Table324[ [#This Row],[Account Deposit Amount] ]-Table324[ [#This Row],[Account Withdrawl Amount] ], )</f>
        <v>0</v>
      </c>
      <c r="N90" s="128">
        <f>IF(Table324[[#This Row],[CODE]]=6, Table324[ [#This Row],[Account Deposit Amount] ]-Table324[ [#This Row],[Account Withdrawl Amount] ], )</f>
        <v>0</v>
      </c>
      <c r="O90" s="128">
        <f>IF(Table324[[#This Row],[CODE]]=11, Table324[ [#This Row],[Account Deposit Amount] ]-Table324[ [#This Row],[Account Withdrawl Amount] ], )</f>
        <v>0</v>
      </c>
      <c r="P90" s="128">
        <f>IF(Table324[[#This Row],[CODE]]=12, Table324[ [#This Row],[Account Deposit Amount] ]-Table324[ [#This Row],[Account Withdrawl Amount] ], )</f>
        <v>0</v>
      </c>
      <c r="Q90" s="128">
        <f>IF(Table324[[#This Row],[CODE]]=13, Table324[ [#This Row],[Account Deposit Amount] ]-Table324[ [#This Row],[Account Withdrawl Amount] ], )</f>
        <v>0</v>
      </c>
      <c r="R90" s="128">
        <f>IF(Table324[[#This Row],[CODE]]=14, Table324[ [#This Row],[Account Deposit Amount] ]-Table324[ [#This Row],[Account Withdrawl Amount] ], )</f>
        <v>0</v>
      </c>
      <c r="S90" s="128">
        <f>IF(Table324[[#This Row],[CODE]]=15, Table324[ [#This Row],[Account Deposit Amount] ]-Table324[ [#This Row],[Account Withdrawl Amount] ], )</f>
        <v>0</v>
      </c>
      <c r="T90" s="128">
        <f>IF(Table324[[#This Row],[CODE]]=16, Table324[ [#This Row],[Account Deposit Amount] ]-Table324[ [#This Row],[Account Withdrawl Amount] ], )</f>
        <v>0</v>
      </c>
      <c r="U90" s="127">
        <f>IF(Table324[[#This Row],[CODE]]=17, Table324[ [#This Row],[Account Deposit Amount] ]-Table324[ [#This Row],[Account Withdrawl Amount] ], )</f>
        <v>0</v>
      </c>
      <c r="V90" s="166"/>
    </row>
    <row r="91" spans="1:22" ht="16.2" thickBot="1">
      <c r="A91" s="130"/>
      <c r="B91" s="133"/>
      <c r="C91" s="130"/>
      <c r="D91" s="132"/>
      <c r="E91" s="128"/>
      <c r="F91" s="128"/>
      <c r="G91" s="131">
        <f t="shared" si="4"/>
        <v>25358.78</v>
      </c>
      <c r="H91" s="130"/>
      <c r="I91" s="127">
        <f>IF(Table324[[#This Row],[CODE]]=1, Table324[ [#This Row],[Account Deposit Amount] ]-Table324[ [#This Row],[Account Withdrawl Amount] ], )</f>
        <v>0</v>
      </c>
      <c r="J91" s="129">
        <f>IF(Table324[[#This Row],[CODE]]=2, Table324[ [#This Row],[Account Deposit Amount] ]-Table324[ [#This Row],[Account Withdrawl Amount] ], )</f>
        <v>0</v>
      </c>
      <c r="K91" s="129">
        <f>IF(Table324[[#This Row],[CODE]]=3, Table324[ [#This Row],[Account Deposit Amount] ]-Table324[ [#This Row],[Account Withdrawl Amount] ], )</f>
        <v>0</v>
      </c>
      <c r="L91" s="128">
        <f>IF(Table324[[#This Row],[CODE]]=4, Table324[ [#This Row],[Account Deposit Amount] ]-Table324[ [#This Row],[Account Withdrawl Amount] ], )</f>
        <v>0</v>
      </c>
      <c r="M91" s="128">
        <f>IF(Table324[[#This Row],[CODE]]=5, Table324[ [#This Row],[Account Deposit Amount] ]-Table324[ [#This Row],[Account Withdrawl Amount] ], )</f>
        <v>0</v>
      </c>
      <c r="N91" s="128">
        <f>IF(Table324[[#This Row],[CODE]]=6, Table324[ [#This Row],[Account Deposit Amount] ]-Table324[ [#This Row],[Account Withdrawl Amount] ], )</f>
        <v>0</v>
      </c>
      <c r="O91" s="128">
        <f>IF(Table324[[#This Row],[CODE]]=11, Table324[ [#This Row],[Account Deposit Amount] ]-Table324[ [#This Row],[Account Withdrawl Amount] ], )</f>
        <v>0</v>
      </c>
      <c r="P91" s="128">
        <f>IF(Table324[[#This Row],[CODE]]=12, Table324[ [#This Row],[Account Deposit Amount] ]-Table324[ [#This Row],[Account Withdrawl Amount] ], )</f>
        <v>0</v>
      </c>
      <c r="Q91" s="128">
        <f>IF(Table324[[#This Row],[CODE]]=13, Table324[ [#This Row],[Account Deposit Amount] ]-Table324[ [#This Row],[Account Withdrawl Amount] ], )</f>
        <v>0</v>
      </c>
      <c r="R91" s="128">
        <f>IF(Table324[[#This Row],[CODE]]=14, Table324[ [#This Row],[Account Deposit Amount] ]-Table324[ [#This Row],[Account Withdrawl Amount] ], )</f>
        <v>0</v>
      </c>
      <c r="S91" s="128">
        <f>IF(Table324[[#This Row],[CODE]]=15, Table324[ [#This Row],[Account Deposit Amount] ]-Table324[ [#This Row],[Account Withdrawl Amount] ], )</f>
        <v>0</v>
      </c>
      <c r="T91" s="128">
        <f>IF(Table324[[#This Row],[CODE]]=16, Table324[ [#This Row],[Account Deposit Amount] ]-Table324[ [#This Row],[Account Withdrawl Amount] ], )</f>
        <v>0</v>
      </c>
      <c r="U91" s="127">
        <f>IF(Table324[[#This Row],[CODE]]=17, Table324[ [#This Row],[Account Deposit Amount] ]-Table324[ [#This Row],[Account Withdrawl Amount] ], )</f>
        <v>0</v>
      </c>
      <c r="V91" s="166"/>
    </row>
    <row r="92" spans="1:22" ht="16.2" thickBot="1">
      <c r="A92" s="130"/>
      <c r="B92" s="133"/>
      <c r="C92" s="130"/>
      <c r="D92" s="132"/>
      <c r="E92" s="128"/>
      <c r="F92" s="128"/>
      <c r="G92" s="131">
        <f t="shared" si="4"/>
        <v>25358.78</v>
      </c>
      <c r="H92" s="130"/>
      <c r="I92" s="127">
        <f>IF(Table324[[#This Row],[CODE]]=1, Table324[ [#This Row],[Account Deposit Amount] ]-Table324[ [#This Row],[Account Withdrawl Amount] ], )</f>
        <v>0</v>
      </c>
      <c r="J92" s="129">
        <f>IF(Table324[[#This Row],[CODE]]=2, Table324[ [#This Row],[Account Deposit Amount] ]-Table324[ [#This Row],[Account Withdrawl Amount] ], )</f>
        <v>0</v>
      </c>
      <c r="K92" s="129">
        <f>IF(Table324[[#This Row],[CODE]]=3, Table324[ [#This Row],[Account Deposit Amount] ]-Table324[ [#This Row],[Account Withdrawl Amount] ], )</f>
        <v>0</v>
      </c>
      <c r="L92" s="128">
        <f>IF(Table324[[#This Row],[CODE]]=4, Table324[ [#This Row],[Account Deposit Amount] ]-Table324[ [#This Row],[Account Withdrawl Amount] ], )</f>
        <v>0</v>
      </c>
      <c r="M92" s="128">
        <f>IF(Table324[[#This Row],[CODE]]=5, Table324[ [#This Row],[Account Deposit Amount] ]-Table324[ [#This Row],[Account Withdrawl Amount] ], )</f>
        <v>0</v>
      </c>
      <c r="N92" s="128">
        <f>IF(Table324[[#This Row],[CODE]]=6, Table324[ [#This Row],[Account Deposit Amount] ]-Table324[ [#This Row],[Account Withdrawl Amount] ], )</f>
        <v>0</v>
      </c>
      <c r="O92" s="128">
        <f>IF(Table324[[#This Row],[CODE]]=11, Table324[ [#This Row],[Account Deposit Amount] ]-Table324[ [#This Row],[Account Withdrawl Amount] ], )</f>
        <v>0</v>
      </c>
      <c r="P92" s="128">
        <f>IF(Table324[[#This Row],[CODE]]=12, Table324[ [#This Row],[Account Deposit Amount] ]-Table324[ [#This Row],[Account Withdrawl Amount] ], )</f>
        <v>0</v>
      </c>
      <c r="Q92" s="128">
        <f>IF(Table324[[#This Row],[CODE]]=13, Table324[ [#This Row],[Account Deposit Amount] ]-Table324[ [#This Row],[Account Withdrawl Amount] ], )</f>
        <v>0</v>
      </c>
      <c r="R92" s="128">
        <f>IF(Table324[[#This Row],[CODE]]=14, Table324[ [#This Row],[Account Deposit Amount] ]-Table324[ [#This Row],[Account Withdrawl Amount] ], )</f>
        <v>0</v>
      </c>
      <c r="S92" s="128">
        <f>IF(Table324[[#This Row],[CODE]]=15, Table324[ [#This Row],[Account Deposit Amount] ]-Table324[ [#This Row],[Account Withdrawl Amount] ], )</f>
        <v>0</v>
      </c>
      <c r="T92" s="128">
        <f>IF(Table324[[#This Row],[CODE]]=16, Table324[ [#This Row],[Account Deposit Amount] ]-Table324[ [#This Row],[Account Withdrawl Amount] ], )</f>
        <v>0</v>
      </c>
      <c r="U92" s="127">
        <f>IF(Table324[[#This Row],[CODE]]=17, Table324[ [#This Row],[Account Deposit Amount] ]-Table324[ [#This Row],[Account Withdrawl Amount] ], )</f>
        <v>0</v>
      </c>
      <c r="V92" s="166"/>
    </row>
    <row r="93" spans="1:22" ht="16.2" thickBot="1">
      <c r="A93" s="130"/>
      <c r="B93" s="133"/>
      <c r="C93" s="130"/>
      <c r="D93" s="132"/>
      <c r="E93" s="128"/>
      <c r="F93" s="128"/>
      <c r="G93" s="131">
        <f t="shared" si="4"/>
        <v>25358.78</v>
      </c>
      <c r="H93" s="130"/>
      <c r="I93" s="127">
        <f>IF(Table324[[#This Row],[CODE]]=1, Table324[ [#This Row],[Account Deposit Amount] ]-Table324[ [#This Row],[Account Withdrawl Amount] ], )</f>
        <v>0</v>
      </c>
      <c r="J93" s="129">
        <f>IF(Table324[[#This Row],[CODE]]=2, Table324[ [#This Row],[Account Deposit Amount] ]-Table324[ [#This Row],[Account Withdrawl Amount] ], )</f>
        <v>0</v>
      </c>
      <c r="K93" s="129">
        <f>IF(Table324[[#This Row],[CODE]]=3, Table324[ [#This Row],[Account Deposit Amount] ]-Table324[ [#This Row],[Account Withdrawl Amount] ], )</f>
        <v>0</v>
      </c>
      <c r="L93" s="128">
        <f>IF(Table324[[#This Row],[CODE]]=4, Table324[ [#This Row],[Account Deposit Amount] ]-Table324[ [#This Row],[Account Withdrawl Amount] ], )</f>
        <v>0</v>
      </c>
      <c r="M93" s="128">
        <f>IF(Table324[[#This Row],[CODE]]=5, Table324[ [#This Row],[Account Deposit Amount] ]-Table324[ [#This Row],[Account Withdrawl Amount] ], )</f>
        <v>0</v>
      </c>
      <c r="N93" s="128">
        <f>IF(Table324[[#This Row],[CODE]]=6, Table324[ [#This Row],[Account Deposit Amount] ]-Table324[ [#This Row],[Account Withdrawl Amount] ], )</f>
        <v>0</v>
      </c>
      <c r="O93" s="128">
        <f>IF(Table324[[#This Row],[CODE]]=11, Table324[ [#This Row],[Account Deposit Amount] ]-Table324[ [#This Row],[Account Withdrawl Amount] ], )</f>
        <v>0</v>
      </c>
      <c r="P93" s="128">
        <f>IF(Table324[[#This Row],[CODE]]=12, Table324[ [#This Row],[Account Deposit Amount] ]-Table324[ [#This Row],[Account Withdrawl Amount] ], )</f>
        <v>0</v>
      </c>
      <c r="Q93" s="128">
        <f>IF(Table324[[#This Row],[CODE]]=13, Table324[ [#This Row],[Account Deposit Amount] ]-Table324[ [#This Row],[Account Withdrawl Amount] ], )</f>
        <v>0</v>
      </c>
      <c r="R93" s="128">
        <f>IF(Table324[[#This Row],[CODE]]=14, Table324[ [#This Row],[Account Deposit Amount] ]-Table324[ [#This Row],[Account Withdrawl Amount] ], )</f>
        <v>0</v>
      </c>
      <c r="S93" s="128">
        <f>IF(Table324[[#This Row],[CODE]]=15, Table324[ [#This Row],[Account Deposit Amount] ]-Table324[ [#This Row],[Account Withdrawl Amount] ], )</f>
        <v>0</v>
      </c>
      <c r="T93" s="128">
        <f>IF(Table324[[#This Row],[CODE]]=16, Table324[ [#This Row],[Account Deposit Amount] ]-Table324[ [#This Row],[Account Withdrawl Amount] ], )</f>
        <v>0</v>
      </c>
      <c r="U93" s="127">
        <f>IF(Table324[[#This Row],[CODE]]=17, Table324[ [#This Row],[Account Deposit Amount] ]-Table324[ [#This Row],[Account Withdrawl Amount] ], )</f>
        <v>0</v>
      </c>
      <c r="V93" s="166"/>
    </row>
    <row r="94" spans="1:22" ht="16.2" thickBot="1">
      <c r="A94" s="130"/>
      <c r="B94" s="133"/>
      <c r="C94" s="130"/>
      <c r="D94" s="132"/>
      <c r="E94" s="128"/>
      <c r="F94" s="128"/>
      <c r="G94" s="131">
        <f t="shared" si="4"/>
        <v>25358.78</v>
      </c>
      <c r="H94" s="130"/>
      <c r="I94" s="127">
        <f>IF(Table324[[#This Row],[CODE]]=1, Table324[ [#This Row],[Account Deposit Amount] ]-Table324[ [#This Row],[Account Withdrawl Amount] ], )</f>
        <v>0</v>
      </c>
      <c r="J94" s="129">
        <f>IF(Table324[[#This Row],[CODE]]=2, Table324[ [#This Row],[Account Deposit Amount] ]-Table324[ [#This Row],[Account Withdrawl Amount] ], )</f>
        <v>0</v>
      </c>
      <c r="K94" s="129">
        <f>IF(Table324[[#This Row],[CODE]]=3, Table324[ [#This Row],[Account Deposit Amount] ]-Table324[ [#This Row],[Account Withdrawl Amount] ], )</f>
        <v>0</v>
      </c>
      <c r="L94" s="128">
        <f>IF(Table324[[#This Row],[CODE]]=4, Table324[ [#This Row],[Account Deposit Amount] ]-Table324[ [#This Row],[Account Withdrawl Amount] ], )</f>
        <v>0</v>
      </c>
      <c r="M94" s="128">
        <f>IF(Table324[[#This Row],[CODE]]=5, Table324[ [#This Row],[Account Deposit Amount] ]-Table324[ [#This Row],[Account Withdrawl Amount] ], )</f>
        <v>0</v>
      </c>
      <c r="N94" s="128">
        <f>IF(Table324[[#This Row],[CODE]]=6, Table324[ [#This Row],[Account Deposit Amount] ]-Table324[ [#This Row],[Account Withdrawl Amount] ], )</f>
        <v>0</v>
      </c>
      <c r="O94" s="128">
        <f>IF(Table324[[#This Row],[CODE]]=11, Table324[ [#This Row],[Account Deposit Amount] ]-Table324[ [#This Row],[Account Withdrawl Amount] ], )</f>
        <v>0</v>
      </c>
      <c r="P94" s="128">
        <f>IF(Table324[[#This Row],[CODE]]=12, Table324[ [#This Row],[Account Deposit Amount] ]-Table324[ [#This Row],[Account Withdrawl Amount] ], )</f>
        <v>0</v>
      </c>
      <c r="Q94" s="128">
        <f>IF(Table324[[#This Row],[CODE]]=13, Table324[ [#This Row],[Account Deposit Amount] ]-Table324[ [#This Row],[Account Withdrawl Amount] ], )</f>
        <v>0</v>
      </c>
      <c r="R94" s="128">
        <f>IF(Table324[[#This Row],[CODE]]=14, Table324[ [#This Row],[Account Deposit Amount] ]-Table324[ [#This Row],[Account Withdrawl Amount] ], )</f>
        <v>0</v>
      </c>
      <c r="S94" s="128">
        <f>IF(Table324[[#This Row],[CODE]]=15, Table324[ [#This Row],[Account Deposit Amount] ]-Table324[ [#This Row],[Account Withdrawl Amount] ], )</f>
        <v>0</v>
      </c>
      <c r="T94" s="128">
        <f>IF(Table324[[#This Row],[CODE]]=16, Table324[ [#This Row],[Account Deposit Amount] ]-Table324[ [#This Row],[Account Withdrawl Amount] ], )</f>
        <v>0</v>
      </c>
      <c r="U94" s="127">
        <f>IF(Table324[[#This Row],[CODE]]=17, Table324[ [#This Row],[Account Deposit Amount] ]-Table324[ [#This Row],[Account Withdrawl Amount] ], )</f>
        <v>0</v>
      </c>
      <c r="V94" s="166"/>
    </row>
    <row r="95" spans="1:22" ht="16.2" thickBot="1">
      <c r="A95" s="130"/>
      <c r="B95" s="133"/>
      <c r="C95" s="130"/>
      <c r="D95" s="132"/>
      <c r="E95" s="128"/>
      <c r="F95" s="128"/>
      <c r="G95" s="131">
        <f t="shared" si="4"/>
        <v>25358.78</v>
      </c>
      <c r="H95" s="130"/>
      <c r="I95" s="127">
        <f>IF(Table324[[#This Row],[CODE]]=1, Table324[ [#This Row],[Account Deposit Amount] ]-Table324[ [#This Row],[Account Withdrawl Amount] ], )</f>
        <v>0</v>
      </c>
      <c r="J95" s="129">
        <f>IF(Table324[[#This Row],[CODE]]=2, Table324[ [#This Row],[Account Deposit Amount] ]-Table324[ [#This Row],[Account Withdrawl Amount] ], )</f>
        <v>0</v>
      </c>
      <c r="K95" s="129">
        <f>IF(Table324[[#This Row],[CODE]]=3, Table324[ [#This Row],[Account Deposit Amount] ]-Table324[ [#This Row],[Account Withdrawl Amount] ], )</f>
        <v>0</v>
      </c>
      <c r="L95" s="128">
        <f>IF(Table324[[#This Row],[CODE]]=4, Table324[ [#This Row],[Account Deposit Amount] ]-Table324[ [#This Row],[Account Withdrawl Amount] ], )</f>
        <v>0</v>
      </c>
      <c r="M95" s="128">
        <f>IF(Table324[[#This Row],[CODE]]=5, Table324[ [#This Row],[Account Deposit Amount] ]-Table324[ [#This Row],[Account Withdrawl Amount] ], )</f>
        <v>0</v>
      </c>
      <c r="N95" s="128">
        <f>IF(Table324[[#This Row],[CODE]]=6, Table324[ [#This Row],[Account Deposit Amount] ]-Table324[ [#This Row],[Account Withdrawl Amount] ], )</f>
        <v>0</v>
      </c>
      <c r="O95" s="128">
        <f>IF(Table324[[#This Row],[CODE]]=11, Table324[ [#This Row],[Account Deposit Amount] ]-Table324[ [#This Row],[Account Withdrawl Amount] ], )</f>
        <v>0</v>
      </c>
      <c r="P95" s="128">
        <f>IF(Table324[[#This Row],[CODE]]=12, Table324[ [#This Row],[Account Deposit Amount] ]-Table324[ [#This Row],[Account Withdrawl Amount] ], )</f>
        <v>0</v>
      </c>
      <c r="Q95" s="128">
        <f>IF(Table324[[#This Row],[CODE]]=13, Table324[ [#This Row],[Account Deposit Amount] ]-Table324[ [#This Row],[Account Withdrawl Amount] ], )</f>
        <v>0</v>
      </c>
      <c r="R95" s="128">
        <f>IF(Table324[[#This Row],[CODE]]=14, Table324[ [#This Row],[Account Deposit Amount] ]-Table324[ [#This Row],[Account Withdrawl Amount] ], )</f>
        <v>0</v>
      </c>
      <c r="S95" s="128">
        <f>IF(Table324[[#This Row],[CODE]]=15, Table324[ [#This Row],[Account Deposit Amount] ]-Table324[ [#This Row],[Account Withdrawl Amount] ], )</f>
        <v>0</v>
      </c>
      <c r="T95" s="128">
        <f>IF(Table324[[#This Row],[CODE]]=16, Table324[ [#This Row],[Account Deposit Amount] ]-Table324[ [#This Row],[Account Withdrawl Amount] ], )</f>
        <v>0</v>
      </c>
      <c r="U95" s="127">
        <f>IF(Table324[[#This Row],[CODE]]=17, Table324[ [#This Row],[Account Deposit Amount] ]-Table324[ [#This Row],[Account Withdrawl Amount] ], )</f>
        <v>0</v>
      </c>
      <c r="V95" s="166"/>
    </row>
    <row r="96" spans="1:22" ht="16.2" thickBot="1">
      <c r="A96" s="130"/>
      <c r="B96" s="133"/>
      <c r="C96" s="130"/>
      <c r="D96" s="132"/>
      <c r="E96" s="128"/>
      <c r="F96" s="128"/>
      <c r="G96" s="131">
        <f t="shared" si="4"/>
        <v>25358.78</v>
      </c>
      <c r="H96" s="130"/>
      <c r="I96" s="127">
        <f>IF(Table324[[#This Row],[CODE]]=1, Table324[ [#This Row],[Account Deposit Amount] ]-Table324[ [#This Row],[Account Withdrawl Amount] ], )</f>
        <v>0</v>
      </c>
      <c r="J96" s="129">
        <f>IF(Table324[[#This Row],[CODE]]=2, Table324[ [#This Row],[Account Deposit Amount] ]-Table324[ [#This Row],[Account Withdrawl Amount] ], )</f>
        <v>0</v>
      </c>
      <c r="K96" s="129">
        <f>IF(Table324[[#This Row],[CODE]]=3, Table324[ [#This Row],[Account Deposit Amount] ]-Table324[ [#This Row],[Account Withdrawl Amount] ], )</f>
        <v>0</v>
      </c>
      <c r="L96" s="128">
        <f>IF(Table324[[#This Row],[CODE]]=4, Table324[ [#This Row],[Account Deposit Amount] ]-Table324[ [#This Row],[Account Withdrawl Amount] ], )</f>
        <v>0</v>
      </c>
      <c r="M96" s="128">
        <f>IF(Table324[[#This Row],[CODE]]=5, Table324[ [#This Row],[Account Deposit Amount] ]-Table324[ [#This Row],[Account Withdrawl Amount] ], )</f>
        <v>0</v>
      </c>
      <c r="N96" s="128">
        <f>IF(Table324[[#This Row],[CODE]]=6, Table324[ [#This Row],[Account Deposit Amount] ]-Table324[ [#This Row],[Account Withdrawl Amount] ], )</f>
        <v>0</v>
      </c>
      <c r="O96" s="128">
        <f>IF(Table324[[#This Row],[CODE]]=11, Table324[ [#This Row],[Account Deposit Amount] ]-Table324[ [#This Row],[Account Withdrawl Amount] ], )</f>
        <v>0</v>
      </c>
      <c r="P96" s="128">
        <f>IF(Table324[[#This Row],[CODE]]=12, Table324[ [#This Row],[Account Deposit Amount] ]-Table324[ [#This Row],[Account Withdrawl Amount] ], )</f>
        <v>0</v>
      </c>
      <c r="Q96" s="128">
        <f>IF(Table324[[#This Row],[CODE]]=13, Table324[ [#This Row],[Account Deposit Amount] ]-Table324[ [#This Row],[Account Withdrawl Amount] ], )</f>
        <v>0</v>
      </c>
      <c r="R96" s="128">
        <f>IF(Table324[[#This Row],[CODE]]=14, Table324[ [#This Row],[Account Deposit Amount] ]-Table324[ [#This Row],[Account Withdrawl Amount] ], )</f>
        <v>0</v>
      </c>
      <c r="S96" s="128">
        <f>IF(Table324[[#This Row],[CODE]]=15, Table324[ [#This Row],[Account Deposit Amount] ]-Table324[ [#This Row],[Account Withdrawl Amount] ], )</f>
        <v>0</v>
      </c>
      <c r="T96" s="128">
        <f>IF(Table324[[#This Row],[CODE]]=16, Table324[ [#This Row],[Account Deposit Amount] ]-Table324[ [#This Row],[Account Withdrawl Amount] ], )</f>
        <v>0</v>
      </c>
      <c r="U96" s="127">
        <f>IF(Table324[[#This Row],[CODE]]=17, Table324[ [#This Row],[Account Deposit Amount] ]-Table324[ [#This Row],[Account Withdrawl Amount] ], )</f>
        <v>0</v>
      </c>
      <c r="V96" s="166"/>
    </row>
    <row r="97" spans="1:22" ht="16.2" thickBot="1">
      <c r="A97" s="130"/>
      <c r="B97" s="133"/>
      <c r="C97" s="130"/>
      <c r="D97" s="132"/>
      <c r="E97" s="128"/>
      <c r="F97" s="128"/>
      <c r="G97" s="131">
        <f t="shared" si="4"/>
        <v>25358.78</v>
      </c>
      <c r="H97" s="130"/>
      <c r="I97" s="127">
        <f>IF(Table324[[#This Row],[CODE]]=1, Table324[ [#This Row],[Account Deposit Amount] ]-Table324[ [#This Row],[Account Withdrawl Amount] ], )</f>
        <v>0</v>
      </c>
      <c r="J97" s="129">
        <f>IF(Table324[[#This Row],[CODE]]=2, Table324[ [#This Row],[Account Deposit Amount] ]-Table324[ [#This Row],[Account Withdrawl Amount] ], )</f>
        <v>0</v>
      </c>
      <c r="K97" s="129">
        <f>IF(Table324[[#This Row],[CODE]]=3, Table324[ [#This Row],[Account Deposit Amount] ]-Table324[ [#This Row],[Account Withdrawl Amount] ], )</f>
        <v>0</v>
      </c>
      <c r="L97" s="128">
        <f>IF(Table324[[#This Row],[CODE]]=4, Table324[ [#This Row],[Account Deposit Amount] ]-Table324[ [#This Row],[Account Withdrawl Amount] ], )</f>
        <v>0</v>
      </c>
      <c r="M97" s="128">
        <f>IF(Table324[[#This Row],[CODE]]=5, Table324[ [#This Row],[Account Deposit Amount] ]-Table324[ [#This Row],[Account Withdrawl Amount] ], )</f>
        <v>0</v>
      </c>
      <c r="N97" s="128">
        <f>IF(Table324[[#This Row],[CODE]]=6, Table324[ [#This Row],[Account Deposit Amount] ]-Table324[ [#This Row],[Account Withdrawl Amount] ], )</f>
        <v>0</v>
      </c>
      <c r="O97" s="128">
        <f>IF(Table324[[#This Row],[CODE]]=11, Table324[ [#This Row],[Account Deposit Amount] ]-Table324[ [#This Row],[Account Withdrawl Amount] ], )</f>
        <v>0</v>
      </c>
      <c r="P97" s="128">
        <f>IF(Table324[[#This Row],[CODE]]=12, Table324[ [#This Row],[Account Deposit Amount] ]-Table324[ [#This Row],[Account Withdrawl Amount] ], )</f>
        <v>0</v>
      </c>
      <c r="Q97" s="128">
        <f>IF(Table324[[#This Row],[CODE]]=13, Table324[ [#This Row],[Account Deposit Amount] ]-Table324[ [#This Row],[Account Withdrawl Amount] ], )</f>
        <v>0</v>
      </c>
      <c r="R97" s="128">
        <f>IF(Table324[[#This Row],[CODE]]=14, Table324[ [#This Row],[Account Deposit Amount] ]-Table324[ [#This Row],[Account Withdrawl Amount] ], )</f>
        <v>0</v>
      </c>
      <c r="S97" s="128">
        <f>IF(Table324[[#This Row],[CODE]]=15, Table324[ [#This Row],[Account Deposit Amount] ]-Table324[ [#This Row],[Account Withdrawl Amount] ], )</f>
        <v>0</v>
      </c>
      <c r="T97" s="128">
        <f>IF(Table324[[#This Row],[CODE]]=16, Table324[ [#This Row],[Account Deposit Amount] ]-Table324[ [#This Row],[Account Withdrawl Amount] ], )</f>
        <v>0</v>
      </c>
      <c r="U97" s="127">
        <f>IF(Table324[[#This Row],[CODE]]=17, Table324[ [#This Row],[Account Deposit Amount] ]-Table324[ [#This Row],[Account Withdrawl Amount] ], )</f>
        <v>0</v>
      </c>
      <c r="V97" s="166"/>
    </row>
    <row r="98" spans="1:22" ht="16.2" thickBot="1">
      <c r="A98" s="130"/>
      <c r="B98" s="133"/>
      <c r="C98" s="130"/>
      <c r="D98" s="132"/>
      <c r="E98" s="128"/>
      <c r="F98" s="128"/>
      <c r="G98" s="131">
        <f t="shared" si="4"/>
        <v>25358.78</v>
      </c>
      <c r="H98" s="130"/>
      <c r="I98" s="127">
        <f>IF(Table324[[#This Row],[CODE]]=1, Table324[ [#This Row],[Account Deposit Amount] ]-Table324[ [#This Row],[Account Withdrawl Amount] ], )</f>
        <v>0</v>
      </c>
      <c r="J98" s="129">
        <f>IF(Table324[[#This Row],[CODE]]=2, Table324[ [#This Row],[Account Deposit Amount] ]-Table324[ [#This Row],[Account Withdrawl Amount] ], )</f>
        <v>0</v>
      </c>
      <c r="K98" s="129">
        <f>IF(Table324[[#This Row],[CODE]]=3, Table324[ [#This Row],[Account Deposit Amount] ]-Table324[ [#This Row],[Account Withdrawl Amount] ], )</f>
        <v>0</v>
      </c>
      <c r="L98" s="128">
        <f>IF(Table324[[#This Row],[CODE]]=4, Table324[ [#This Row],[Account Deposit Amount] ]-Table324[ [#This Row],[Account Withdrawl Amount] ], )</f>
        <v>0</v>
      </c>
      <c r="M98" s="128">
        <f>IF(Table324[[#This Row],[CODE]]=5, Table324[ [#This Row],[Account Deposit Amount] ]-Table324[ [#This Row],[Account Withdrawl Amount] ], )</f>
        <v>0</v>
      </c>
      <c r="N98" s="128">
        <f>IF(Table324[[#This Row],[CODE]]=6, Table324[ [#This Row],[Account Deposit Amount] ]-Table324[ [#This Row],[Account Withdrawl Amount] ], )</f>
        <v>0</v>
      </c>
      <c r="O98" s="128">
        <f>IF(Table324[[#This Row],[CODE]]=11, Table324[ [#This Row],[Account Deposit Amount] ]-Table324[ [#This Row],[Account Withdrawl Amount] ], )</f>
        <v>0</v>
      </c>
      <c r="P98" s="128">
        <f>IF(Table324[[#This Row],[CODE]]=12, Table324[ [#This Row],[Account Deposit Amount] ]-Table324[ [#This Row],[Account Withdrawl Amount] ], )</f>
        <v>0</v>
      </c>
      <c r="Q98" s="128">
        <f>IF(Table324[[#This Row],[CODE]]=13, Table324[ [#This Row],[Account Deposit Amount] ]-Table324[ [#This Row],[Account Withdrawl Amount] ], )</f>
        <v>0</v>
      </c>
      <c r="R98" s="128">
        <f>IF(Table324[[#This Row],[CODE]]=14, Table324[ [#This Row],[Account Deposit Amount] ]-Table324[ [#This Row],[Account Withdrawl Amount] ], )</f>
        <v>0</v>
      </c>
      <c r="S98" s="128">
        <f>IF(Table324[[#This Row],[CODE]]=15, Table324[ [#This Row],[Account Deposit Amount] ]-Table324[ [#This Row],[Account Withdrawl Amount] ], )</f>
        <v>0</v>
      </c>
      <c r="T98" s="128">
        <f>IF(Table324[[#This Row],[CODE]]=16, Table324[ [#This Row],[Account Deposit Amount] ]-Table324[ [#This Row],[Account Withdrawl Amount] ], )</f>
        <v>0</v>
      </c>
      <c r="U98" s="127">
        <f>IF(Table324[[#This Row],[CODE]]=17, Table324[ [#This Row],[Account Deposit Amount] ]-Table324[ [#This Row],[Account Withdrawl Amount] ], )</f>
        <v>0</v>
      </c>
      <c r="V98" s="166"/>
    </row>
    <row r="99" spans="1:22" ht="16.2" thickBot="1">
      <c r="A99" s="130"/>
      <c r="B99" s="133"/>
      <c r="C99" s="130"/>
      <c r="D99" s="132"/>
      <c r="E99" s="128"/>
      <c r="F99" s="128"/>
      <c r="G99" s="131">
        <f t="shared" si="4"/>
        <v>25358.78</v>
      </c>
      <c r="H99" s="130"/>
      <c r="I99" s="127">
        <f>IF(Table324[[#This Row],[CODE]]=1, Table324[ [#This Row],[Account Deposit Amount] ]-Table324[ [#This Row],[Account Withdrawl Amount] ], )</f>
        <v>0</v>
      </c>
      <c r="J99" s="129">
        <f>IF(Table324[[#This Row],[CODE]]=2, Table324[ [#This Row],[Account Deposit Amount] ]-Table324[ [#This Row],[Account Withdrawl Amount] ], )</f>
        <v>0</v>
      </c>
      <c r="K99" s="129">
        <f>IF(Table324[[#This Row],[CODE]]=3, Table324[ [#This Row],[Account Deposit Amount] ]-Table324[ [#This Row],[Account Withdrawl Amount] ], )</f>
        <v>0</v>
      </c>
      <c r="L99" s="128">
        <f>IF(Table324[[#This Row],[CODE]]=4, Table324[ [#This Row],[Account Deposit Amount] ]-Table324[ [#This Row],[Account Withdrawl Amount] ], )</f>
        <v>0</v>
      </c>
      <c r="M99" s="128">
        <f>IF(Table324[[#This Row],[CODE]]=5, Table324[ [#This Row],[Account Deposit Amount] ]-Table324[ [#This Row],[Account Withdrawl Amount] ], )</f>
        <v>0</v>
      </c>
      <c r="N99" s="128">
        <f>IF(Table324[[#This Row],[CODE]]=6, Table324[ [#This Row],[Account Deposit Amount] ]-Table324[ [#This Row],[Account Withdrawl Amount] ], )</f>
        <v>0</v>
      </c>
      <c r="O99" s="128">
        <f>IF(Table324[[#This Row],[CODE]]=11, Table324[ [#This Row],[Account Deposit Amount] ]-Table324[ [#This Row],[Account Withdrawl Amount] ], )</f>
        <v>0</v>
      </c>
      <c r="P99" s="128">
        <f>IF(Table324[[#This Row],[CODE]]=12, Table324[ [#This Row],[Account Deposit Amount] ]-Table324[ [#This Row],[Account Withdrawl Amount] ], )</f>
        <v>0</v>
      </c>
      <c r="Q99" s="128">
        <f>IF(Table324[[#This Row],[CODE]]=13, Table324[ [#This Row],[Account Deposit Amount] ]-Table324[ [#This Row],[Account Withdrawl Amount] ], )</f>
        <v>0</v>
      </c>
      <c r="R99" s="128">
        <f>IF(Table324[[#This Row],[CODE]]=14, Table324[ [#This Row],[Account Deposit Amount] ]-Table324[ [#This Row],[Account Withdrawl Amount] ], )</f>
        <v>0</v>
      </c>
      <c r="S99" s="128">
        <f>IF(Table324[[#This Row],[CODE]]=15, Table324[ [#This Row],[Account Deposit Amount] ]-Table324[ [#This Row],[Account Withdrawl Amount] ], )</f>
        <v>0</v>
      </c>
      <c r="T99" s="128">
        <f>IF(Table324[[#This Row],[CODE]]=16, Table324[ [#This Row],[Account Deposit Amount] ]-Table324[ [#This Row],[Account Withdrawl Amount] ], )</f>
        <v>0</v>
      </c>
      <c r="U99" s="127">
        <f>IF(Table324[[#This Row],[CODE]]=17, Table324[ [#This Row],[Account Deposit Amount] ]-Table324[ [#This Row],[Account Withdrawl Amount] ], )</f>
        <v>0</v>
      </c>
      <c r="V99" s="166"/>
    </row>
    <row r="100" spans="1:22" ht="16.2" thickBot="1">
      <c r="A100" s="130"/>
      <c r="B100" s="133"/>
      <c r="C100" s="130"/>
      <c r="D100" s="132"/>
      <c r="E100" s="128"/>
      <c r="F100" s="128"/>
      <c r="G100" s="131">
        <f t="shared" si="4"/>
        <v>25358.78</v>
      </c>
      <c r="H100" s="130"/>
      <c r="I100" s="127">
        <f>IF(Table324[[#This Row],[CODE]]=1, Table324[ [#This Row],[Account Deposit Amount] ]-Table324[ [#This Row],[Account Withdrawl Amount] ], )</f>
        <v>0</v>
      </c>
      <c r="J100" s="129">
        <f>IF(Table324[[#This Row],[CODE]]=2, Table324[ [#This Row],[Account Deposit Amount] ]-Table324[ [#This Row],[Account Withdrawl Amount] ], )</f>
        <v>0</v>
      </c>
      <c r="K100" s="129">
        <f>IF(Table324[[#This Row],[CODE]]=3, Table324[ [#This Row],[Account Deposit Amount] ]-Table324[ [#This Row],[Account Withdrawl Amount] ], )</f>
        <v>0</v>
      </c>
      <c r="L100" s="128">
        <f>IF(Table324[[#This Row],[CODE]]=4, Table324[ [#This Row],[Account Deposit Amount] ]-Table324[ [#This Row],[Account Withdrawl Amount] ], )</f>
        <v>0</v>
      </c>
      <c r="M100" s="128">
        <f>IF(Table324[[#This Row],[CODE]]=5, Table324[ [#This Row],[Account Deposit Amount] ]-Table324[ [#This Row],[Account Withdrawl Amount] ], )</f>
        <v>0</v>
      </c>
      <c r="N100" s="128">
        <f>IF(Table324[[#This Row],[CODE]]=6, Table324[ [#This Row],[Account Deposit Amount] ]-Table324[ [#This Row],[Account Withdrawl Amount] ], )</f>
        <v>0</v>
      </c>
      <c r="O100" s="128">
        <f>IF(Table324[[#This Row],[CODE]]=11, Table324[ [#This Row],[Account Deposit Amount] ]-Table324[ [#This Row],[Account Withdrawl Amount] ], )</f>
        <v>0</v>
      </c>
      <c r="P100" s="128">
        <f>IF(Table324[[#This Row],[CODE]]=12, Table324[ [#This Row],[Account Deposit Amount] ]-Table324[ [#This Row],[Account Withdrawl Amount] ], )</f>
        <v>0</v>
      </c>
      <c r="Q100" s="128">
        <f>IF(Table324[[#This Row],[CODE]]=13, Table324[ [#This Row],[Account Deposit Amount] ]-Table324[ [#This Row],[Account Withdrawl Amount] ], )</f>
        <v>0</v>
      </c>
      <c r="R100" s="128">
        <f>IF(Table324[[#This Row],[CODE]]=14, Table324[ [#This Row],[Account Deposit Amount] ]-Table324[ [#This Row],[Account Withdrawl Amount] ], )</f>
        <v>0</v>
      </c>
      <c r="S100" s="128">
        <f>IF(Table324[[#This Row],[CODE]]=15, Table324[ [#This Row],[Account Deposit Amount] ]-Table324[ [#This Row],[Account Withdrawl Amount] ], )</f>
        <v>0</v>
      </c>
      <c r="T100" s="128">
        <f>IF(Table324[[#This Row],[CODE]]=16, Table324[ [#This Row],[Account Deposit Amount] ]-Table324[ [#This Row],[Account Withdrawl Amount] ], )</f>
        <v>0</v>
      </c>
      <c r="U100" s="127">
        <f>IF(Table324[[#This Row],[CODE]]=17, Table324[ [#This Row],[Account Deposit Amount] ]-Table324[ [#This Row],[Account Withdrawl Amount] ], )</f>
        <v>0</v>
      </c>
      <c r="V100" s="166"/>
    </row>
  </sheetData>
  <mergeCells count="4">
    <mergeCell ref="I1:L1"/>
    <mergeCell ref="M1:N1"/>
    <mergeCell ref="O1:T1"/>
    <mergeCell ref="U1:V1"/>
  </mergeCells>
  <pageMargins left="0.7" right="0.7" top="0.75" bottom="0.75" header="0.3" footer="0.3"/>
  <legacy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ABFE-E141-4856-9C2A-BFF1F35EEE14}">
  <dimension ref="A2:A3"/>
  <sheetViews>
    <sheetView workbookViewId="0">
      <selection activeCell="A3" sqref="A3"/>
    </sheetView>
  </sheetViews>
  <sheetFormatPr defaultRowHeight="14.4"/>
  <sheetData>
    <row r="2" spans="1:1">
      <c r="A2" t="s">
        <v>47</v>
      </c>
    </row>
    <row r="3" spans="1:1">
      <c r="A3" t="s">
        <v>48</v>
      </c>
    </row>
  </sheetData>
  <sheetProtection algorithmName="SHA-512" hashValue="dMe8ZP35FclH1VTqk4jFKsPXk8Af4/6x30hkYd20AgnVHBkC5MrHhnYd2A5HYR0yKWCdW0BlZa//g3i9badclQ==" saltValue="0mYMNi0cCRkbfC/Gk548oA=="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A8D3-AC98-4ADA-BEA0-DC8EB4B19990}">
  <dimension ref="A1:R51"/>
  <sheetViews>
    <sheetView workbookViewId="0">
      <selection activeCell="F2" sqref="F2"/>
    </sheetView>
  </sheetViews>
  <sheetFormatPr defaultColWidth="8.88671875" defaultRowHeight="14.4"/>
  <cols>
    <col min="1" max="1" width="3.5546875" style="41" customWidth="1"/>
    <col min="2" max="2" width="15.33203125" customWidth="1"/>
    <col min="3" max="3" width="2.5546875" customWidth="1"/>
    <col min="4" max="4" width="12.109375" customWidth="1"/>
    <col min="5" max="5" width="16.5546875" customWidth="1"/>
    <col min="6" max="6" width="13.88671875" customWidth="1"/>
    <col min="7" max="7" width="19.109375" customWidth="1"/>
    <col min="8" max="8" width="17.5546875" customWidth="1"/>
    <col min="9" max="9" width="30" style="41" customWidth="1"/>
    <col min="10" max="16384" width="8.88671875" style="41"/>
  </cols>
  <sheetData>
    <row r="1" spans="1:18" ht="26.4" customHeight="1" thickBot="1">
      <c r="A1"/>
      <c r="B1" s="162"/>
      <c r="C1" s="163"/>
      <c r="D1" t="s">
        <v>497</v>
      </c>
      <c r="E1" s="157" t="s">
        <v>498</v>
      </c>
      <c r="F1" s="158" t="s">
        <v>186</v>
      </c>
      <c r="G1" s="158" t="s">
        <v>187</v>
      </c>
      <c r="H1" s="157" t="s">
        <v>188</v>
      </c>
      <c r="I1" s="157" t="s">
        <v>189</v>
      </c>
      <c r="J1" s="157" t="s">
        <v>190</v>
      </c>
      <c r="K1" s="157" t="s">
        <v>191</v>
      </c>
      <c r="L1" s="157" t="s">
        <v>192</v>
      </c>
      <c r="M1" s="157" t="s">
        <v>193</v>
      </c>
      <c r="N1" s="157" t="s">
        <v>194</v>
      </c>
      <c r="O1" s="157" t="s">
        <v>195</v>
      </c>
      <c r="P1" s="157" t="s">
        <v>196</v>
      </c>
      <c r="Q1" s="157" t="s">
        <v>197</v>
      </c>
      <c r="R1"/>
    </row>
    <row r="2" spans="1:18" ht="45.6" customHeight="1" thickBot="1">
      <c r="A2"/>
      <c r="B2" s="164"/>
      <c r="C2" s="165"/>
      <c r="D2" t="s">
        <v>499</v>
      </c>
      <c r="E2" s="148"/>
      <c r="F2" s="149"/>
      <c r="G2" s="149"/>
      <c r="H2" s="148"/>
      <c r="I2" s="148"/>
      <c r="J2" s="148">
        <v>371.64</v>
      </c>
      <c r="K2" s="147">
        <v>-150</v>
      </c>
      <c r="L2" s="147">
        <v>-109.9</v>
      </c>
      <c r="M2" s="147">
        <v>-1737.59</v>
      </c>
      <c r="N2" s="147">
        <v>-155.38999999999999</v>
      </c>
      <c r="O2" s="147">
        <v>-291.24</v>
      </c>
      <c r="P2" s="147">
        <v>-137.9</v>
      </c>
      <c r="Q2" s="147"/>
      <c r="R2" s="159"/>
    </row>
    <row r="3" spans="1:18" ht="15" thickBot="1">
      <c r="A3"/>
      <c r="B3" s="164"/>
      <c r="C3" s="165"/>
      <c r="D3" t="s">
        <v>500</v>
      </c>
      <c r="E3" s="148"/>
      <c r="F3" s="149"/>
      <c r="G3" s="149"/>
      <c r="H3" s="148">
        <v>7.94</v>
      </c>
      <c r="I3" s="148"/>
      <c r="J3" s="148">
        <v>337.98</v>
      </c>
      <c r="K3" s="147"/>
      <c r="L3" s="147">
        <v>-215.62</v>
      </c>
      <c r="M3" s="147">
        <v>-1726.87</v>
      </c>
      <c r="N3" s="147">
        <v>-404.83</v>
      </c>
      <c r="O3" s="147">
        <v>-355.93</v>
      </c>
      <c r="P3" s="147"/>
      <c r="Q3" s="147"/>
      <c r="R3"/>
    </row>
    <row r="4" spans="1:18" ht="15" thickBot="1">
      <c r="A4"/>
      <c r="B4" s="164"/>
      <c r="C4" s="165"/>
      <c r="D4" t="s">
        <v>501</v>
      </c>
      <c r="E4" s="148"/>
      <c r="F4" s="149"/>
      <c r="G4" s="149"/>
      <c r="H4" s="148"/>
      <c r="I4" s="148"/>
      <c r="J4" s="148">
        <v>468.46</v>
      </c>
      <c r="K4" s="147"/>
      <c r="L4" s="147">
        <v>-140.68</v>
      </c>
      <c r="M4" s="147">
        <v>-428.59</v>
      </c>
      <c r="N4" s="147"/>
      <c r="O4" s="147"/>
      <c r="P4" s="147"/>
      <c r="Q4" s="147"/>
      <c r="R4"/>
    </row>
    <row r="5" spans="1:18" ht="15" thickBot="1">
      <c r="A5"/>
      <c r="B5" s="164"/>
      <c r="C5" s="165"/>
      <c r="D5" t="s">
        <v>502</v>
      </c>
      <c r="E5" s="148"/>
      <c r="F5" s="149"/>
      <c r="G5" s="149"/>
      <c r="H5" s="148"/>
      <c r="I5" s="148"/>
      <c r="J5" s="148">
        <v>188.6</v>
      </c>
      <c r="K5" s="147"/>
      <c r="L5" s="147">
        <v>-250.9</v>
      </c>
      <c r="M5" s="147">
        <v>-75.790000000000006</v>
      </c>
      <c r="N5" s="147"/>
      <c r="O5" s="147"/>
      <c r="P5" s="147">
        <v>-829.03</v>
      </c>
      <c r="Q5" s="147"/>
      <c r="R5"/>
    </row>
    <row r="6" spans="1:18" ht="15" thickBot="1">
      <c r="A6"/>
      <c r="B6" s="164"/>
      <c r="C6" s="165"/>
      <c r="D6" t="s">
        <v>503</v>
      </c>
      <c r="E6" s="148"/>
      <c r="F6" s="149"/>
      <c r="G6" s="149"/>
      <c r="H6" s="148"/>
      <c r="I6" s="148"/>
      <c r="J6" s="148">
        <v>-67</v>
      </c>
      <c r="K6" s="147"/>
      <c r="L6" s="147">
        <v>-228.12</v>
      </c>
      <c r="M6" s="147">
        <v>-572.46</v>
      </c>
      <c r="N6" s="147">
        <v>-164.07</v>
      </c>
      <c r="O6" s="147">
        <v>-190.92</v>
      </c>
      <c r="P6" s="147"/>
      <c r="Q6" s="147"/>
      <c r="R6"/>
    </row>
    <row r="7" spans="1:18" ht="15" thickBot="1">
      <c r="A7"/>
      <c r="B7" s="164"/>
      <c r="C7" s="165"/>
      <c r="D7" t="s">
        <v>504</v>
      </c>
      <c r="E7" s="148">
        <v>1531</v>
      </c>
      <c r="F7" s="149"/>
      <c r="G7" s="149"/>
      <c r="H7" s="148">
        <v>50</v>
      </c>
      <c r="I7" s="148"/>
      <c r="J7" s="148">
        <v>164</v>
      </c>
      <c r="K7" s="147"/>
      <c r="L7" s="147">
        <v>35.51</v>
      </c>
      <c r="M7" s="147">
        <v>-342.41</v>
      </c>
      <c r="N7" s="147"/>
      <c r="O7" s="147">
        <v>-23.99</v>
      </c>
      <c r="P7" s="147">
        <v>-50</v>
      </c>
      <c r="Q7" s="147"/>
      <c r="R7"/>
    </row>
    <row r="8" spans="1:18" ht="15" thickBot="1">
      <c r="A8"/>
      <c r="B8" s="164"/>
      <c r="C8" s="165"/>
      <c r="D8" t="s">
        <v>505</v>
      </c>
      <c r="E8" s="148"/>
      <c r="F8" s="149"/>
      <c r="G8" s="149"/>
      <c r="H8" s="148"/>
      <c r="I8" s="148"/>
      <c r="J8" s="148"/>
      <c r="K8" s="147"/>
      <c r="L8" s="147">
        <v>-264.20999999999998</v>
      </c>
      <c r="M8" s="147">
        <v>-6.63</v>
      </c>
      <c r="N8" s="147"/>
      <c r="O8" s="147"/>
      <c r="P8" s="147">
        <v>-294.66000000000003</v>
      </c>
      <c r="Q8" s="147"/>
      <c r="R8"/>
    </row>
    <row r="9" spans="1:18" ht="30" customHeight="1" thickBot="1">
      <c r="A9"/>
      <c r="B9" s="164"/>
      <c r="C9" s="165"/>
      <c r="D9" t="s">
        <v>506</v>
      </c>
      <c r="E9" s="148"/>
      <c r="F9" s="149"/>
      <c r="G9" s="149"/>
      <c r="H9" s="148"/>
      <c r="I9" s="148"/>
      <c r="J9" s="148"/>
      <c r="K9" s="147"/>
      <c r="L9" s="147"/>
      <c r="M9" s="147">
        <v>-590.82000000000005</v>
      </c>
      <c r="N9" s="147"/>
      <c r="O9" s="147">
        <v>-205.71</v>
      </c>
      <c r="P9" s="147">
        <v>-484.57</v>
      </c>
      <c r="Q9" s="147"/>
      <c r="R9"/>
    </row>
    <row r="10" spans="1:18" ht="30" customHeight="1" thickBot="1">
      <c r="A10"/>
      <c r="B10" s="164"/>
      <c r="C10" s="165"/>
      <c r="D10" t="s">
        <v>507</v>
      </c>
      <c r="E10" s="148">
        <v>-764.2</v>
      </c>
      <c r="F10" s="149">
        <v>3665</v>
      </c>
      <c r="G10" s="149"/>
      <c r="H10" s="148"/>
      <c r="I10" s="148"/>
      <c r="J10" s="148">
        <v>-7</v>
      </c>
      <c r="K10" s="147">
        <v>-25</v>
      </c>
      <c r="L10" s="147">
        <v>-8.16</v>
      </c>
      <c r="M10" s="147">
        <v>-585.16</v>
      </c>
      <c r="N10" s="147"/>
      <c r="O10" s="147"/>
      <c r="P10" s="147"/>
      <c r="Q10" s="147"/>
      <c r="R10"/>
    </row>
    <row r="11" spans="1:18" ht="15" thickBot="1">
      <c r="A11"/>
      <c r="B11" s="164"/>
      <c r="C11" s="165"/>
      <c r="D11" t="s">
        <v>508</v>
      </c>
      <c r="E11" s="148"/>
      <c r="F11" s="149">
        <v>9307.3799999999992</v>
      </c>
      <c r="G11" s="149"/>
      <c r="H11" s="148">
        <v>67</v>
      </c>
      <c r="I11" s="148"/>
      <c r="J11" s="148">
        <v>-7.82</v>
      </c>
      <c r="K11" s="147">
        <v>25</v>
      </c>
      <c r="L11" s="147"/>
      <c r="M11" s="147">
        <v>232.95</v>
      </c>
      <c r="N11" s="147"/>
      <c r="O11" s="147"/>
      <c r="P11" s="147"/>
      <c r="Q11" s="147"/>
      <c r="R11"/>
    </row>
    <row r="12" spans="1:18" ht="15" thickBot="1">
      <c r="A12"/>
      <c r="B12" s="164"/>
      <c r="C12" s="165"/>
      <c r="D12" t="s">
        <v>509</v>
      </c>
      <c r="E12" s="148"/>
      <c r="F12" s="149">
        <v>47577.21</v>
      </c>
      <c r="G12" s="149"/>
      <c r="H12" s="148">
        <v>239</v>
      </c>
      <c r="I12" s="148"/>
      <c r="J12" s="148">
        <v>-8.2100000000000009</v>
      </c>
      <c r="K12" s="147"/>
      <c r="L12" s="147"/>
      <c r="M12" s="147">
        <v>-210.6</v>
      </c>
      <c r="N12" s="147"/>
      <c r="O12" s="147"/>
      <c r="P12" s="147"/>
      <c r="Q12" s="147"/>
      <c r="R12"/>
    </row>
    <row r="13" spans="1:18" ht="25.2" customHeight="1" thickBot="1">
      <c r="A13"/>
      <c r="B13" s="164"/>
      <c r="C13" s="165"/>
      <c r="D13" t="s">
        <v>510</v>
      </c>
      <c r="E13" s="148"/>
      <c r="F13" s="149">
        <v>-47197.89</v>
      </c>
      <c r="G13" s="149"/>
      <c r="H13" s="148"/>
      <c r="I13" s="148"/>
      <c r="J13" s="148"/>
      <c r="K13" s="147">
        <v>-300</v>
      </c>
      <c r="L13" s="147">
        <v>-45</v>
      </c>
      <c r="M13" s="147">
        <v>-359.23</v>
      </c>
      <c r="N13" s="147">
        <v>-1812.6</v>
      </c>
      <c r="O13" s="147"/>
      <c r="P13" s="147"/>
      <c r="Q13" s="147"/>
      <c r="R13"/>
    </row>
    <row r="14" spans="1:18">
      <c r="A14"/>
      <c r="B14" s="160"/>
      <c r="C14" s="161"/>
      <c r="E14" s="160">
        <f>SUM(E2:E13)</f>
        <v>766.8</v>
      </c>
      <c r="F14" s="161">
        <f>SUM(F2:F13)</f>
        <v>13351.699999999997</v>
      </c>
      <c r="H14" s="160">
        <f>SUM(H2:H13)</f>
        <v>363.94</v>
      </c>
      <c r="I14"/>
      <c r="J14" s="160">
        <f t="shared" ref="J14:P14" si="0">SUM(J2:J13)</f>
        <v>1440.6499999999999</v>
      </c>
      <c r="K14" s="160">
        <f t="shared" si="0"/>
        <v>-450</v>
      </c>
      <c r="L14" s="160">
        <f t="shared" si="0"/>
        <v>-1227.0800000000002</v>
      </c>
      <c r="M14" s="160">
        <f t="shared" si="0"/>
        <v>-6403.2000000000007</v>
      </c>
      <c r="N14" s="160">
        <f t="shared" si="0"/>
        <v>-2536.89</v>
      </c>
      <c r="O14" s="160">
        <f t="shared" si="0"/>
        <v>-1067.79</v>
      </c>
      <c r="P14" s="160">
        <f t="shared" si="0"/>
        <v>-1796.1599999999999</v>
      </c>
      <c r="Q14"/>
      <c r="R14"/>
    </row>
    <row r="15" spans="1:18">
      <c r="A15"/>
      <c r="I15"/>
      <c r="J15" s="160">
        <f>SUM(E14:J14)</f>
        <v>15923.089999999997</v>
      </c>
      <c r="K15"/>
      <c r="L15"/>
      <c r="M15"/>
      <c r="N15"/>
      <c r="O15"/>
      <c r="P15"/>
      <c r="Q15" s="160">
        <f>SUM(K14:Q14)</f>
        <v>-13481.119999999999</v>
      </c>
      <c r="R15"/>
    </row>
    <row r="16" spans="1:18" ht="25.8">
      <c r="B16" s="293" t="s">
        <v>120</v>
      </c>
      <c r="C16" s="293"/>
      <c r="D16" s="293"/>
      <c r="E16" s="293"/>
      <c r="F16" s="293"/>
      <c r="G16" s="293"/>
      <c r="H16" s="293"/>
    </row>
    <row r="17" spans="2:8" ht="15" thickBot="1">
      <c r="B17" s="305" t="s">
        <v>511</v>
      </c>
      <c r="C17" s="305"/>
      <c r="D17" s="305"/>
      <c r="E17" s="305"/>
      <c r="F17" s="305"/>
      <c r="G17" s="305"/>
      <c r="H17" s="305"/>
    </row>
    <row r="18" spans="2:8">
      <c r="B18" s="48"/>
      <c r="C18" s="49"/>
      <c r="D18" s="49" t="s">
        <v>123</v>
      </c>
      <c r="E18" s="49"/>
      <c r="F18" s="50" t="e">
        <f>#REF!</f>
        <v>#REF!</v>
      </c>
      <c r="G18" s="49"/>
      <c r="H18" s="51"/>
    </row>
    <row r="19" spans="2:8" ht="15" thickBot="1">
      <c r="B19" s="52"/>
      <c r="C19" s="53"/>
      <c r="D19" s="53" t="s">
        <v>124</v>
      </c>
      <c r="E19" s="53"/>
      <c r="F19" s="97" t="e">
        <f>#REF!</f>
        <v>#REF!</v>
      </c>
      <c r="G19" s="53"/>
      <c r="H19" s="54"/>
    </row>
    <row r="20" spans="2:8" ht="15" thickBot="1">
      <c r="B20" s="52"/>
      <c r="C20" s="53"/>
      <c r="D20" s="55" t="s">
        <v>125</v>
      </c>
      <c r="E20" s="95"/>
      <c r="F20" s="98">
        <v>767.8</v>
      </c>
      <c r="G20" s="96"/>
      <c r="H20" s="54"/>
    </row>
    <row r="21" spans="2:8" ht="15" thickBot="1">
      <c r="B21" s="52"/>
      <c r="C21" s="53"/>
      <c r="D21" s="55" t="s">
        <v>126</v>
      </c>
      <c r="E21" s="95"/>
      <c r="F21" s="98">
        <v>13431</v>
      </c>
      <c r="G21" s="96"/>
      <c r="H21" s="54"/>
    </row>
    <row r="22" spans="2:8" ht="42" customHeight="1">
      <c r="B22" s="52"/>
      <c r="C22" s="53"/>
      <c r="D22" s="56"/>
      <c r="E22" s="53"/>
      <c r="F22" s="99"/>
      <c r="G22" s="53"/>
      <c r="H22" s="54"/>
    </row>
    <row r="23" spans="2:8" ht="51.6" thickBot="1">
      <c r="B23" s="52"/>
      <c r="C23" s="53"/>
      <c r="D23" s="58" t="s">
        <v>127</v>
      </c>
      <c r="E23" s="56"/>
      <c r="F23" s="309" t="s">
        <v>128</v>
      </c>
      <c r="G23" s="310"/>
      <c r="H23" s="54"/>
    </row>
    <row r="24" spans="2:8" ht="37.200000000000003" thickBot="1">
      <c r="B24" s="345" t="s">
        <v>129</v>
      </c>
      <c r="C24" s="346"/>
      <c r="D24" s="59" t="e">
        <f>#REF!</f>
        <v>#REF!</v>
      </c>
      <c r="E24" s="45" t="s">
        <v>185</v>
      </c>
      <c r="F24" s="60">
        <f>F20</f>
        <v>767.8</v>
      </c>
      <c r="G24" s="80" t="s">
        <v>130</v>
      </c>
      <c r="H24" s="54"/>
    </row>
    <row r="25" spans="2:8" ht="25.2" thickBot="1">
      <c r="B25" s="345" t="s">
        <v>131</v>
      </c>
      <c r="C25" s="346"/>
      <c r="D25" s="59" t="e">
        <f>#REF!</f>
        <v>#REF!</v>
      </c>
      <c r="E25" s="46" t="s">
        <v>186</v>
      </c>
      <c r="F25" s="60">
        <f>F21</f>
        <v>13431</v>
      </c>
      <c r="G25" s="80" t="s">
        <v>133</v>
      </c>
      <c r="H25" s="54"/>
    </row>
    <row r="26" spans="2:8" ht="37.200000000000003" thickBot="1">
      <c r="B26" s="52"/>
      <c r="C26" s="53"/>
      <c r="D26" s="59" t="e">
        <f>#REF!</f>
        <v>#REF!</v>
      </c>
      <c r="E26" s="46" t="s">
        <v>187</v>
      </c>
      <c r="F26" s="60" t="e">
        <f>D26</f>
        <v>#REF!</v>
      </c>
      <c r="G26" s="91"/>
      <c r="H26" s="92"/>
    </row>
    <row r="27" spans="2:8" ht="25.2" thickBot="1">
      <c r="B27" s="52"/>
      <c r="C27" s="53"/>
      <c r="D27" s="59" t="e">
        <f>#REF!</f>
        <v>#REF!</v>
      </c>
      <c r="E27" s="45" t="s">
        <v>235</v>
      </c>
      <c r="F27" s="90" t="e">
        <f>D27</f>
        <v>#REF!</v>
      </c>
      <c r="G27" s="296" t="s">
        <v>135</v>
      </c>
      <c r="H27" s="297"/>
    </row>
    <row r="28" spans="2:8" ht="25.2" thickBot="1">
      <c r="B28" s="52"/>
      <c r="C28" s="53"/>
      <c r="D28" s="59" t="e">
        <f>#REF!</f>
        <v>#REF!</v>
      </c>
      <c r="E28" s="45" t="s">
        <v>189</v>
      </c>
      <c r="F28" s="90" t="e">
        <f>D28</f>
        <v>#REF!</v>
      </c>
      <c r="G28" s="300" t="e">
        <f>IF($D$24&gt;$F$24, "Extra money deposited for Fall Product $"&amp; ROUND($D$24-$F$24, 2), "No Extra money deposited for Fall Product" )</f>
        <v>#REF!</v>
      </c>
      <c r="H28" s="301"/>
    </row>
    <row r="29" spans="2:8" ht="25.2" thickBot="1">
      <c r="B29" s="52"/>
      <c r="C29" s="53"/>
      <c r="D29" s="59" t="e">
        <f>#REF!</f>
        <v>#REF!</v>
      </c>
      <c r="E29" s="45" t="s">
        <v>190</v>
      </c>
      <c r="F29" s="90" t="e">
        <f>D29+IF(D25&gt;F25, D25-F25, 0)+IF(D24&gt;F24, D24-F24, 0)</f>
        <v>#REF!</v>
      </c>
      <c r="G29" s="302" t="e">
        <f>IF($D$25&gt;$F$25,"Extra money deposited for cookies $"&amp;ROUND($D$25-$F$25,2)&amp;" Covered any possible debt first.","No Extra money deposited for cookies. ")</f>
        <v>#REF!</v>
      </c>
      <c r="H29" s="303"/>
    </row>
    <row r="30" spans="2:8" ht="15" thickBot="1">
      <c r="B30" s="52"/>
      <c r="C30" s="53"/>
      <c r="D30" s="53"/>
      <c r="E30" s="53"/>
      <c r="F30" s="60"/>
      <c r="G30" s="93"/>
      <c r="H30" s="94"/>
    </row>
    <row r="31" spans="2:8" ht="25.2" thickBot="1">
      <c r="B31" s="52"/>
      <c r="C31" s="53"/>
      <c r="D31" s="59" t="e">
        <f>#REF!</f>
        <v>#REF!</v>
      </c>
      <c r="E31" s="45" t="s">
        <v>191</v>
      </c>
      <c r="F31" s="60" t="e">
        <f t="shared" ref="F31:F36" si="1">-D31</f>
        <v>#REF!</v>
      </c>
      <c r="G31" s="53"/>
      <c r="H31" s="54"/>
    </row>
    <row r="32" spans="2:8" ht="25.2" thickBot="1">
      <c r="B32" s="52"/>
      <c r="C32" s="53"/>
      <c r="D32" s="59" t="e">
        <f>#REF!</f>
        <v>#REF!</v>
      </c>
      <c r="E32" s="45" t="s">
        <v>192</v>
      </c>
      <c r="F32" s="60" t="e">
        <f t="shared" si="1"/>
        <v>#REF!</v>
      </c>
      <c r="G32" s="53"/>
      <c r="H32" s="54"/>
    </row>
    <row r="33" spans="2:8" ht="25.2" thickBot="1">
      <c r="B33" s="52"/>
      <c r="C33" s="53"/>
      <c r="D33" s="59" t="e">
        <f>#REF!</f>
        <v>#REF!</v>
      </c>
      <c r="E33" s="45" t="s">
        <v>512</v>
      </c>
      <c r="F33" s="60" t="e">
        <f t="shared" si="1"/>
        <v>#REF!</v>
      </c>
      <c r="G33" s="53"/>
      <c r="H33" s="54"/>
    </row>
    <row r="34" spans="2:8" ht="25.2" thickBot="1">
      <c r="B34" s="52"/>
      <c r="C34" s="53"/>
      <c r="D34" s="59" t="e">
        <f>#REF!</f>
        <v>#REF!</v>
      </c>
      <c r="E34" s="45" t="s">
        <v>194</v>
      </c>
      <c r="F34" s="60" t="e">
        <f t="shared" si="1"/>
        <v>#REF!</v>
      </c>
      <c r="G34" s="53"/>
      <c r="H34" s="54"/>
    </row>
    <row r="35" spans="2:8" ht="37.200000000000003" thickBot="1">
      <c r="B35" s="52"/>
      <c r="C35" s="53"/>
      <c r="D35" s="59" t="e">
        <f>#REF!</f>
        <v>#REF!</v>
      </c>
      <c r="E35" s="45" t="s">
        <v>195</v>
      </c>
      <c r="F35" s="60" t="e">
        <f t="shared" si="1"/>
        <v>#REF!</v>
      </c>
      <c r="G35" s="91"/>
      <c r="H35" s="92"/>
    </row>
    <row r="36" spans="2:8" ht="37.200000000000003" thickBot="1">
      <c r="B36" s="52"/>
      <c r="C36" s="53"/>
      <c r="D36" s="59" t="e">
        <f>#REF!</f>
        <v>#REF!</v>
      </c>
      <c r="E36" s="45" t="s">
        <v>196</v>
      </c>
      <c r="F36" s="90" t="e">
        <f t="shared" si="1"/>
        <v>#REF!</v>
      </c>
      <c r="G36" s="296" t="s">
        <v>135</v>
      </c>
      <c r="H36" s="297"/>
    </row>
    <row r="37" spans="2:8" ht="25.2" thickBot="1">
      <c r="B37" s="52"/>
      <c r="C37" s="53"/>
      <c r="D37" s="59" t="e">
        <f>#REF!</f>
        <v>#REF!</v>
      </c>
      <c r="E37" s="45" t="s">
        <v>197</v>
      </c>
      <c r="F37" s="90" t="e">
        <f>D37+IF(D25&lt;F25, F25-D25, 0)</f>
        <v>#REF!</v>
      </c>
      <c r="G37" s="300" t="e">
        <f xml:space="preserve"> IF(D25&lt;F25, "Money not deposited for Troop Cookie Proceeds = $"&amp; F25-D25&amp;". Any extra cookie money has been applied to debt first. Please explain in questions at bottom of AR report", "No Cookie Debt" )</f>
        <v>#REF!</v>
      </c>
      <c r="H37" s="301"/>
    </row>
    <row r="38" spans="2:8" ht="25.2" thickBot="1">
      <c r="B38" s="52"/>
      <c r="C38" s="53"/>
      <c r="D38" s="59" t="e">
        <f>#REF!</f>
        <v>#REF!</v>
      </c>
      <c r="E38" s="45" t="s">
        <v>198</v>
      </c>
      <c r="F38" s="90" t="e">
        <f>D38+IF(D24&lt;F24, F24-D24)</f>
        <v>#REF!</v>
      </c>
      <c r="G38" s="302" t="e">
        <f xml:space="preserve"> IF(D24&lt;F24, "Money not deposited for Fall Peoduct $"&amp; F24-D24&amp;" Please explain in questions at bottom of AR report", "No Fall Product Debt" )</f>
        <v>#REF!</v>
      </c>
      <c r="H38" s="303"/>
    </row>
    <row r="39" spans="2:8" ht="17.399999999999999" customHeight="1">
      <c r="B39" s="52"/>
      <c r="C39" s="53"/>
      <c r="D39" s="53"/>
      <c r="E39" s="53"/>
      <c r="F39" s="60"/>
      <c r="G39" s="93"/>
      <c r="H39" s="94"/>
    </row>
    <row r="40" spans="2:8">
      <c r="B40" s="52"/>
      <c r="C40" s="53"/>
      <c r="D40" s="53"/>
      <c r="E40" s="53"/>
      <c r="F40" s="60" t="e">
        <f>F18</f>
        <v>#REF!</v>
      </c>
      <c r="G40" s="53" t="s">
        <v>140</v>
      </c>
      <c r="H40" s="54"/>
    </row>
    <row r="41" spans="2:8">
      <c r="B41" s="52"/>
      <c r="C41" s="53"/>
      <c r="D41" s="53"/>
      <c r="E41" s="53"/>
      <c r="F41" s="60" t="e">
        <f>SUM(F24:F29)</f>
        <v>#REF!</v>
      </c>
      <c r="G41" s="53" t="s">
        <v>141</v>
      </c>
      <c r="H41" s="54"/>
    </row>
    <row r="42" spans="2:8">
      <c r="B42" s="52"/>
      <c r="C42" s="53"/>
      <c r="D42" s="53"/>
      <c r="E42" s="53"/>
      <c r="F42" s="60" t="e">
        <f>SUM(F31:F38)</f>
        <v>#REF!</v>
      </c>
      <c r="G42" s="53" t="s">
        <v>142</v>
      </c>
      <c r="H42" s="54"/>
    </row>
    <row r="43" spans="2:8">
      <c r="B43" s="52"/>
      <c r="C43" s="61" t="e">
        <f>IF($F$43&lt;&gt;$F$19,"Please review numbers for discrpany. Do you have correct Net Proceeds for Product Programs", "")</f>
        <v>#REF!</v>
      </c>
      <c r="D43" s="61"/>
      <c r="E43" s="61"/>
      <c r="F43" s="60" t="e">
        <f>F40+F41-F42</f>
        <v>#REF!</v>
      </c>
      <c r="G43" s="53" t="s">
        <v>143</v>
      </c>
      <c r="H43" s="62"/>
    </row>
    <row r="44" spans="2:8">
      <c r="B44" s="52"/>
      <c r="C44" s="61"/>
      <c r="D44" s="61"/>
      <c r="E44" s="61"/>
      <c r="F44" s="60"/>
      <c r="G44" s="53"/>
      <c r="H44" s="62"/>
    </row>
    <row r="45" spans="2:8">
      <c r="B45" s="52"/>
      <c r="C45" s="61"/>
      <c r="D45" s="308" t="s">
        <v>144</v>
      </c>
      <c r="E45" s="308"/>
      <c r="F45" s="299" t="e">
        <f>IF(F43=F19, "YES", "NO")</f>
        <v>#REF!</v>
      </c>
      <c r="G45" s="53"/>
      <c r="H45" s="62"/>
    </row>
    <row r="46" spans="2:8">
      <c r="B46" s="52"/>
      <c r="C46" s="53"/>
      <c r="D46" s="308"/>
      <c r="E46" s="308"/>
      <c r="F46" s="299"/>
      <c r="G46" s="53"/>
      <c r="H46" s="62"/>
    </row>
    <row r="47" spans="2:8">
      <c r="B47" s="52"/>
      <c r="C47" s="53"/>
      <c r="D47" s="53"/>
      <c r="E47" s="53"/>
      <c r="F47" s="53"/>
      <c r="G47" s="53"/>
      <c r="H47" s="62"/>
    </row>
    <row r="48" spans="2:8">
      <c r="B48" s="52"/>
      <c r="C48" s="53"/>
      <c r="D48" s="298" t="s">
        <v>149</v>
      </c>
      <c r="E48" s="298"/>
      <c r="F48" s="57" t="e">
        <f>SUMIF(#REF!, 2,#REF!)</f>
        <v>#REF!</v>
      </c>
      <c r="G48" s="59"/>
      <c r="H48" s="62"/>
    </row>
    <row r="49" spans="2:8">
      <c r="B49" s="52"/>
      <c r="C49" s="53"/>
      <c r="D49" s="63"/>
      <c r="E49" s="63"/>
      <c r="F49" s="57"/>
      <c r="G49" s="59" t="e">
        <f>F48-F50</f>
        <v>#REF!</v>
      </c>
      <c r="H49" s="62"/>
    </row>
    <row r="50" spans="2:8">
      <c r="B50" s="52"/>
      <c r="C50" s="53"/>
      <c r="D50" s="298" t="s">
        <v>150</v>
      </c>
      <c r="E50" s="298"/>
      <c r="F50" s="57" t="e">
        <f>SUMIF(#REF!, 2,#REF!)</f>
        <v>#REF!</v>
      </c>
      <c r="G50" s="53"/>
      <c r="H50" s="64"/>
    </row>
    <row r="51" spans="2:8">
      <c r="B51" s="52"/>
      <c r="C51" s="53"/>
      <c r="D51" s="294"/>
      <c r="E51" s="295"/>
      <c r="F51" s="53"/>
      <c r="G51" s="53"/>
      <c r="H51" s="64"/>
    </row>
  </sheetData>
  <sheetProtection formatCells="0" formatColumns="0" formatRows="0" insertColumns="0" insertRows="0" deleteColumns="0" selectLockedCells="1"/>
  <mergeCells count="16">
    <mergeCell ref="B16:H16"/>
    <mergeCell ref="B17:H17"/>
    <mergeCell ref="F23:G23"/>
    <mergeCell ref="B24:C24"/>
    <mergeCell ref="D51:E51"/>
    <mergeCell ref="B25:C25"/>
    <mergeCell ref="G27:H27"/>
    <mergeCell ref="G28:H28"/>
    <mergeCell ref="G29:H29"/>
    <mergeCell ref="G36:H36"/>
    <mergeCell ref="G37:H37"/>
    <mergeCell ref="G38:H38"/>
    <mergeCell ref="D45:E46"/>
    <mergeCell ref="F45:F46"/>
    <mergeCell ref="D48:E48"/>
    <mergeCell ref="D50:E50"/>
  </mergeCells>
  <conditionalFormatting sqref="D24:D25">
    <cfRule type="cellIs" dxfId="5" priority="1" operator="lessThan">
      <formula>0</formula>
    </cfRule>
  </conditionalFormatting>
  <conditionalFormatting sqref="D45">
    <cfRule type="cellIs" dxfId="4" priority="5" operator="equal">
      <formula>"NO"</formula>
    </cfRule>
    <cfRule type="cellIs" dxfId="3" priority="6" operator="equal">
      <formula>"YES"</formula>
    </cfRule>
  </conditionalFormatting>
  <conditionalFormatting sqref="F43">
    <cfRule type="cellIs" dxfId="2" priority="4" operator="notEqual">
      <formula>$F$19</formula>
    </cfRule>
  </conditionalFormatting>
  <conditionalFormatting sqref="F45:F46">
    <cfRule type="cellIs" dxfId="1" priority="2" operator="equal">
      <formula>"no"</formula>
    </cfRule>
    <cfRule type="cellIs" dxfId="0" priority="3" operator="equal">
      <formula>"yes"</formula>
    </cfRule>
  </conditionalFormatting>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6BE5-AB1E-4A7F-B147-18063F3ED894}">
  <dimension ref="A1:V484"/>
  <sheetViews>
    <sheetView zoomScale="85" zoomScaleNormal="85" workbookViewId="0">
      <selection activeCell="H6" sqref="H6:H123"/>
    </sheetView>
  </sheetViews>
  <sheetFormatPr defaultRowHeight="14.4"/>
  <cols>
    <col min="2" max="2" width="12.109375" style="107" customWidth="1"/>
    <col min="3" max="3" width="36.5546875" customWidth="1"/>
    <col min="4" max="4" width="29.88671875" customWidth="1"/>
    <col min="5" max="5" width="15.44140625" style="236" customWidth="1"/>
    <col min="6" max="6" width="15.88671875" style="236" customWidth="1"/>
    <col min="7" max="7" width="12.6640625" style="236" customWidth="1"/>
    <col min="8" max="8" width="16.44140625" customWidth="1"/>
    <col min="9" max="22" width="12.6640625" customWidth="1"/>
  </cols>
  <sheetData>
    <row r="1" spans="1:22">
      <c r="A1" s="226"/>
      <c r="B1" s="227"/>
      <c r="C1" s="228"/>
      <c r="D1" s="228"/>
      <c r="E1" s="229"/>
      <c r="F1" s="230"/>
      <c r="G1" s="231"/>
      <c r="H1" s="221"/>
      <c r="I1" s="287" t="s">
        <v>49</v>
      </c>
      <c r="J1" s="287"/>
      <c r="K1" s="287"/>
      <c r="L1" s="287"/>
      <c r="M1" s="288">
        <f>SUM(I2:N2)</f>
        <v>4149.21</v>
      </c>
      <c r="N1" s="288"/>
      <c r="O1" s="289" t="s">
        <v>50</v>
      </c>
      <c r="P1" s="289"/>
      <c r="Q1" s="289"/>
      <c r="R1" s="289"/>
      <c r="S1" s="289"/>
      <c r="T1" s="289"/>
      <c r="U1" s="290">
        <f>SUM(O2:V2)</f>
        <v>-5153.6899999999996</v>
      </c>
      <c r="V1" s="290"/>
    </row>
    <row r="2" spans="1:22" s="236" customFormat="1">
      <c r="A2" s="228"/>
      <c r="B2" s="227"/>
      <c r="C2" s="228"/>
      <c r="D2" s="228" t="s">
        <v>51</v>
      </c>
      <c r="E2" s="232">
        <f>SUM(E4:E1221)</f>
        <v>27210.03</v>
      </c>
      <c r="F2" s="232">
        <f>SUM(F4:F1221)</f>
        <v>28214.510000000002</v>
      </c>
      <c r="G2" s="233">
        <f>G4+E2-F2</f>
        <v>2518.9699999999975</v>
      </c>
      <c r="H2" s="222"/>
      <c r="I2" s="234">
        <f t="shared" ref="I2:N2" si="0">ROUND(SUM(I4:I984),2)</f>
        <v>418</v>
      </c>
      <c r="J2" s="234">
        <f t="shared" si="0"/>
        <v>3231.21</v>
      </c>
      <c r="K2" s="234">
        <f t="shared" si="0"/>
        <v>500</v>
      </c>
      <c r="L2" s="234">
        <f t="shared" si="0"/>
        <v>0</v>
      </c>
      <c r="M2" s="234">
        <f t="shared" si="0"/>
        <v>0</v>
      </c>
      <c r="N2" s="234">
        <f t="shared" si="0"/>
        <v>0</v>
      </c>
      <c r="O2" s="235">
        <f t="shared" ref="O2:V2" si="1">ROUND(SUM(O4:O984), 2)</f>
        <v>-75</v>
      </c>
      <c r="P2" s="235">
        <f t="shared" si="1"/>
        <v>-805.45</v>
      </c>
      <c r="Q2" s="235">
        <f t="shared" si="1"/>
        <v>-3516.34</v>
      </c>
      <c r="R2" s="235">
        <f t="shared" si="1"/>
        <v>-114</v>
      </c>
      <c r="S2" s="235">
        <f t="shared" si="1"/>
        <v>-612.86</v>
      </c>
      <c r="T2" s="235">
        <f t="shared" si="1"/>
        <v>0</v>
      </c>
      <c r="U2" s="235">
        <f t="shared" si="1"/>
        <v>0</v>
      </c>
      <c r="V2" s="235">
        <f t="shared" si="1"/>
        <v>-30.04</v>
      </c>
    </row>
    <row r="3" spans="1:22" s="240" customFormat="1" ht="46.2">
      <c r="A3" s="237" t="s">
        <v>52</v>
      </c>
      <c r="B3" s="238" t="s">
        <v>53</v>
      </c>
      <c r="C3" s="237" t="s">
        <v>54</v>
      </c>
      <c r="D3" s="237" t="s">
        <v>55</v>
      </c>
      <c r="E3" s="239" t="s">
        <v>56</v>
      </c>
      <c r="F3" s="239" t="s">
        <v>57</v>
      </c>
      <c r="G3" s="239" t="s">
        <v>58</v>
      </c>
      <c r="H3" s="223" t="s">
        <v>59</v>
      </c>
      <c r="I3" s="223" t="s">
        <v>60</v>
      </c>
      <c r="J3" s="223" t="s">
        <v>61</v>
      </c>
      <c r="K3" s="223" t="s">
        <v>62</v>
      </c>
      <c r="L3" s="223" t="s">
        <v>63</v>
      </c>
      <c r="M3" s="223" t="s">
        <v>64</v>
      </c>
      <c r="N3" s="223" t="s">
        <v>65</v>
      </c>
      <c r="O3" s="223" t="s">
        <v>66</v>
      </c>
      <c r="P3" s="223" t="s">
        <v>67</v>
      </c>
      <c r="Q3" s="223" t="s">
        <v>68</v>
      </c>
      <c r="R3" s="223" t="s">
        <v>69</v>
      </c>
      <c r="S3" s="223" t="s">
        <v>70</v>
      </c>
      <c r="T3" s="223" t="s">
        <v>71</v>
      </c>
      <c r="U3" s="223" t="s">
        <v>72</v>
      </c>
      <c r="V3" s="223" t="s">
        <v>73</v>
      </c>
    </row>
    <row r="4" spans="1:22">
      <c r="A4" s="245"/>
      <c r="B4" s="263">
        <v>45047</v>
      </c>
      <c r="C4" s="264" t="s">
        <v>74</v>
      </c>
      <c r="D4" s="265"/>
      <c r="E4" s="264"/>
      <c r="F4" s="264"/>
      <c r="G4" s="246">
        <v>3523.45</v>
      </c>
      <c r="H4" s="224" t="s">
        <v>75</v>
      </c>
      <c r="I4" s="243">
        <f>IF(Table334[[#This Row],[Category]]="Fall Product",Table334[[#This Row],[Account Deposit Amount]]-Table334[[#This Row],[Account Withdrawl Amount]], )</f>
        <v>0</v>
      </c>
      <c r="J4" s="243">
        <f>IF(Table334[[#This Row],[Category]]="Cookies",Table334[[#This Row],[Account Deposit Amount]]-Table334[[#This Row],[Account Withdrawl Amount]], )</f>
        <v>0</v>
      </c>
      <c r="K4" s="243">
        <f>IF(Table334[[#This Row],[Category]]="Additional Money Earning Activities",Table334[[#This Row],[Account Deposit Amount]]-Table334[[#This Row],[Account Withdrawl Amount]], )</f>
        <v>0</v>
      </c>
      <c r="L4" s="243">
        <f>IF(Table334[[#This Row],[Category]]="Sponsorships",Table334[[#This Row],[Account Deposit Amount]]-Table334[[#This Row],[Account Withdrawl Amount]], )</f>
        <v>0</v>
      </c>
      <c r="M4" s="243">
        <f>IF(Table334[[#This Row],[Category]]="Troop Dues",Table334[[#This Row],[Account Deposit Amount]]-Table334[[#This Row],[Account Withdrawl Amount]], )</f>
        <v>0</v>
      </c>
      <c r="N4" s="243">
        <f>IF(Table334[[#This Row],[Category]]="Other Income",Table334[[#This Row],[Account Deposit Amount]]-Table334[[#This Row],[Account Withdrawl Amount]], )</f>
        <v>0</v>
      </c>
      <c r="O4" s="243">
        <f>IF(Table334[[#This Row],[Category]]="Registration",Table334[[#This Row],[Account Deposit Amount]]-Table334[[#This Row],[Account Withdrawl Amount]], )</f>
        <v>0</v>
      </c>
      <c r="P4" s="243">
        <f>IF(Table334[[#This Row],[Category]]="Insignia",Table334[[#This Row],[Account Deposit Amount]]-Table334[[#This Row],[Account Withdrawl Amount]], )</f>
        <v>0</v>
      </c>
      <c r="Q4" s="243">
        <f>IF(Table334[[#This Row],[Category]]="Activities/Program",Table334[[#This Row],[Account Deposit Amount]]-Table334[[#This Row],[Account Withdrawl Amount]], )</f>
        <v>0</v>
      </c>
      <c r="R4" s="243">
        <f>IF(Table334[[#This Row],[Category]]="Travel",Table334[[#This Row],[Account Deposit Amount]]-Table334[[#This Row],[Account Withdrawl Amount]], )</f>
        <v>0</v>
      </c>
      <c r="S4" s="243">
        <f>IF(Table334[[#This Row],[Category]]="Parties Food &amp; Beverages",Table334[[#This Row],[Account Deposit Amount]]-Table334[[#This Row],[Account Withdrawl Amount]], )</f>
        <v>0</v>
      </c>
      <c r="T4" s="243">
        <f>IF(Table334[[#This Row],[Category]]="Service Projects Donation",Table334[[#This Row],[Account Deposit Amount]]-Table334[[#This Row],[Account Withdrawl Amount]], )</f>
        <v>0</v>
      </c>
      <c r="U4" s="243">
        <f>IF(Table334[[#This Row],[Category]]="Cookie Debt",Table334[[#This Row],[Account Deposit Amount]]-Table334[[#This Row],[Account Withdrawl Amount]], )</f>
        <v>0</v>
      </c>
      <c r="V4" s="243">
        <f>IF(Table334[[#This Row],[Category]]="Other Expense",Table334[[#This Row],[Account Deposit Amount]]-Table334[[#This Row],[Account Withdrawl Amount]], )</f>
        <v>0</v>
      </c>
    </row>
    <row r="5" spans="1:22">
      <c r="A5" s="261" t="s">
        <v>513</v>
      </c>
      <c r="B5" s="249">
        <v>45413</v>
      </c>
      <c r="C5" s="247" t="s">
        <v>514</v>
      </c>
      <c r="D5" s="247" t="s">
        <v>515</v>
      </c>
      <c r="E5" s="250"/>
      <c r="F5" s="251">
        <v>24.38</v>
      </c>
      <c r="G5" s="243">
        <f t="shared" ref="G5:G68" si="2">G4+E5-F5</f>
        <v>3499.0699999999997</v>
      </c>
      <c r="H5" s="247" t="s">
        <v>67</v>
      </c>
      <c r="I5" s="243">
        <f>IF(Table334[[#This Row],[Category]]="Fall Product",Table334[[#This Row],[Account Deposit Amount]]-Table334[[#This Row],[Account Withdrawl Amount]], )</f>
        <v>0</v>
      </c>
      <c r="J5" s="243">
        <f>IF(Table334[[#This Row],[Category]]="Cookies",Table334[[#This Row],[Account Deposit Amount]]-Table334[[#This Row],[Account Withdrawl Amount]], )</f>
        <v>0</v>
      </c>
      <c r="K5" s="243">
        <f>IF(Table334[[#This Row],[Category]]="Additional Money Earning Activities",Table334[[#This Row],[Account Deposit Amount]]-Table334[[#This Row],[Account Withdrawl Amount]], )</f>
        <v>0</v>
      </c>
      <c r="L5" s="243">
        <f>IF(Table334[[#This Row],[Category]]="Sponsorships",Table334[[#This Row],[Account Deposit Amount]]-Table334[[#This Row],[Account Withdrawl Amount]], )</f>
        <v>0</v>
      </c>
      <c r="M5" s="243">
        <f>IF(Table334[[#This Row],[Category]]="Troop Dues",Table334[[#This Row],[Account Deposit Amount]]-Table334[[#This Row],[Account Withdrawl Amount]], )</f>
        <v>0</v>
      </c>
      <c r="N5" s="243">
        <f>IF(Table334[[#This Row],[Category]]="Other Income",Table334[[#This Row],[Account Deposit Amount]]-Table334[[#This Row],[Account Withdrawl Amount]], )</f>
        <v>0</v>
      </c>
      <c r="O5" s="243">
        <f>IF(Table334[[#This Row],[Category]]="Registration",Table334[[#This Row],[Account Deposit Amount]]-Table334[[#This Row],[Account Withdrawl Amount]], )</f>
        <v>0</v>
      </c>
      <c r="P5" s="243">
        <f>IF(Table334[[#This Row],[Category]]="Insignia",Table334[[#This Row],[Account Deposit Amount]]-Table334[[#This Row],[Account Withdrawl Amount]], )</f>
        <v>-24.38</v>
      </c>
      <c r="Q5" s="243">
        <f>IF(Table334[[#This Row],[Category]]="Activities/Program",Table334[[#This Row],[Account Deposit Amount]]-Table334[[#This Row],[Account Withdrawl Amount]], )</f>
        <v>0</v>
      </c>
      <c r="R5" s="243">
        <f>IF(Table334[[#This Row],[Category]]="Travel",Table334[[#This Row],[Account Deposit Amount]]-Table334[[#This Row],[Account Withdrawl Amount]], )</f>
        <v>0</v>
      </c>
      <c r="S5" s="243">
        <f>IF(Table334[[#This Row],[Category]]="Parties Food &amp; Beverages",Table334[[#This Row],[Account Deposit Amount]]-Table334[[#This Row],[Account Withdrawl Amount]], )</f>
        <v>0</v>
      </c>
      <c r="T5" s="243">
        <f>IF(Table334[[#This Row],[Category]]="Service Projects Donation",Table334[[#This Row],[Account Deposit Amount]]-Table334[[#This Row],[Account Withdrawl Amount]], )</f>
        <v>0</v>
      </c>
      <c r="U5" s="243">
        <f>IF(Table334[[#This Row],[Category]]="Cookie Debt",Table334[[#This Row],[Account Deposit Amount]]-Table334[[#This Row],[Account Withdrawl Amount]], )</f>
        <v>0</v>
      </c>
      <c r="V5" s="243">
        <f>IF(Table334[[#This Row],[Category]]="Other Expense",Table334[[#This Row],[Account Deposit Amount]]-Table334[[#This Row],[Account Withdrawl Amount]], )</f>
        <v>0</v>
      </c>
    </row>
    <row r="6" spans="1:22">
      <c r="A6" s="245" t="s">
        <v>513</v>
      </c>
      <c r="B6" s="263">
        <v>45414</v>
      </c>
      <c r="C6" s="264" t="s">
        <v>516</v>
      </c>
      <c r="D6" s="265" t="s">
        <v>517</v>
      </c>
      <c r="E6" s="264"/>
      <c r="F6" s="264">
        <v>95.1</v>
      </c>
      <c r="G6" s="243">
        <f t="shared" si="2"/>
        <v>3403.97</v>
      </c>
      <c r="H6" s="224" t="s">
        <v>136</v>
      </c>
      <c r="I6" s="243">
        <f>IF(Table334[[#This Row],[Category]]="Fall Product",Table334[[#This Row],[Account Deposit Amount]]-Table334[[#This Row],[Account Withdrawl Amount]], )</f>
        <v>0</v>
      </c>
      <c r="J6" s="243">
        <f>IF(Table334[[#This Row],[Category]]="Cookies",Table334[[#This Row],[Account Deposit Amount]]-Table334[[#This Row],[Account Withdrawl Amount]], )</f>
        <v>0</v>
      </c>
      <c r="K6" s="243">
        <f>IF(Table334[[#This Row],[Category]]="Additional Money Earning Activities",Table334[[#This Row],[Account Deposit Amount]]-Table334[[#This Row],[Account Withdrawl Amount]], )</f>
        <v>0</v>
      </c>
      <c r="L6" s="243">
        <f>IF(Table334[[#This Row],[Category]]="Sponsorships",Table334[[#This Row],[Account Deposit Amount]]-Table334[[#This Row],[Account Withdrawl Amount]], )</f>
        <v>0</v>
      </c>
      <c r="M6" s="243">
        <f>IF(Table334[[#This Row],[Category]]="Troop Dues",Table334[[#This Row],[Account Deposit Amount]]-Table334[[#This Row],[Account Withdrawl Amount]], )</f>
        <v>0</v>
      </c>
      <c r="N6" s="243">
        <f>IF(Table334[[#This Row],[Category]]="Other Income",Table334[[#This Row],[Account Deposit Amount]]-Table334[[#This Row],[Account Withdrawl Amount]], )</f>
        <v>0</v>
      </c>
      <c r="O6" s="243">
        <f>IF(Table334[[#This Row],[Category]]="Registration",Table334[[#This Row],[Account Deposit Amount]]-Table334[[#This Row],[Account Withdrawl Amount]], )</f>
        <v>0</v>
      </c>
      <c r="P6" s="243">
        <f>IF(Table334[[#This Row],[Category]]="Insignia",Table334[[#This Row],[Account Deposit Amount]]-Table334[[#This Row],[Account Withdrawl Amount]], )</f>
        <v>0</v>
      </c>
      <c r="Q6" s="243">
        <f>IF(Table334[[#This Row],[Category]]="Activities/Program",Table334[[#This Row],[Account Deposit Amount]]-Table334[[#This Row],[Account Withdrawl Amount]], )</f>
        <v>-95.1</v>
      </c>
      <c r="R6" s="243">
        <f>IF(Table334[[#This Row],[Category]]="Travel",Table334[[#This Row],[Account Deposit Amount]]-Table334[[#This Row],[Account Withdrawl Amount]], )</f>
        <v>0</v>
      </c>
      <c r="S6" s="243">
        <f>IF(Table334[[#This Row],[Category]]="Parties Food &amp; Beverages",Table334[[#This Row],[Account Deposit Amount]]-Table334[[#This Row],[Account Withdrawl Amount]], )</f>
        <v>0</v>
      </c>
      <c r="T6" s="243">
        <f>IF(Table334[[#This Row],[Category]]="Service Projects Donation",Table334[[#This Row],[Account Deposit Amount]]-Table334[[#This Row],[Account Withdrawl Amount]], )</f>
        <v>0</v>
      </c>
      <c r="U6" s="243">
        <f>IF(Table334[[#This Row],[Category]]="Cookie Debt",Table334[[#This Row],[Account Deposit Amount]]-Table334[[#This Row],[Account Withdrawl Amount]], )</f>
        <v>0</v>
      </c>
      <c r="V6" s="243">
        <f>IF(Table334[[#This Row],[Category]]="Other Expense",Table334[[#This Row],[Account Deposit Amount]]-Table334[[#This Row],[Account Withdrawl Amount]], )</f>
        <v>0</v>
      </c>
    </row>
    <row r="7" spans="1:22">
      <c r="A7" s="261" t="s">
        <v>513</v>
      </c>
      <c r="B7" s="249">
        <v>45415</v>
      </c>
      <c r="C7" s="247" t="s">
        <v>518</v>
      </c>
      <c r="D7" s="247" t="s">
        <v>515</v>
      </c>
      <c r="E7" s="250"/>
      <c r="F7" s="251">
        <v>17.43</v>
      </c>
      <c r="G7" s="243">
        <f t="shared" si="2"/>
        <v>3386.54</v>
      </c>
      <c r="H7" s="247" t="s">
        <v>67</v>
      </c>
      <c r="I7" s="243">
        <f>IF(Table334[[#This Row],[Category]]="Fall Product",Table334[[#This Row],[Account Deposit Amount]]-Table334[[#This Row],[Account Withdrawl Amount]], )</f>
        <v>0</v>
      </c>
      <c r="J7" s="243">
        <f>IF(Table334[[#This Row],[Category]]="Cookies",Table334[[#This Row],[Account Deposit Amount]]-Table334[[#This Row],[Account Withdrawl Amount]], )</f>
        <v>0</v>
      </c>
      <c r="K7" s="243">
        <f>IF(Table334[[#This Row],[Category]]="Additional Money Earning Activities",Table334[[#This Row],[Account Deposit Amount]]-Table334[[#This Row],[Account Withdrawl Amount]], )</f>
        <v>0</v>
      </c>
      <c r="L7" s="243">
        <f>IF(Table334[[#This Row],[Category]]="Sponsorships",Table334[[#This Row],[Account Deposit Amount]]-Table334[[#This Row],[Account Withdrawl Amount]], )</f>
        <v>0</v>
      </c>
      <c r="M7" s="243">
        <f>IF(Table334[[#This Row],[Category]]="Troop Dues",Table334[[#This Row],[Account Deposit Amount]]-Table334[[#This Row],[Account Withdrawl Amount]], )</f>
        <v>0</v>
      </c>
      <c r="N7" s="243">
        <f>IF(Table334[[#This Row],[Category]]="Other Income",Table334[[#This Row],[Account Deposit Amount]]-Table334[[#This Row],[Account Withdrawl Amount]], )</f>
        <v>0</v>
      </c>
      <c r="O7" s="243">
        <f>IF(Table334[[#This Row],[Category]]="Registration",Table334[[#This Row],[Account Deposit Amount]]-Table334[[#This Row],[Account Withdrawl Amount]], )</f>
        <v>0</v>
      </c>
      <c r="P7" s="243">
        <f>IF(Table334[[#This Row],[Category]]="Insignia",Table334[[#This Row],[Account Deposit Amount]]-Table334[[#This Row],[Account Withdrawl Amount]], )</f>
        <v>-17.43</v>
      </c>
      <c r="Q7" s="243">
        <f>IF(Table334[[#This Row],[Category]]="Activities/Program",Table334[[#This Row],[Account Deposit Amount]]-Table334[[#This Row],[Account Withdrawl Amount]], )</f>
        <v>0</v>
      </c>
      <c r="R7" s="243">
        <f>IF(Table334[[#This Row],[Category]]="Travel",Table334[[#This Row],[Account Deposit Amount]]-Table334[[#This Row],[Account Withdrawl Amount]], )</f>
        <v>0</v>
      </c>
      <c r="S7" s="243">
        <f>IF(Table334[[#This Row],[Category]]="Parties Food &amp; Beverages",Table334[[#This Row],[Account Deposit Amount]]-Table334[[#This Row],[Account Withdrawl Amount]], )</f>
        <v>0</v>
      </c>
      <c r="T7" s="243">
        <f>IF(Table334[[#This Row],[Category]]="Service Projects Donation",Table334[[#This Row],[Account Deposit Amount]]-Table334[[#This Row],[Account Withdrawl Amount]], )</f>
        <v>0</v>
      </c>
      <c r="U7" s="243">
        <f>IF(Table334[[#This Row],[Category]]="Cookie Debt",Table334[[#This Row],[Account Deposit Amount]]-Table334[[#This Row],[Account Withdrawl Amount]], )</f>
        <v>0</v>
      </c>
      <c r="V7" s="243">
        <f>IF(Table334[[#This Row],[Category]]="Other Expense",Table334[[#This Row],[Account Deposit Amount]]-Table334[[#This Row],[Account Withdrawl Amount]], )</f>
        <v>0</v>
      </c>
    </row>
    <row r="8" spans="1:22">
      <c r="A8" s="245" t="s">
        <v>513</v>
      </c>
      <c r="B8" s="263">
        <v>45418</v>
      </c>
      <c r="C8" s="264" t="s">
        <v>516</v>
      </c>
      <c r="D8" s="265" t="s">
        <v>519</v>
      </c>
      <c r="E8" s="264"/>
      <c r="F8" s="264">
        <v>22.23</v>
      </c>
      <c r="G8" s="243">
        <f t="shared" si="2"/>
        <v>3364.31</v>
      </c>
      <c r="H8" s="224" t="s">
        <v>136</v>
      </c>
      <c r="I8" s="243">
        <f>IF(Table334[[#This Row],[Category]]="Fall Product",Table334[[#This Row],[Account Deposit Amount]]-Table334[[#This Row],[Account Withdrawl Amount]], )</f>
        <v>0</v>
      </c>
      <c r="J8" s="243">
        <f>IF(Table334[[#This Row],[Category]]="Cookies",Table334[[#This Row],[Account Deposit Amount]]-Table334[[#This Row],[Account Withdrawl Amount]], )</f>
        <v>0</v>
      </c>
      <c r="K8" s="243">
        <f>IF(Table334[[#This Row],[Category]]="Additional Money Earning Activities",Table334[[#This Row],[Account Deposit Amount]]-Table334[[#This Row],[Account Withdrawl Amount]], )</f>
        <v>0</v>
      </c>
      <c r="L8" s="243">
        <f>IF(Table334[[#This Row],[Category]]="Sponsorships",Table334[[#This Row],[Account Deposit Amount]]-Table334[[#This Row],[Account Withdrawl Amount]], )</f>
        <v>0</v>
      </c>
      <c r="M8" s="243">
        <f>IF(Table334[[#This Row],[Category]]="Troop Dues",Table334[[#This Row],[Account Deposit Amount]]-Table334[[#This Row],[Account Withdrawl Amount]], )</f>
        <v>0</v>
      </c>
      <c r="N8" s="243">
        <f>IF(Table334[[#This Row],[Category]]="Other Income",Table334[[#This Row],[Account Deposit Amount]]-Table334[[#This Row],[Account Withdrawl Amount]], )</f>
        <v>0</v>
      </c>
      <c r="O8" s="243">
        <f>IF(Table334[[#This Row],[Category]]="Registration",Table334[[#This Row],[Account Deposit Amount]]-Table334[[#This Row],[Account Withdrawl Amount]], )</f>
        <v>0</v>
      </c>
      <c r="P8" s="243">
        <f>IF(Table334[[#This Row],[Category]]="Insignia",Table334[[#This Row],[Account Deposit Amount]]-Table334[[#This Row],[Account Withdrawl Amount]], )</f>
        <v>0</v>
      </c>
      <c r="Q8" s="243">
        <f>IF(Table334[[#This Row],[Category]]="Activities/Program",Table334[[#This Row],[Account Deposit Amount]]-Table334[[#This Row],[Account Withdrawl Amount]], )</f>
        <v>-22.23</v>
      </c>
      <c r="R8" s="243">
        <f>IF(Table334[[#This Row],[Category]]="Travel",Table334[[#This Row],[Account Deposit Amount]]-Table334[[#This Row],[Account Withdrawl Amount]], )</f>
        <v>0</v>
      </c>
      <c r="S8" s="243">
        <f>IF(Table334[[#This Row],[Category]]="Parties Food &amp; Beverages",Table334[[#This Row],[Account Deposit Amount]]-Table334[[#This Row],[Account Withdrawl Amount]], )</f>
        <v>0</v>
      </c>
      <c r="T8" s="243">
        <f>IF(Table334[[#This Row],[Category]]="Service Projects Donation",Table334[[#This Row],[Account Deposit Amount]]-Table334[[#This Row],[Account Withdrawl Amount]], )</f>
        <v>0</v>
      </c>
      <c r="U8" s="243">
        <f>IF(Table334[[#This Row],[Category]]="Cookie Debt",Table334[[#This Row],[Account Deposit Amount]]-Table334[[#This Row],[Account Withdrawl Amount]], )</f>
        <v>0</v>
      </c>
      <c r="V8" s="243">
        <f>IF(Table334[[#This Row],[Category]]="Other Expense",Table334[[#This Row],[Account Deposit Amount]]-Table334[[#This Row],[Account Withdrawl Amount]], )</f>
        <v>0</v>
      </c>
    </row>
    <row r="9" spans="1:22">
      <c r="A9" s="261" t="s">
        <v>513</v>
      </c>
      <c r="B9" s="249">
        <v>45418</v>
      </c>
      <c r="C9" s="247" t="s">
        <v>516</v>
      </c>
      <c r="D9" s="247" t="s">
        <v>520</v>
      </c>
      <c r="E9" s="250"/>
      <c r="F9" s="251">
        <v>61.47</v>
      </c>
      <c r="G9" s="243">
        <f t="shared" si="2"/>
        <v>3302.84</v>
      </c>
      <c r="H9" s="247" t="s">
        <v>136</v>
      </c>
      <c r="I9" s="243">
        <f>IF(Table334[[#This Row],[Category]]="Fall Product",Table334[[#This Row],[Account Deposit Amount]]-Table334[[#This Row],[Account Withdrawl Amount]], )</f>
        <v>0</v>
      </c>
      <c r="J9" s="243">
        <f>IF(Table334[[#This Row],[Category]]="Cookies",Table334[[#This Row],[Account Deposit Amount]]-Table334[[#This Row],[Account Withdrawl Amount]], )</f>
        <v>0</v>
      </c>
      <c r="K9" s="243">
        <f>IF(Table334[[#This Row],[Category]]="Additional Money Earning Activities",Table334[[#This Row],[Account Deposit Amount]]-Table334[[#This Row],[Account Withdrawl Amount]], )</f>
        <v>0</v>
      </c>
      <c r="L9" s="243">
        <f>IF(Table334[[#This Row],[Category]]="Sponsorships",Table334[[#This Row],[Account Deposit Amount]]-Table334[[#This Row],[Account Withdrawl Amount]], )</f>
        <v>0</v>
      </c>
      <c r="M9" s="243">
        <f>IF(Table334[[#This Row],[Category]]="Troop Dues",Table334[[#This Row],[Account Deposit Amount]]-Table334[[#This Row],[Account Withdrawl Amount]], )</f>
        <v>0</v>
      </c>
      <c r="N9" s="243">
        <f>IF(Table334[[#This Row],[Category]]="Other Income",Table334[[#This Row],[Account Deposit Amount]]-Table334[[#This Row],[Account Withdrawl Amount]], )</f>
        <v>0</v>
      </c>
      <c r="O9" s="243">
        <f>IF(Table334[[#This Row],[Category]]="Registration",Table334[[#This Row],[Account Deposit Amount]]-Table334[[#This Row],[Account Withdrawl Amount]], )</f>
        <v>0</v>
      </c>
      <c r="P9" s="243">
        <f>IF(Table334[[#This Row],[Category]]="Insignia",Table334[[#This Row],[Account Deposit Amount]]-Table334[[#This Row],[Account Withdrawl Amount]], )</f>
        <v>0</v>
      </c>
      <c r="Q9" s="243">
        <f>IF(Table334[[#This Row],[Category]]="Activities/Program",Table334[[#This Row],[Account Deposit Amount]]-Table334[[#This Row],[Account Withdrawl Amount]], )</f>
        <v>-61.47</v>
      </c>
      <c r="R9" s="243">
        <f>IF(Table334[[#This Row],[Category]]="Travel",Table334[[#This Row],[Account Deposit Amount]]-Table334[[#This Row],[Account Withdrawl Amount]], )</f>
        <v>0</v>
      </c>
      <c r="S9" s="243">
        <f>IF(Table334[[#This Row],[Category]]="Parties Food &amp; Beverages",Table334[[#This Row],[Account Deposit Amount]]-Table334[[#This Row],[Account Withdrawl Amount]], )</f>
        <v>0</v>
      </c>
      <c r="T9" s="243">
        <f>IF(Table334[[#This Row],[Category]]="Service Projects Donation",Table334[[#This Row],[Account Deposit Amount]]-Table334[[#This Row],[Account Withdrawl Amount]], )</f>
        <v>0</v>
      </c>
      <c r="U9" s="243">
        <f>IF(Table334[[#This Row],[Category]]="Cookie Debt",Table334[[#This Row],[Account Deposit Amount]]-Table334[[#This Row],[Account Withdrawl Amount]], )</f>
        <v>0</v>
      </c>
      <c r="V9" s="243">
        <f>IF(Table334[[#This Row],[Category]]="Other Expense",Table334[[#This Row],[Account Deposit Amount]]-Table334[[#This Row],[Account Withdrawl Amount]], )</f>
        <v>0</v>
      </c>
    </row>
    <row r="10" spans="1:22">
      <c r="A10" s="245" t="s">
        <v>513</v>
      </c>
      <c r="B10" s="263">
        <v>45420</v>
      </c>
      <c r="C10" s="264" t="s">
        <v>276</v>
      </c>
      <c r="D10" s="265" t="s">
        <v>521</v>
      </c>
      <c r="E10" s="264">
        <v>240</v>
      </c>
      <c r="F10" s="264"/>
      <c r="G10" s="243">
        <f t="shared" si="2"/>
        <v>3542.84</v>
      </c>
      <c r="H10" s="224" t="s">
        <v>132</v>
      </c>
      <c r="I10" s="243">
        <f>IF(Table334[[#This Row],[Category]]="Fall Product",Table334[[#This Row],[Account Deposit Amount]]-Table334[[#This Row],[Account Withdrawl Amount]], )</f>
        <v>0</v>
      </c>
      <c r="J10" s="243">
        <f>IF(Table334[[#This Row],[Category]]="Cookies",Table334[[#This Row],[Account Deposit Amount]]-Table334[[#This Row],[Account Withdrawl Amount]], )</f>
        <v>240</v>
      </c>
      <c r="K10" s="243">
        <f>IF(Table334[[#This Row],[Category]]="Additional Money Earning Activities",Table334[[#This Row],[Account Deposit Amount]]-Table334[[#This Row],[Account Withdrawl Amount]], )</f>
        <v>0</v>
      </c>
      <c r="L10" s="243">
        <f>IF(Table334[[#This Row],[Category]]="Sponsorships",Table334[[#This Row],[Account Deposit Amount]]-Table334[[#This Row],[Account Withdrawl Amount]], )</f>
        <v>0</v>
      </c>
      <c r="M10" s="243">
        <f>IF(Table334[[#This Row],[Category]]="Troop Dues",Table334[[#This Row],[Account Deposit Amount]]-Table334[[#This Row],[Account Withdrawl Amount]], )</f>
        <v>0</v>
      </c>
      <c r="N10" s="243">
        <f>IF(Table334[[#This Row],[Category]]="Other Income",Table334[[#This Row],[Account Deposit Amount]]-Table334[[#This Row],[Account Withdrawl Amount]], )</f>
        <v>0</v>
      </c>
      <c r="O10" s="243">
        <f>IF(Table334[[#This Row],[Category]]="Registration",Table334[[#This Row],[Account Deposit Amount]]-Table334[[#This Row],[Account Withdrawl Amount]], )</f>
        <v>0</v>
      </c>
      <c r="P10" s="243">
        <f>IF(Table334[[#This Row],[Category]]="Insignia",Table334[[#This Row],[Account Deposit Amount]]-Table334[[#This Row],[Account Withdrawl Amount]], )</f>
        <v>0</v>
      </c>
      <c r="Q10" s="243">
        <f>IF(Table334[[#This Row],[Category]]="Activities/Program",Table334[[#This Row],[Account Deposit Amount]]-Table334[[#This Row],[Account Withdrawl Amount]], )</f>
        <v>0</v>
      </c>
      <c r="R10" s="243">
        <f>IF(Table334[[#This Row],[Category]]="Travel",Table334[[#This Row],[Account Deposit Amount]]-Table334[[#This Row],[Account Withdrawl Amount]], )</f>
        <v>0</v>
      </c>
      <c r="S10" s="243">
        <f>IF(Table334[[#This Row],[Category]]="Parties Food &amp; Beverages",Table334[[#This Row],[Account Deposit Amount]]-Table334[[#This Row],[Account Withdrawl Amount]], )</f>
        <v>0</v>
      </c>
      <c r="T10" s="243">
        <f>IF(Table334[[#This Row],[Category]]="Service Projects Donation",Table334[[#This Row],[Account Deposit Amount]]-Table334[[#This Row],[Account Withdrawl Amount]], )</f>
        <v>0</v>
      </c>
      <c r="U10" s="243">
        <f>IF(Table334[[#This Row],[Category]]="Cookie Debt",Table334[[#This Row],[Account Deposit Amount]]-Table334[[#This Row],[Account Withdrawl Amount]], )</f>
        <v>0</v>
      </c>
      <c r="V10" s="243">
        <f>IF(Table334[[#This Row],[Category]]="Other Expense",Table334[[#This Row],[Account Deposit Amount]]-Table334[[#This Row],[Account Withdrawl Amount]], )</f>
        <v>0</v>
      </c>
    </row>
    <row r="11" spans="1:22">
      <c r="A11" s="261" t="s">
        <v>513</v>
      </c>
      <c r="B11" s="249">
        <v>45423</v>
      </c>
      <c r="C11" s="247" t="s">
        <v>522</v>
      </c>
      <c r="D11" s="247" t="s">
        <v>515</v>
      </c>
      <c r="E11" s="250"/>
      <c r="F11" s="251">
        <v>144.69</v>
      </c>
      <c r="G11" s="243">
        <f t="shared" si="2"/>
        <v>3398.15</v>
      </c>
      <c r="H11" s="247" t="s">
        <v>67</v>
      </c>
      <c r="I11" s="243">
        <f>IF(Table334[[#This Row],[Category]]="Fall Product",Table334[[#This Row],[Account Deposit Amount]]-Table334[[#This Row],[Account Withdrawl Amount]], )</f>
        <v>0</v>
      </c>
      <c r="J11" s="243">
        <f>IF(Table334[[#This Row],[Category]]="Cookies",Table334[[#This Row],[Account Deposit Amount]]-Table334[[#This Row],[Account Withdrawl Amount]], )</f>
        <v>0</v>
      </c>
      <c r="K11" s="243">
        <f>IF(Table334[[#This Row],[Category]]="Additional Money Earning Activities",Table334[[#This Row],[Account Deposit Amount]]-Table334[[#This Row],[Account Withdrawl Amount]], )</f>
        <v>0</v>
      </c>
      <c r="L11" s="243">
        <f>IF(Table334[[#This Row],[Category]]="Sponsorships",Table334[[#This Row],[Account Deposit Amount]]-Table334[[#This Row],[Account Withdrawl Amount]], )</f>
        <v>0</v>
      </c>
      <c r="M11" s="243">
        <f>IF(Table334[[#This Row],[Category]]="Troop Dues",Table334[[#This Row],[Account Deposit Amount]]-Table334[[#This Row],[Account Withdrawl Amount]], )</f>
        <v>0</v>
      </c>
      <c r="N11" s="243">
        <f>IF(Table334[[#This Row],[Category]]="Other Income",Table334[[#This Row],[Account Deposit Amount]]-Table334[[#This Row],[Account Withdrawl Amount]], )</f>
        <v>0</v>
      </c>
      <c r="O11" s="243">
        <f>IF(Table334[[#This Row],[Category]]="Registration",Table334[[#This Row],[Account Deposit Amount]]-Table334[[#This Row],[Account Withdrawl Amount]], )</f>
        <v>0</v>
      </c>
      <c r="P11" s="243">
        <f>IF(Table334[[#This Row],[Category]]="Insignia",Table334[[#This Row],[Account Deposit Amount]]-Table334[[#This Row],[Account Withdrawl Amount]], )</f>
        <v>-144.69</v>
      </c>
      <c r="Q11" s="243">
        <f>IF(Table334[[#This Row],[Category]]="Activities/Program",Table334[[#This Row],[Account Deposit Amount]]-Table334[[#This Row],[Account Withdrawl Amount]], )</f>
        <v>0</v>
      </c>
      <c r="R11" s="243">
        <f>IF(Table334[[#This Row],[Category]]="Travel",Table334[[#This Row],[Account Deposit Amount]]-Table334[[#This Row],[Account Withdrawl Amount]], )</f>
        <v>0</v>
      </c>
      <c r="S11" s="243">
        <f>IF(Table334[[#This Row],[Category]]="Parties Food &amp; Beverages",Table334[[#This Row],[Account Deposit Amount]]-Table334[[#This Row],[Account Withdrawl Amount]], )</f>
        <v>0</v>
      </c>
      <c r="T11" s="243">
        <f>IF(Table334[[#This Row],[Category]]="Service Projects Donation",Table334[[#This Row],[Account Deposit Amount]]-Table334[[#This Row],[Account Withdrawl Amount]], )</f>
        <v>0</v>
      </c>
      <c r="U11" s="243">
        <f>IF(Table334[[#This Row],[Category]]="Cookie Debt",Table334[[#This Row],[Account Deposit Amount]]-Table334[[#This Row],[Account Withdrawl Amount]], )</f>
        <v>0</v>
      </c>
      <c r="V11" s="243">
        <f>IF(Table334[[#This Row],[Category]]="Other Expense",Table334[[#This Row],[Account Deposit Amount]]-Table334[[#This Row],[Account Withdrawl Amount]], )</f>
        <v>0</v>
      </c>
    </row>
    <row r="12" spans="1:22">
      <c r="A12" s="245" t="s">
        <v>513</v>
      </c>
      <c r="B12" s="263">
        <v>45426</v>
      </c>
      <c r="C12" s="264" t="s">
        <v>523</v>
      </c>
      <c r="D12" s="265" t="s">
        <v>524</v>
      </c>
      <c r="E12" s="264"/>
      <c r="F12" s="264">
        <v>7.23</v>
      </c>
      <c r="G12" s="243">
        <f t="shared" si="2"/>
        <v>3390.92</v>
      </c>
      <c r="H12" s="224" t="s">
        <v>136</v>
      </c>
      <c r="I12" s="243">
        <f>IF(Table334[[#This Row],[Category]]="Fall Product",Table334[[#This Row],[Account Deposit Amount]]-Table334[[#This Row],[Account Withdrawl Amount]], )</f>
        <v>0</v>
      </c>
      <c r="J12" s="243">
        <f>IF(Table334[[#This Row],[Category]]="Cookies",Table334[[#This Row],[Account Deposit Amount]]-Table334[[#This Row],[Account Withdrawl Amount]], )</f>
        <v>0</v>
      </c>
      <c r="K12" s="243">
        <f>IF(Table334[[#This Row],[Category]]="Additional Money Earning Activities",Table334[[#This Row],[Account Deposit Amount]]-Table334[[#This Row],[Account Withdrawl Amount]], )</f>
        <v>0</v>
      </c>
      <c r="L12" s="243">
        <f>IF(Table334[[#This Row],[Category]]="Sponsorships",Table334[[#This Row],[Account Deposit Amount]]-Table334[[#This Row],[Account Withdrawl Amount]], )</f>
        <v>0</v>
      </c>
      <c r="M12" s="243">
        <f>IF(Table334[[#This Row],[Category]]="Troop Dues",Table334[[#This Row],[Account Deposit Amount]]-Table334[[#This Row],[Account Withdrawl Amount]], )</f>
        <v>0</v>
      </c>
      <c r="N12" s="243">
        <f>IF(Table334[[#This Row],[Category]]="Other Income",Table334[[#This Row],[Account Deposit Amount]]-Table334[[#This Row],[Account Withdrawl Amount]], )</f>
        <v>0</v>
      </c>
      <c r="O12" s="243">
        <f>IF(Table334[[#This Row],[Category]]="Registration",Table334[[#This Row],[Account Deposit Amount]]-Table334[[#This Row],[Account Withdrawl Amount]], )</f>
        <v>0</v>
      </c>
      <c r="P12" s="243">
        <f>IF(Table334[[#This Row],[Category]]="Insignia",Table334[[#This Row],[Account Deposit Amount]]-Table334[[#This Row],[Account Withdrawl Amount]], )</f>
        <v>0</v>
      </c>
      <c r="Q12" s="243">
        <f>IF(Table334[[#This Row],[Category]]="Activities/Program",Table334[[#This Row],[Account Deposit Amount]]-Table334[[#This Row],[Account Withdrawl Amount]], )</f>
        <v>-7.23</v>
      </c>
      <c r="R12" s="243">
        <f>IF(Table334[[#This Row],[Category]]="Travel",Table334[[#This Row],[Account Deposit Amount]]-Table334[[#This Row],[Account Withdrawl Amount]], )</f>
        <v>0</v>
      </c>
      <c r="S12" s="243">
        <f>IF(Table334[[#This Row],[Category]]="Parties Food &amp; Beverages",Table334[[#This Row],[Account Deposit Amount]]-Table334[[#This Row],[Account Withdrawl Amount]], )</f>
        <v>0</v>
      </c>
      <c r="T12" s="243">
        <f>IF(Table334[[#This Row],[Category]]="Service Projects Donation",Table334[[#This Row],[Account Deposit Amount]]-Table334[[#This Row],[Account Withdrawl Amount]], )</f>
        <v>0</v>
      </c>
      <c r="U12" s="243">
        <f>IF(Table334[[#This Row],[Category]]="Cookie Debt",Table334[[#This Row],[Account Deposit Amount]]-Table334[[#This Row],[Account Withdrawl Amount]], )</f>
        <v>0</v>
      </c>
      <c r="V12" s="243">
        <f>IF(Table334[[#This Row],[Category]]="Other Expense",Table334[[#This Row],[Account Deposit Amount]]-Table334[[#This Row],[Account Withdrawl Amount]], )</f>
        <v>0</v>
      </c>
    </row>
    <row r="13" spans="1:22">
      <c r="A13" s="261" t="s">
        <v>513</v>
      </c>
      <c r="B13" s="249">
        <v>45426</v>
      </c>
      <c r="C13" s="247" t="s">
        <v>525</v>
      </c>
      <c r="D13" s="247" t="s">
        <v>526</v>
      </c>
      <c r="E13" s="250"/>
      <c r="F13" s="251">
        <v>40</v>
      </c>
      <c r="G13" s="243">
        <f t="shared" si="2"/>
        <v>3350.92</v>
      </c>
      <c r="H13" s="247" t="s">
        <v>136</v>
      </c>
      <c r="I13" s="243">
        <f>IF(Table334[[#This Row],[Category]]="Fall Product",Table334[[#This Row],[Account Deposit Amount]]-Table334[[#This Row],[Account Withdrawl Amount]], )</f>
        <v>0</v>
      </c>
      <c r="J13" s="243">
        <f>IF(Table334[[#This Row],[Category]]="Cookies",Table334[[#This Row],[Account Deposit Amount]]-Table334[[#This Row],[Account Withdrawl Amount]], )</f>
        <v>0</v>
      </c>
      <c r="K13" s="243">
        <f>IF(Table334[[#This Row],[Category]]="Additional Money Earning Activities",Table334[[#This Row],[Account Deposit Amount]]-Table334[[#This Row],[Account Withdrawl Amount]], )</f>
        <v>0</v>
      </c>
      <c r="L13" s="243">
        <f>IF(Table334[[#This Row],[Category]]="Sponsorships",Table334[[#This Row],[Account Deposit Amount]]-Table334[[#This Row],[Account Withdrawl Amount]], )</f>
        <v>0</v>
      </c>
      <c r="M13" s="243">
        <f>IF(Table334[[#This Row],[Category]]="Troop Dues",Table334[[#This Row],[Account Deposit Amount]]-Table334[[#This Row],[Account Withdrawl Amount]], )</f>
        <v>0</v>
      </c>
      <c r="N13" s="243">
        <f>IF(Table334[[#This Row],[Category]]="Other Income",Table334[[#This Row],[Account Deposit Amount]]-Table334[[#This Row],[Account Withdrawl Amount]], )</f>
        <v>0</v>
      </c>
      <c r="O13" s="243">
        <f>IF(Table334[[#This Row],[Category]]="Registration",Table334[[#This Row],[Account Deposit Amount]]-Table334[[#This Row],[Account Withdrawl Amount]], )</f>
        <v>0</v>
      </c>
      <c r="P13" s="243">
        <f>IF(Table334[[#This Row],[Category]]="Insignia",Table334[[#This Row],[Account Deposit Amount]]-Table334[[#This Row],[Account Withdrawl Amount]], )</f>
        <v>0</v>
      </c>
      <c r="Q13" s="243">
        <f>IF(Table334[[#This Row],[Category]]="Activities/Program",Table334[[#This Row],[Account Deposit Amount]]-Table334[[#This Row],[Account Withdrawl Amount]], )</f>
        <v>-40</v>
      </c>
      <c r="R13" s="243">
        <f>IF(Table334[[#This Row],[Category]]="Travel",Table334[[#This Row],[Account Deposit Amount]]-Table334[[#This Row],[Account Withdrawl Amount]], )</f>
        <v>0</v>
      </c>
      <c r="S13" s="243">
        <f>IF(Table334[[#This Row],[Category]]="Parties Food &amp; Beverages",Table334[[#This Row],[Account Deposit Amount]]-Table334[[#This Row],[Account Withdrawl Amount]], )</f>
        <v>0</v>
      </c>
      <c r="T13" s="243">
        <f>IF(Table334[[#This Row],[Category]]="Service Projects Donation",Table334[[#This Row],[Account Deposit Amount]]-Table334[[#This Row],[Account Withdrawl Amount]], )</f>
        <v>0</v>
      </c>
      <c r="U13" s="243">
        <f>IF(Table334[[#This Row],[Category]]="Cookie Debt",Table334[[#This Row],[Account Deposit Amount]]-Table334[[#This Row],[Account Withdrawl Amount]], )</f>
        <v>0</v>
      </c>
      <c r="V13" s="243">
        <f>IF(Table334[[#This Row],[Category]]="Other Expense",Table334[[#This Row],[Account Deposit Amount]]-Table334[[#This Row],[Account Withdrawl Amount]], )</f>
        <v>0</v>
      </c>
    </row>
    <row r="14" spans="1:22">
      <c r="A14" s="245" t="s">
        <v>513</v>
      </c>
      <c r="B14" s="263">
        <v>45430</v>
      </c>
      <c r="C14" s="264" t="s">
        <v>527</v>
      </c>
      <c r="D14" s="265" t="s">
        <v>528</v>
      </c>
      <c r="E14" s="264"/>
      <c r="F14" s="264">
        <v>28.52</v>
      </c>
      <c r="G14" s="243">
        <f t="shared" si="2"/>
        <v>3322.4</v>
      </c>
      <c r="H14" s="224" t="s">
        <v>136</v>
      </c>
      <c r="I14" s="243">
        <f>IF(Table334[[#This Row],[Category]]="Fall Product",Table334[[#This Row],[Account Deposit Amount]]-Table334[[#This Row],[Account Withdrawl Amount]], )</f>
        <v>0</v>
      </c>
      <c r="J14" s="243">
        <f>IF(Table334[[#This Row],[Category]]="Cookies",Table334[[#This Row],[Account Deposit Amount]]-Table334[[#This Row],[Account Withdrawl Amount]], )</f>
        <v>0</v>
      </c>
      <c r="K14" s="243">
        <f>IF(Table334[[#This Row],[Category]]="Additional Money Earning Activities",Table334[[#This Row],[Account Deposit Amount]]-Table334[[#This Row],[Account Withdrawl Amount]], )</f>
        <v>0</v>
      </c>
      <c r="L14" s="243">
        <f>IF(Table334[[#This Row],[Category]]="Sponsorships",Table334[[#This Row],[Account Deposit Amount]]-Table334[[#This Row],[Account Withdrawl Amount]], )</f>
        <v>0</v>
      </c>
      <c r="M14" s="243">
        <f>IF(Table334[[#This Row],[Category]]="Troop Dues",Table334[[#This Row],[Account Deposit Amount]]-Table334[[#This Row],[Account Withdrawl Amount]], )</f>
        <v>0</v>
      </c>
      <c r="N14" s="243">
        <f>IF(Table334[[#This Row],[Category]]="Other Income",Table334[[#This Row],[Account Deposit Amount]]-Table334[[#This Row],[Account Withdrawl Amount]], )</f>
        <v>0</v>
      </c>
      <c r="O14" s="243">
        <f>IF(Table334[[#This Row],[Category]]="Registration",Table334[[#This Row],[Account Deposit Amount]]-Table334[[#This Row],[Account Withdrawl Amount]], )</f>
        <v>0</v>
      </c>
      <c r="P14" s="243">
        <f>IF(Table334[[#This Row],[Category]]="Insignia",Table334[[#This Row],[Account Deposit Amount]]-Table334[[#This Row],[Account Withdrawl Amount]], )</f>
        <v>0</v>
      </c>
      <c r="Q14" s="243">
        <f>IF(Table334[[#This Row],[Category]]="Activities/Program",Table334[[#This Row],[Account Deposit Amount]]-Table334[[#This Row],[Account Withdrawl Amount]], )</f>
        <v>-28.52</v>
      </c>
      <c r="R14" s="243">
        <f>IF(Table334[[#This Row],[Category]]="Travel",Table334[[#This Row],[Account Deposit Amount]]-Table334[[#This Row],[Account Withdrawl Amount]], )</f>
        <v>0</v>
      </c>
      <c r="S14" s="243">
        <f>IF(Table334[[#This Row],[Category]]="Parties Food &amp; Beverages",Table334[[#This Row],[Account Deposit Amount]]-Table334[[#This Row],[Account Withdrawl Amount]], )</f>
        <v>0</v>
      </c>
      <c r="T14" s="243">
        <f>IF(Table334[[#This Row],[Category]]="Service Projects Donation",Table334[[#This Row],[Account Deposit Amount]]-Table334[[#This Row],[Account Withdrawl Amount]], )</f>
        <v>0</v>
      </c>
      <c r="U14" s="243">
        <f>IF(Table334[[#This Row],[Category]]="Cookie Debt",Table334[[#This Row],[Account Deposit Amount]]-Table334[[#This Row],[Account Withdrawl Amount]], )</f>
        <v>0</v>
      </c>
      <c r="V14" s="243">
        <f>IF(Table334[[#This Row],[Category]]="Other Expense",Table334[[#This Row],[Account Deposit Amount]]-Table334[[#This Row],[Account Withdrawl Amount]], )</f>
        <v>0</v>
      </c>
    </row>
    <row r="15" spans="1:22" ht="27.6">
      <c r="A15" s="261" t="s">
        <v>513</v>
      </c>
      <c r="B15" s="249">
        <v>45432</v>
      </c>
      <c r="C15" s="247" t="s">
        <v>244</v>
      </c>
      <c r="D15" s="247" t="s">
        <v>529</v>
      </c>
      <c r="E15" s="250"/>
      <c r="F15" s="251">
        <v>42.19</v>
      </c>
      <c r="G15" s="243">
        <f t="shared" si="2"/>
        <v>3280.21</v>
      </c>
      <c r="H15" s="247" t="s">
        <v>530</v>
      </c>
      <c r="I15" s="243">
        <f>IF(Table334[[#This Row],[Category]]="Fall Product",Table334[[#This Row],[Account Deposit Amount]]-Table334[[#This Row],[Account Withdrawl Amount]], )</f>
        <v>0</v>
      </c>
      <c r="J15" s="243">
        <f>IF(Table334[[#This Row],[Category]]="Cookies",Table334[[#This Row],[Account Deposit Amount]]-Table334[[#This Row],[Account Withdrawl Amount]], )</f>
        <v>0</v>
      </c>
      <c r="K15" s="243">
        <f>IF(Table334[[#This Row],[Category]]="Additional Money Earning Activities",Table334[[#This Row],[Account Deposit Amount]]-Table334[[#This Row],[Account Withdrawl Amount]], )</f>
        <v>0</v>
      </c>
      <c r="L15" s="243">
        <f>IF(Table334[[#This Row],[Category]]="Sponsorships",Table334[[#This Row],[Account Deposit Amount]]-Table334[[#This Row],[Account Withdrawl Amount]], )</f>
        <v>0</v>
      </c>
      <c r="M15" s="243">
        <f>IF(Table334[[#This Row],[Category]]="Troop Dues",Table334[[#This Row],[Account Deposit Amount]]-Table334[[#This Row],[Account Withdrawl Amount]], )</f>
        <v>0</v>
      </c>
      <c r="N15" s="243">
        <f>IF(Table334[[#This Row],[Category]]="Other Income",Table334[[#This Row],[Account Deposit Amount]]-Table334[[#This Row],[Account Withdrawl Amount]], )</f>
        <v>0</v>
      </c>
      <c r="O15" s="243">
        <f>IF(Table334[[#This Row],[Category]]="Registration",Table334[[#This Row],[Account Deposit Amount]]-Table334[[#This Row],[Account Withdrawl Amount]], )</f>
        <v>0</v>
      </c>
      <c r="P15" s="243">
        <f>IF(Table334[[#This Row],[Category]]="Insignia",Table334[[#This Row],[Account Deposit Amount]]-Table334[[#This Row],[Account Withdrawl Amount]], )</f>
        <v>0</v>
      </c>
      <c r="Q15" s="243">
        <f>IF(Table334[[#This Row],[Category]]="Activities/Program",Table334[[#This Row],[Account Deposit Amount]]-Table334[[#This Row],[Account Withdrawl Amount]], )</f>
        <v>0</v>
      </c>
      <c r="R15" s="243">
        <f>IF(Table334[[#This Row],[Category]]="Travel",Table334[[#This Row],[Account Deposit Amount]]-Table334[[#This Row],[Account Withdrawl Amount]], )</f>
        <v>0</v>
      </c>
      <c r="S15" s="243">
        <f>IF(Table334[[#This Row],[Category]]="Parties Food &amp; Beverages",Table334[[#This Row],[Account Deposit Amount]]-Table334[[#This Row],[Account Withdrawl Amount]], )</f>
        <v>-42.19</v>
      </c>
      <c r="T15" s="243">
        <f>IF(Table334[[#This Row],[Category]]="Service Projects Donation",Table334[[#This Row],[Account Deposit Amount]]-Table334[[#This Row],[Account Withdrawl Amount]], )</f>
        <v>0</v>
      </c>
      <c r="U15" s="243">
        <f>IF(Table334[[#This Row],[Category]]="Cookie Debt",Table334[[#This Row],[Account Deposit Amount]]-Table334[[#This Row],[Account Withdrawl Amount]], )</f>
        <v>0</v>
      </c>
      <c r="V15" s="243">
        <f>IF(Table334[[#This Row],[Category]]="Other Expense",Table334[[#This Row],[Account Deposit Amount]]-Table334[[#This Row],[Account Withdrawl Amount]], )</f>
        <v>0</v>
      </c>
    </row>
    <row r="16" spans="1:22">
      <c r="A16" s="245" t="s">
        <v>513</v>
      </c>
      <c r="B16" s="263">
        <v>45433</v>
      </c>
      <c r="C16" s="264" t="s">
        <v>516</v>
      </c>
      <c r="D16" s="265" t="s">
        <v>531</v>
      </c>
      <c r="E16" s="264">
        <v>7.41</v>
      </c>
      <c r="F16" s="264"/>
      <c r="G16" s="243">
        <f t="shared" si="2"/>
        <v>3287.62</v>
      </c>
      <c r="H16" s="224" t="s">
        <v>136</v>
      </c>
      <c r="I16" s="243">
        <f>IF(Table334[[#This Row],[Category]]="Fall Product",Table334[[#This Row],[Account Deposit Amount]]-Table334[[#This Row],[Account Withdrawl Amount]], )</f>
        <v>0</v>
      </c>
      <c r="J16" s="243">
        <f>IF(Table334[[#This Row],[Category]]="Cookies",Table334[[#This Row],[Account Deposit Amount]]-Table334[[#This Row],[Account Withdrawl Amount]], )</f>
        <v>0</v>
      </c>
      <c r="K16" s="243">
        <f>IF(Table334[[#This Row],[Category]]="Additional Money Earning Activities",Table334[[#This Row],[Account Deposit Amount]]-Table334[[#This Row],[Account Withdrawl Amount]], )</f>
        <v>0</v>
      </c>
      <c r="L16" s="243">
        <f>IF(Table334[[#This Row],[Category]]="Sponsorships",Table334[[#This Row],[Account Deposit Amount]]-Table334[[#This Row],[Account Withdrawl Amount]], )</f>
        <v>0</v>
      </c>
      <c r="M16" s="243">
        <f>IF(Table334[[#This Row],[Category]]="Troop Dues",Table334[[#This Row],[Account Deposit Amount]]-Table334[[#This Row],[Account Withdrawl Amount]], )</f>
        <v>0</v>
      </c>
      <c r="N16" s="243">
        <f>IF(Table334[[#This Row],[Category]]="Other Income",Table334[[#This Row],[Account Deposit Amount]]-Table334[[#This Row],[Account Withdrawl Amount]], )</f>
        <v>0</v>
      </c>
      <c r="O16" s="243">
        <f>IF(Table334[[#This Row],[Category]]="Registration",Table334[[#This Row],[Account Deposit Amount]]-Table334[[#This Row],[Account Withdrawl Amount]], )</f>
        <v>0</v>
      </c>
      <c r="P16" s="243">
        <f>IF(Table334[[#This Row],[Category]]="Insignia",Table334[[#This Row],[Account Deposit Amount]]-Table334[[#This Row],[Account Withdrawl Amount]], )</f>
        <v>0</v>
      </c>
      <c r="Q16" s="243">
        <f>IF(Table334[[#This Row],[Category]]="Activities/Program",Table334[[#This Row],[Account Deposit Amount]]-Table334[[#This Row],[Account Withdrawl Amount]], )</f>
        <v>7.41</v>
      </c>
      <c r="R16" s="243">
        <f>IF(Table334[[#This Row],[Category]]="Travel",Table334[[#This Row],[Account Deposit Amount]]-Table334[[#This Row],[Account Withdrawl Amount]], )</f>
        <v>0</v>
      </c>
      <c r="S16" s="243">
        <f>IF(Table334[[#This Row],[Category]]="Parties Food &amp; Beverages",Table334[[#This Row],[Account Deposit Amount]]-Table334[[#This Row],[Account Withdrawl Amount]], )</f>
        <v>0</v>
      </c>
      <c r="T16" s="243">
        <f>IF(Table334[[#This Row],[Category]]="Service Projects Donation",Table334[[#This Row],[Account Deposit Amount]]-Table334[[#This Row],[Account Withdrawl Amount]], )</f>
        <v>0</v>
      </c>
      <c r="U16" s="243">
        <f>IF(Table334[[#This Row],[Category]]="Cookie Debt",Table334[[#This Row],[Account Deposit Amount]]-Table334[[#This Row],[Account Withdrawl Amount]], )</f>
        <v>0</v>
      </c>
      <c r="V16" s="243">
        <f>IF(Table334[[#This Row],[Category]]="Other Expense",Table334[[#This Row],[Account Deposit Amount]]-Table334[[#This Row],[Account Withdrawl Amount]], )</f>
        <v>0</v>
      </c>
    </row>
    <row r="17" spans="1:22">
      <c r="A17" s="261" t="s">
        <v>513</v>
      </c>
      <c r="B17" s="249">
        <v>45433</v>
      </c>
      <c r="C17" s="247" t="s">
        <v>514</v>
      </c>
      <c r="D17" s="247" t="s">
        <v>515</v>
      </c>
      <c r="E17" s="250"/>
      <c r="F17" s="251">
        <v>26.5</v>
      </c>
      <c r="G17" s="243">
        <f t="shared" si="2"/>
        <v>3261.12</v>
      </c>
      <c r="H17" s="247" t="s">
        <v>67</v>
      </c>
      <c r="I17" s="243">
        <f>IF(Table334[[#This Row],[Category]]="Fall Product",Table334[[#This Row],[Account Deposit Amount]]-Table334[[#This Row],[Account Withdrawl Amount]], )</f>
        <v>0</v>
      </c>
      <c r="J17" s="243">
        <f>IF(Table334[[#This Row],[Category]]="Cookies",Table334[[#This Row],[Account Deposit Amount]]-Table334[[#This Row],[Account Withdrawl Amount]], )</f>
        <v>0</v>
      </c>
      <c r="K17" s="243">
        <f>IF(Table334[[#This Row],[Category]]="Additional Money Earning Activities",Table334[[#This Row],[Account Deposit Amount]]-Table334[[#This Row],[Account Withdrawl Amount]], )</f>
        <v>0</v>
      </c>
      <c r="L17" s="243">
        <f>IF(Table334[[#This Row],[Category]]="Sponsorships",Table334[[#This Row],[Account Deposit Amount]]-Table334[[#This Row],[Account Withdrawl Amount]], )</f>
        <v>0</v>
      </c>
      <c r="M17" s="243">
        <f>IF(Table334[[#This Row],[Category]]="Troop Dues",Table334[[#This Row],[Account Deposit Amount]]-Table334[[#This Row],[Account Withdrawl Amount]], )</f>
        <v>0</v>
      </c>
      <c r="N17" s="243">
        <f>IF(Table334[[#This Row],[Category]]="Other Income",Table334[[#This Row],[Account Deposit Amount]]-Table334[[#This Row],[Account Withdrawl Amount]], )</f>
        <v>0</v>
      </c>
      <c r="O17" s="243">
        <f>IF(Table334[[#This Row],[Category]]="Registration",Table334[[#This Row],[Account Deposit Amount]]-Table334[[#This Row],[Account Withdrawl Amount]], )</f>
        <v>0</v>
      </c>
      <c r="P17" s="243">
        <f>IF(Table334[[#This Row],[Category]]="Insignia",Table334[[#This Row],[Account Deposit Amount]]-Table334[[#This Row],[Account Withdrawl Amount]], )</f>
        <v>-26.5</v>
      </c>
      <c r="Q17" s="243">
        <f>IF(Table334[[#This Row],[Category]]="Activities/Program",Table334[[#This Row],[Account Deposit Amount]]-Table334[[#This Row],[Account Withdrawl Amount]], )</f>
        <v>0</v>
      </c>
      <c r="R17" s="243">
        <f>IF(Table334[[#This Row],[Category]]="Travel",Table334[[#This Row],[Account Deposit Amount]]-Table334[[#This Row],[Account Withdrawl Amount]], )</f>
        <v>0</v>
      </c>
      <c r="S17" s="243">
        <f>IF(Table334[[#This Row],[Category]]="Parties Food &amp; Beverages",Table334[[#This Row],[Account Deposit Amount]]-Table334[[#This Row],[Account Withdrawl Amount]], )</f>
        <v>0</v>
      </c>
      <c r="T17" s="243">
        <f>IF(Table334[[#This Row],[Category]]="Service Projects Donation",Table334[[#This Row],[Account Deposit Amount]]-Table334[[#This Row],[Account Withdrawl Amount]], )</f>
        <v>0</v>
      </c>
      <c r="U17" s="243">
        <f>IF(Table334[[#This Row],[Category]]="Cookie Debt",Table334[[#This Row],[Account Deposit Amount]]-Table334[[#This Row],[Account Withdrawl Amount]], )</f>
        <v>0</v>
      </c>
      <c r="V17" s="243">
        <f>IF(Table334[[#This Row],[Category]]="Other Expense",Table334[[#This Row],[Account Deposit Amount]]-Table334[[#This Row],[Account Withdrawl Amount]], )</f>
        <v>0</v>
      </c>
    </row>
    <row r="18" spans="1:22">
      <c r="A18" s="245" t="s">
        <v>513</v>
      </c>
      <c r="B18" s="263">
        <v>45434</v>
      </c>
      <c r="C18" s="264" t="s">
        <v>532</v>
      </c>
      <c r="D18" s="265" t="s">
        <v>524</v>
      </c>
      <c r="E18" s="264"/>
      <c r="F18" s="264">
        <v>3.26</v>
      </c>
      <c r="G18" s="243">
        <f t="shared" si="2"/>
        <v>3257.8599999999997</v>
      </c>
      <c r="H18" s="224" t="s">
        <v>136</v>
      </c>
      <c r="I18" s="243">
        <f>IF(Table334[[#This Row],[Category]]="Fall Product",Table334[[#This Row],[Account Deposit Amount]]-Table334[[#This Row],[Account Withdrawl Amount]], )</f>
        <v>0</v>
      </c>
      <c r="J18" s="243">
        <f>IF(Table334[[#This Row],[Category]]="Cookies",Table334[[#This Row],[Account Deposit Amount]]-Table334[[#This Row],[Account Withdrawl Amount]], )</f>
        <v>0</v>
      </c>
      <c r="K18" s="243">
        <f>IF(Table334[[#This Row],[Category]]="Additional Money Earning Activities",Table334[[#This Row],[Account Deposit Amount]]-Table334[[#This Row],[Account Withdrawl Amount]], )</f>
        <v>0</v>
      </c>
      <c r="L18" s="243">
        <f>IF(Table334[[#This Row],[Category]]="Sponsorships",Table334[[#This Row],[Account Deposit Amount]]-Table334[[#This Row],[Account Withdrawl Amount]], )</f>
        <v>0</v>
      </c>
      <c r="M18" s="243">
        <f>IF(Table334[[#This Row],[Category]]="Troop Dues",Table334[[#This Row],[Account Deposit Amount]]-Table334[[#This Row],[Account Withdrawl Amount]], )</f>
        <v>0</v>
      </c>
      <c r="N18" s="243">
        <f>IF(Table334[[#This Row],[Category]]="Other Income",Table334[[#This Row],[Account Deposit Amount]]-Table334[[#This Row],[Account Withdrawl Amount]], )</f>
        <v>0</v>
      </c>
      <c r="O18" s="243">
        <f>IF(Table334[[#This Row],[Category]]="Registration",Table334[[#This Row],[Account Deposit Amount]]-Table334[[#This Row],[Account Withdrawl Amount]], )</f>
        <v>0</v>
      </c>
      <c r="P18" s="243">
        <f>IF(Table334[[#This Row],[Category]]="Insignia",Table334[[#This Row],[Account Deposit Amount]]-Table334[[#This Row],[Account Withdrawl Amount]], )</f>
        <v>0</v>
      </c>
      <c r="Q18" s="243">
        <f>IF(Table334[[#This Row],[Category]]="Activities/Program",Table334[[#This Row],[Account Deposit Amount]]-Table334[[#This Row],[Account Withdrawl Amount]], )</f>
        <v>-3.26</v>
      </c>
      <c r="R18" s="243">
        <f>IF(Table334[[#This Row],[Category]]="Travel",Table334[[#This Row],[Account Deposit Amount]]-Table334[[#This Row],[Account Withdrawl Amount]], )</f>
        <v>0</v>
      </c>
      <c r="S18" s="243">
        <f>IF(Table334[[#This Row],[Category]]="Parties Food &amp; Beverages",Table334[[#This Row],[Account Deposit Amount]]-Table334[[#This Row],[Account Withdrawl Amount]], )</f>
        <v>0</v>
      </c>
      <c r="T18" s="243">
        <f>IF(Table334[[#This Row],[Category]]="Service Projects Donation",Table334[[#This Row],[Account Deposit Amount]]-Table334[[#This Row],[Account Withdrawl Amount]], )</f>
        <v>0</v>
      </c>
      <c r="U18" s="243">
        <f>IF(Table334[[#This Row],[Category]]="Cookie Debt",Table334[[#This Row],[Account Deposit Amount]]-Table334[[#This Row],[Account Withdrawl Amount]], )</f>
        <v>0</v>
      </c>
      <c r="V18" s="243">
        <f>IF(Table334[[#This Row],[Category]]="Other Expense",Table334[[#This Row],[Account Deposit Amount]]-Table334[[#This Row],[Account Withdrawl Amount]], )</f>
        <v>0</v>
      </c>
    </row>
    <row r="19" spans="1:22" ht="27.6">
      <c r="A19" s="261" t="s">
        <v>513</v>
      </c>
      <c r="B19" s="249">
        <v>45434</v>
      </c>
      <c r="C19" s="247" t="s">
        <v>276</v>
      </c>
      <c r="D19" s="247" t="s">
        <v>533</v>
      </c>
      <c r="E19" s="250">
        <v>55</v>
      </c>
      <c r="F19" s="251"/>
      <c r="G19" s="243">
        <f t="shared" si="2"/>
        <v>3312.8599999999997</v>
      </c>
      <c r="H19" s="247" t="s">
        <v>136</v>
      </c>
      <c r="I19" s="243">
        <f>IF(Table334[[#This Row],[Category]]="Fall Product",Table334[[#This Row],[Account Deposit Amount]]-Table334[[#This Row],[Account Withdrawl Amount]], )</f>
        <v>0</v>
      </c>
      <c r="J19" s="243">
        <f>IF(Table334[[#This Row],[Category]]="Cookies",Table334[[#This Row],[Account Deposit Amount]]-Table334[[#This Row],[Account Withdrawl Amount]], )</f>
        <v>0</v>
      </c>
      <c r="K19" s="243">
        <f>IF(Table334[[#This Row],[Category]]="Additional Money Earning Activities",Table334[[#This Row],[Account Deposit Amount]]-Table334[[#This Row],[Account Withdrawl Amount]], )</f>
        <v>0</v>
      </c>
      <c r="L19" s="243">
        <f>IF(Table334[[#This Row],[Category]]="Sponsorships",Table334[[#This Row],[Account Deposit Amount]]-Table334[[#This Row],[Account Withdrawl Amount]], )</f>
        <v>0</v>
      </c>
      <c r="M19" s="243">
        <f>IF(Table334[[#This Row],[Category]]="Troop Dues",Table334[[#This Row],[Account Deposit Amount]]-Table334[[#This Row],[Account Withdrawl Amount]], )</f>
        <v>0</v>
      </c>
      <c r="N19" s="243">
        <f>IF(Table334[[#This Row],[Category]]="Other Income",Table334[[#This Row],[Account Deposit Amount]]-Table334[[#This Row],[Account Withdrawl Amount]], )</f>
        <v>0</v>
      </c>
      <c r="O19" s="243">
        <f>IF(Table334[[#This Row],[Category]]="Registration",Table334[[#This Row],[Account Deposit Amount]]-Table334[[#This Row],[Account Withdrawl Amount]], )</f>
        <v>0</v>
      </c>
      <c r="P19" s="243">
        <f>IF(Table334[[#This Row],[Category]]="Insignia",Table334[[#This Row],[Account Deposit Amount]]-Table334[[#This Row],[Account Withdrawl Amount]], )</f>
        <v>0</v>
      </c>
      <c r="Q19" s="243">
        <f>IF(Table334[[#This Row],[Category]]="Activities/Program",Table334[[#This Row],[Account Deposit Amount]]-Table334[[#This Row],[Account Withdrawl Amount]], )</f>
        <v>55</v>
      </c>
      <c r="R19" s="243">
        <f>IF(Table334[[#This Row],[Category]]="Travel",Table334[[#This Row],[Account Deposit Amount]]-Table334[[#This Row],[Account Withdrawl Amount]], )</f>
        <v>0</v>
      </c>
      <c r="S19" s="243">
        <f>IF(Table334[[#This Row],[Category]]="Parties Food &amp; Beverages",Table334[[#This Row],[Account Deposit Amount]]-Table334[[#This Row],[Account Withdrawl Amount]], )</f>
        <v>0</v>
      </c>
      <c r="T19" s="243">
        <f>IF(Table334[[#This Row],[Category]]="Service Projects Donation",Table334[[#This Row],[Account Deposit Amount]]-Table334[[#This Row],[Account Withdrawl Amount]], )</f>
        <v>0</v>
      </c>
      <c r="U19" s="243">
        <f>IF(Table334[[#This Row],[Category]]="Cookie Debt",Table334[[#This Row],[Account Deposit Amount]]-Table334[[#This Row],[Account Withdrawl Amount]], )</f>
        <v>0</v>
      </c>
      <c r="V19" s="243">
        <f>IF(Table334[[#This Row],[Category]]="Other Expense",Table334[[#This Row],[Account Deposit Amount]]-Table334[[#This Row],[Account Withdrawl Amount]], )</f>
        <v>0</v>
      </c>
    </row>
    <row r="20" spans="1:22">
      <c r="A20" s="245" t="s">
        <v>513</v>
      </c>
      <c r="B20" s="263">
        <v>45434</v>
      </c>
      <c r="C20" s="264" t="s">
        <v>276</v>
      </c>
      <c r="D20" s="265" t="s">
        <v>534</v>
      </c>
      <c r="E20" s="264">
        <v>100</v>
      </c>
      <c r="F20" s="264"/>
      <c r="G20" s="243">
        <f t="shared" si="2"/>
        <v>3412.8599999999997</v>
      </c>
      <c r="H20" s="224" t="s">
        <v>136</v>
      </c>
      <c r="I20" s="243">
        <f>IF(Table334[[#This Row],[Category]]="Fall Product",Table334[[#This Row],[Account Deposit Amount]]-Table334[[#This Row],[Account Withdrawl Amount]], )</f>
        <v>0</v>
      </c>
      <c r="J20" s="243">
        <f>IF(Table334[[#This Row],[Category]]="Cookies",Table334[[#This Row],[Account Deposit Amount]]-Table334[[#This Row],[Account Withdrawl Amount]], )</f>
        <v>0</v>
      </c>
      <c r="K20" s="243">
        <f>IF(Table334[[#This Row],[Category]]="Additional Money Earning Activities",Table334[[#This Row],[Account Deposit Amount]]-Table334[[#This Row],[Account Withdrawl Amount]], )</f>
        <v>0</v>
      </c>
      <c r="L20" s="243">
        <f>IF(Table334[[#This Row],[Category]]="Sponsorships",Table334[[#This Row],[Account Deposit Amount]]-Table334[[#This Row],[Account Withdrawl Amount]], )</f>
        <v>0</v>
      </c>
      <c r="M20" s="243">
        <f>IF(Table334[[#This Row],[Category]]="Troop Dues",Table334[[#This Row],[Account Deposit Amount]]-Table334[[#This Row],[Account Withdrawl Amount]], )</f>
        <v>0</v>
      </c>
      <c r="N20" s="243">
        <f>IF(Table334[[#This Row],[Category]]="Other Income",Table334[[#This Row],[Account Deposit Amount]]-Table334[[#This Row],[Account Withdrawl Amount]], )</f>
        <v>0</v>
      </c>
      <c r="O20" s="243">
        <f>IF(Table334[[#This Row],[Category]]="Registration",Table334[[#This Row],[Account Deposit Amount]]-Table334[[#This Row],[Account Withdrawl Amount]], )</f>
        <v>0</v>
      </c>
      <c r="P20" s="243">
        <f>IF(Table334[[#This Row],[Category]]="Insignia",Table334[[#This Row],[Account Deposit Amount]]-Table334[[#This Row],[Account Withdrawl Amount]], )</f>
        <v>0</v>
      </c>
      <c r="Q20" s="243">
        <f>IF(Table334[[#This Row],[Category]]="Activities/Program",Table334[[#This Row],[Account Deposit Amount]]-Table334[[#This Row],[Account Withdrawl Amount]], )</f>
        <v>100</v>
      </c>
      <c r="R20" s="243">
        <f>IF(Table334[[#This Row],[Category]]="Travel",Table334[[#This Row],[Account Deposit Amount]]-Table334[[#This Row],[Account Withdrawl Amount]], )</f>
        <v>0</v>
      </c>
      <c r="S20" s="243">
        <f>IF(Table334[[#This Row],[Category]]="Parties Food &amp; Beverages",Table334[[#This Row],[Account Deposit Amount]]-Table334[[#This Row],[Account Withdrawl Amount]], )</f>
        <v>0</v>
      </c>
      <c r="T20" s="243">
        <f>IF(Table334[[#This Row],[Category]]="Service Projects Donation",Table334[[#This Row],[Account Deposit Amount]]-Table334[[#This Row],[Account Withdrawl Amount]], )</f>
        <v>0</v>
      </c>
      <c r="U20" s="243">
        <f>IF(Table334[[#This Row],[Category]]="Cookie Debt",Table334[[#This Row],[Account Deposit Amount]]-Table334[[#This Row],[Account Withdrawl Amount]], )</f>
        <v>0</v>
      </c>
      <c r="V20" s="243">
        <f>IF(Table334[[#This Row],[Category]]="Other Expense",Table334[[#This Row],[Account Deposit Amount]]-Table334[[#This Row],[Account Withdrawl Amount]], )</f>
        <v>0</v>
      </c>
    </row>
    <row r="21" spans="1:22">
      <c r="A21" s="261" t="s">
        <v>513</v>
      </c>
      <c r="B21" s="249">
        <v>45435</v>
      </c>
      <c r="C21" s="247" t="s">
        <v>228</v>
      </c>
      <c r="D21" s="247" t="s">
        <v>535</v>
      </c>
      <c r="E21" s="250"/>
      <c r="F21" s="251">
        <v>12.69</v>
      </c>
      <c r="G21" s="243">
        <f t="shared" si="2"/>
        <v>3400.1699999999996</v>
      </c>
      <c r="H21" s="247" t="s">
        <v>136</v>
      </c>
      <c r="I21" s="243">
        <f>IF(Table334[[#This Row],[Category]]="Fall Product",Table334[[#This Row],[Account Deposit Amount]]-Table334[[#This Row],[Account Withdrawl Amount]], )</f>
        <v>0</v>
      </c>
      <c r="J21" s="243">
        <f>IF(Table334[[#This Row],[Category]]="Cookies",Table334[[#This Row],[Account Deposit Amount]]-Table334[[#This Row],[Account Withdrawl Amount]], )</f>
        <v>0</v>
      </c>
      <c r="K21" s="243">
        <f>IF(Table334[[#This Row],[Category]]="Additional Money Earning Activities",Table334[[#This Row],[Account Deposit Amount]]-Table334[[#This Row],[Account Withdrawl Amount]], )</f>
        <v>0</v>
      </c>
      <c r="L21" s="243">
        <f>IF(Table334[[#This Row],[Category]]="Sponsorships",Table334[[#This Row],[Account Deposit Amount]]-Table334[[#This Row],[Account Withdrawl Amount]], )</f>
        <v>0</v>
      </c>
      <c r="M21" s="243">
        <f>IF(Table334[[#This Row],[Category]]="Troop Dues",Table334[[#This Row],[Account Deposit Amount]]-Table334[[#This Row],[Account Withdrawl Amount]], )</f>
        <v>0</v>
      </c>
      <c r="N21" s="243">
        <f>IF(Table334[[#This Row],[Category]]="Other Income",Table334[[#This Row],[Account Deposit Amount]]-Table334[[#This Row],[Account Withdrawl Amount]], )</f>
        <v>0</v>
      </c>
      <c r="O21" s="243">
        <f>IF(Table334[[#This Row],[Category]]="Registration",Table334[[#This Row],[Account Deposit Amount]]-Table334[[#This Row],[Account Withdrawl Amount]], )</f>
        <v>0</v>
      </c>
      <c r="P21" s="243">
        <f>IF(Table334[[#This Row],[Category]]="Insignia",Table334[[#This Row],[Account Deposit Amount]]-Table334[[#This Row],[Account Withdrawl Amount]], )</f>
        <v>0</v>
      </c>
      <c r="Q21" s="243">
        <f>IF(Table334[[#This Row],[Category]]="Activities/Program",Table334[[#This Row],[Account Deposit Amount]]-Table334[[#This Row],[Account Withdrawl Amount]], )</f>
        <v>-12.69</v>
      </c>
      <c r="R21" s="243">
        <f>IF(Table334[[#This Row],[Category]]="Travel",Table334[[#This Row],[Account Deposit Amount]]-Table334[[#This Row],[Account Withdrawl Amount]], )</f>
        <v>0</v>
      </c>
      <c r="S21" s="243">
        <f>IF(Table334[[#This Row],[Category]]="Parties Food &amp; Beverages",Table334[[#This Row],[Account Deposit Amount]]-Table334[[#This Row],[Account Withdrawl Amount]], )</f>
        <v>0</v>
      </c>
      <c r="T21" s="243">
        <f>IF(Table334[[#This Row],[Category]]="Service Projects Donation",Table334[[#This Row],[Account Deposit Amount]]-Table334[[#This Row],[Account Withdrawl Amount]], )</f>
        <v>0</v>
      </c>
      <c r="U21" s="243">
        <f>IF(Table334[[#This Row],[Category]]="Cookie Debt",Table334[[#This Row],[Account Deposit Amount]]-Table334[[#This Row],[Account Withdrawl Amount]], )</f>
        <v>0</v>
      </c>
      <c r="V21" s="243">
        <f>IF(Table334[[#This Row],[Category]]="Other Expense",Table334[[#This Row],[Account Deposit Amount]]-Table334[[#This Row],[Account Withdrawl Amount]], )</f>
        <v>0</v>
      </c>
    </row>
    <row r="22" spans="1:22">
      <c r="A22" s="245" t="s">
        <v>513</v>
      </c>
      <c r="B22" s="263">
        <v>45435</v>
      </c>
      <c r="C22" s="264" t="s">
        <v>536</v>
      </c>
      <c r="D22" s="265" t="s">
        <v>515</v>
      </c>
      <c r="E22" s="264"/>
      <c r="F22" s="264">
        <v>22.53</v>
      </c>
      <c r="G22" s="243">
        <f t="shared" si="2"/>
        <v>3377.6399999999994</v>
      </c>
      <c r="H22" s="224" t="s">
        <v>67</v>
      </c>
      <c r="I22" s="243">
        <f>IF(Table334[[#This Row],[Category]]="Fall Product",Table334[[#This Row],[Account Deposit Amount]]-Table334[[#This Row],[Account Withdrawl Amount]], )</f>
        <v>0</v>
      </c>
      <c r="J22" s="243">
        <f>IF(Table334[[#This Row],[Category]]="Cookies",Table334[[#This Row],[Account Deposit Amount]]-Table334[[#This Row],[Account Withdrawl Amount]], )</f>
        <v>0</v>
      </c>
      <c r="K22" s="243">
        <f>IF(Table334[[#This Row],[Category]]="Additional Money Earning Activities",Table334[[#This Row],[Account Deposit Amount]]-Table334[[#This Row],[Account Withdrawl Amount]], )</f>
        <v>0</v>
      </c>
      <c r="L22" s="243">
        <f>IF(Table334[[#This Row],[Category]]="Sponsorships",Table334[[#This Row],[Account Deposit Amount]]-Table334[[#This Row],[Account Withdrawl Amount]], )</f>
        <v>0</v>
      </c>
      <c r="M22" s="243">
        <f>IF(Table334[[#This Row],[Category]]="Troop Dues",Table334[[#This Row],[Account Deposit Amount]]-Table334[[#This Row],[Account Withdrawl Amount]], )</f>
        <v>0</v>
      </c>
      <c r="N22" s="243">
        <f>IF(Table334[[#This Row],[Category]]="Other Income",Table334[[#This Row],[Account Deposit Amount]]-Table334[[#This Row],[Account Withdrawl Amount]], )</f>
        <v>0</v>
      </c>
      <c r="O22" s="243">
        <f>IF(Table334[[#This Row],[Category]]="Registration",Table334[[#This Row],[Account Deposit Amount]]-Table334[[#This Row],[Account Withdrawl Amount]], )</f>
        <v>0</v>
      </c>
      <c r="P22" s="243">
        <f>IF(Table334[[#This Row],[Category]]="Insignia",Table334[[#This Row],[Account Deposit Amount]]-Table334[[#This Row],[Account Withdrawl Amount]], )</f>
        <v>-22.53</v>
      </c>
      <c r="Q22" s="243">
        <f>IF(Table334[[#This Row],[Category]]="Activities/Program",Table334[[#This Row],[Account Deposit Amount]]-Table334[[#This Row],[Account Withdrawl Amount]], )</f>
        <v>0</v>
      </c>
      <c r="R22" s="243">
        <f>IF(Table334[[#This Row],[Category]]="Travel",Table334[[#This Row],[Account Deposit Amount]]-Table334[[#This Row],[Account Withdrawl Amount]], )</f>
        <v>0</v>
      </c>
      <c r="S22" s="243">
        <f>IF(Table334[[#This Row],[Category]]="Parties Food &amp; Beverages",Table334[[#This Row],[Account Deposit Amount]]-Table334[[#This Row],[Account Withdrawl Amount]], )</f>
        <v>0</v>
      </c>
      <c r="T22" s="243">
        <f>IF(Table334[[#This Row],[Category]]="Service Projects Donation",Table334[[#This Row],[Account Deposit Amount]]-Table334[[#This Row],[Account Withdrawl Amount]], )</f>
        <v>0</v>
      </c>
      <c r="U22" s="243">
        <f>IF(Table334[[#This Row],[Category]]="Cookie Debt",Table334[[#This Row],[Account Deposit Amount]]-Table334[[#This Row],[Account Withdrawl Amount]], )</f>
        <v>0</v>
      </c>
      <c r="V22" s="243">
        <f>IF(Table334[[#This Row],[Category]]="Other Expense",Table334[[#This Row],[Account Deposit Amount]]-Table334[[#This Row],[Account Withdrawl Amount]], )</f>
        <v>0</v>
      </c>
    </row>
    <row r="23" spans="1:22">
      <c r="A23" s="261" t="s">
        <v>513</v>
      </c>
      <c r="B23" s="249">
        <v>45436</v>
      </c>
      <c r="C23" s="247" t="s">
        <v>514</v>
      </c>
      <c r="D23" s="247" t="s">
        <v>537</v>
      </c>
      <c r="E23" s="250"/>
      <c r="F23" s="251">
        <v>25</v>
      </c>
      <c r="G23" s="243">
        <f t="shared" si="2"/>
        <v>3352.6399999999994</v>
      </c>
      <c r="H23" s="247" t="s">
        <v>66</v>
      </c>
      <c r="I23" s="243">
        <f>IF(Table334[[#This Row],[Category]]="Fall Product",Table334[[#This Row],[Account Deposit Amount]]-Table334[[#This Row],[Account Withdrawl Amount]], )</f>
        <v>0</v>
      </c>
      <c r="J23" s="243">
        <f>IF(Table334[[#This Row],[Category]]="Cookies",Table334[[#This Row],[Account Deposit Amount]]-Table334[[#This Row],[Account Withdrawl Amount]], )</f>
        <v>0</v>
      </c>
      <c r="K23" s="243">
        <f>IF(Table334[[#This Row],[Category]]="Additional Money Earning Activities",Table334[[#This Row],[Account Deposit Amount]]-Table334[[#This Row],[Account Withdrawl Amount]], )</f>
        <v>0</v>
      </c>
      <c r="L23" s="243">
        <f>IF(Table334[[#This Row],[Category]]="Sponsorships",Table334[[#This Row],[Account Deposit Amount]]-Table334[[#This Row],[Account Withdrawl Amount]], )</f>
        <v>0</v>
      </c>
      <c r="M23" s="243">
        <f>IF(Table334[[#This Row],[Category]]="Troop Dues",Table334[[#This Row],[Account Deposit Amount]]-Table334[[#This Row],[Account Withdrawl Amount]], )</f>
        <v>0</v>
      </c>
      <c r="N23" s="243">
        <f>IF(Table334[[#This Row],[Category]]="Other Income",Table334[[#This Row],[Account Deposit Amount]]-Table334[[#This Row],[Account Withdrawl Amount]], )</f>
        <v>0</v>
      </c>
      <c r="O23" s="243">
        <f>IF(Table334[[#This Row],[Category]]="Registration",Table334[[#This Row],[Account Deposit Amount]]-Table334[[#This Row],[Account Withdrawl Amount]], )</f>
        <v>-25</v>
      </c>
      <c r="P23" s="243">
        <f>IF(Table334[[#This Row],[Category]]="Insignia",Table334[[#This Row],[Account Deposit Amount]]-Table334[[#This Row],[Account Withdrawl Amount]], )</f>
        <v>0</v>
      </c>
      <c r="Q23" s="243">
        <f>IF(Table334[[#This Row],[Category]]="Activities/Program",Table334[[#This Row],[Account Deposit Amount]]-Table334[[#This Row],[Account Withdrawl Amount]], )</f>
        <v>0</v>
      </c>
      <c r="R23" s="243">
        <f>IF(Table334[[#This Row],[Category]]="Travel",Table334[[#This Row],[Account Deposit Amount]]-Table334[[#This Row],[Account Withdrawl Amount]], )</f>
        <v>0</v>
      </c>
      <c r="S23" s="243">
        <f>IF(Table334[[#This Row],[Category]]="Parties Food &amp; Beverages",Table334[[#This Row],[Account Deposit Amount]]-Table334[[#This Row],[Account Withdrawl Amount]], )</f>
        <v>0</v>
      </c>
      <c r="T23" s="243">
        <f>IF(Table334[[#This Row],[Category]]="Service Projects Donation",Table334[[#This Row],[Account Deposit Amount]]-Table334[[#This Row],[Account Withdrawl Amount]], )</f>
        <v>0</v>
      </c>
      <c r="U23" s="243">
        <f>IF(Table334[[#This Row],[Category]]="Cookie Debt",Table334[[#This Row],[Account Deposit Amount]]-Table334[[#This Row],[Account Withdrawl Amount]], )</f>
        <v>0</v>
      </c>
      <c r="V23" s="243">
        <f>IF(Table334[[#This Row],[Category]]="Other Expense",Table334[[#This Row],[Account Deposit Amount]]-Table334[[#This Row],[Account Withdrawl Amount]], )</f>
        <v>0</v>
      </c>
    </row>
    <row r="24" spans="1:22">
      <c r="A24" s="245" t="s">
        <v>513</v>
      </c>
      <c r="B24" s="263">
        <v>45437</v>
      </c>
      <c r="C24" s="264" t="s">
        <v>538</v>
      </c>
      <c r="D24" s="265" t="s">
        <v>539</v>
      </c>
      <c r="E24" s="264"/>
      <c r="F24" s="264">
        <v>56</v>
      </c>
      <c r="G24" s="243">
        <f t="shared" si="2"/>
        <v>3296.6399999999994</v>
      </c>
      <c r="H24" s="224" t="s">
        <v>136</v>
      </c>
      <c r="I24" s="243">
        <f>IF(Table334[[#This Row],[Category]]="Fall Product",Table334[[#This Row],[Account Deposit Amount]]-Table334[[#This Row],[Account Withdrawl Amount]], )</f>
        <v>0</v>
      </c>
      <c r="J24" s="243">
        <f>IF(Table334[[#This Row],[Category]]="Cookies",Table334[[#This Row],[Account Deposit Amount]]-Table334[[#This Row],[Account Withdrawl Amount]], )</f>
        <v>0</v>
      </c>
      <c r="K24" s="243">
        <f>IF(Table334[[#This Row],[Category]]="Additional Money Earning Activities",Table334[[#This Row],[Account Deposit Amount]]-Table334[[#This Row],[Account Withdrawl Amount]], )</f>
        <v>0</v>
      </c>
      <c r="L24" s="243">
        <f>IF(Table334[[#This Row],[Category]]="Sponsorships",Table334[[#This Row],[Account Deposit Amount]]-Table334[[#This Row],[Account Withdrawl Amount]], )</f>
        <v>0</v>
      </c>
      <c r="M24" s="243">
        <f>IF(Table334[[#This Row],[Category]]="Troop Dues",Table334[[#This Row],[Account Deposit Amount]]-Table334[[#This Row],[Account Withdrawl Amount]], )</f>
        <v>0</v>
      </c>
      <c r="N24" s="243">
        <f>IF(Table334[[#This Row],[Category]]="Other Income",Table334[[#This Row],[Account Deposit Amount]]-Table334[[#This Row],[Account Withdrawl Amount]], )</f>
        <v>0</v>
      </c>
      <c r="O24" s="243">
        <f>IF(Table334[[#This Row],[Category]]="Registration",Table334[[#This Row],[Account Deposit Amount]]-Table334[[#This Row],[Account Withdrawl Amount]], )</f>
        <v>0</v>
      </c>
      <c r="P24" s="243">
        <f>IF(Table334[[#This Row],[Category]]="Insignia",Table334[[#This Row],[Account Deposit Amount]]-Table334[[#This Row],[Account Withdrawl Amount]], )</f>
        <v>0</v>
      </c>
      <c r="Q24" s="243">
        <f>IF(Table334[[#This Row],[Category]]="Activities/Program",Table334[[#This Row],[Account Deposit Amount]]-Table334[[#This Row],[Account Withdrawl Amount]], )</f>
        <v>-56</v>
      </c>
      <c r="R24" s="243">
        <f>IF(Table334[[#This Row],[Category]]="Travel",Table334[[#This Row],[Account Deposit Amount]]-Table334[[#This Row],[Account Withdrawl Amount]], )</f>
        <v>0</v>
      </c>
      <c r="S24" s="243">
        <f>IF(Table334[[#This Row],[Category]]="Parties Food &amp; Beverages",Table334[[#This Row],[Account Deposit Amount]]-Table334[[#This Row],[Account Withdrawl Amount]], )</f>
        <v>0</v>
      </c>
      <c r="T24" s="243">
        <f>IF(Table334[[#This Row],[Category]]="Service Projects Donation",Table334[[#This Row],[Account Deposit Amount]]-Table334[[#This Row],[Account Withdrawl Amount]], )</f>
        <v>0</v>
      </c>
      <c r="U24" s="243">
        <f>IF(Table334[[#This Row],[Category]]="Cookie Debt",Table334[[#This Row],[Account Deposit Amount]]-Table334[[#This Row],[Account Withdrawl Amount]], )</f>
        <v>0</v>
      </c>
      <c r="V24" s="243">
        <f>IF(Table334[[#This Row],[Category]]="Other Expense",Table334[[#This Row],[Account Deposit Amount]]-Table334[[#This Row],[Account Withdrawl Amount]], )</f>
        <v>0</v>
      </c>
    </row>
    <row r="25" spans="1:22">
      <c r="A25" s="261" t="s">
        <v>513</v>
      </c>
      <c r="B25" s="249">
        <v>45440</v>
      </c>
      <c r="C25" s="247" t="s">
        <v>516</v>
      </c>
      <c r="D25" s="247" t="s">
        <v>540</v>
      </c>
      <c r="E25" s="250"/>
      <c r="F25" s="251">
        <v>42.38</v>
      </c>
      <c r="G25" s="243">
        <f t="shared" si="2"/>
        <v>3254.2599999999993</v>
      </c>
      <c r="H25" s="247" t="s">
        <v>136</v>
      </c>
      <c r="I25" s="243">
        <f>IF(Table334[[#This Row],[Category]]="Fall Product",Table334[[#This Row],[Account Deposit Amount]]-Table334[[#This Row],[Account Withdrawl Amount]], )</f>
        <v>0</v>
      </c>
      <c r="J25" s="243">
        <f>IF(Table334[[#This Row],[Category]]="Cookies",Table334[[#This Row],[Account Deposit Amount]]-Table334[[#This Row],[Account Withdrawl Amount]], )</f>
        <v>0</v>
      </c>
      <c r="K25" s="243">
        <f>IF(Table334[[#This Row],[Category]]="Additional Money Earning Activities",Table334[[#This Row],[Account Deposit Amount]]-Table334[[#This Row],[Account Withdrawl Amount]], )</f>
        <v>0</v>
      </c>
      <c r="L25" s="243">
        <f>IF(Table334[[#This Row],[Category]]="Sponsorships",Table334[[#This Row],[Account Deposit Amount]]-Table334[[#This Row],[Account Withdrawl Amount]], )</f>
        <v>0</v>
      </c>
      <c r="M25" s="243">
        <f>IF(Table334[[#This Row],[Category]]="Troop Dues",Table334[[#This Row],[Account Deposit Amount]]-Table334[[#This Row],[Account Withdrawl Amount]], )</f>
        <v>0</v>
      </c>
      <c r="N25" s="243">
        <f>IF(Table334[[#This Row],[Category]]="Other Income",Table334[[#This Row],[Account Deposit Amount]]-Table334[[#This Row],[Account Withdrawl Amount]], )</f>
        <v>0</v>
      </c>
      <c r="O25" s="243">
        <f>IF(Table334[[#This Row],[Category]]="Registration",Table334[[#This Row],[Account Deposit Amount]]-Table334[[#This Row],[Account Withdrawl Amount]], )</f>
        <v>0</v>
      </c>
      <c r="P25" s="243">
        <f>IF(Table334[[#This Row],[Category]]="Insignia",Table334[[#This Row],[Account Deposit Amount]]-Table334[[#This Row],[Account Withdrawl Amount]], )</f>
        <v>0</v>
      </c>
      <c r="Q25" s="243">
        <f>IF(Table334[[#This Row],[Category]]="Activities/Program",Table334[[#This Row],[Account Deposit Amount]]-Table334[[#This Row],[Account Withdrawl Amount]], )</f>
        <v>-42.38</v>
      </c>
      <c r="R25" s="243">
        <f>IF(Table334[[#This Row],[Category]]="Travel",Table334[[#This Row],[Account Deposit Amount]]-Table334[[#This Row],[Account Withdrawl Amount]], )</f>
        <v>0</v>
      </c>
      <c r="S25" s="243">
        <f>IF(Table334[[#This Row],[Category]]="Parties Food &amp; Beverages",Table334[[#This Row],[Account Deposit Amount]]-Table334[[#This Row],[Account Withdrawl Amount]], )</f>
        <v>0</v>
      </c>
      <c r="T25" s="243">
        <f>IF(Table334[[#This Row],[Category]]="Service Projects Donation",Table334[[#This Row],[Account Deposit Amount]]-Table334[[#This Row],[Account Withdrawl Amount]], )</f>
        <v>0</v>
      </c>
      <c r="U25" s="243">
        <f>IF(Table334[[#This Row],[Category]]="Cookie Debt",Table334[[#This Row],[Account Deposit Amount]]-Table334[[#This Row],[Account Withdrawl Amount]], )</f>
        <v>0</v>
      </c>
      <c r="V25" s="243">
        <f>IF(Table334[[#This Row],[Category]]="Other Expense",Table334[[#This Row],[Account Deposit Amount]]-Table334[[#This Row],[Account Withdrawl Amount]], )</f>
        <v>0</v>
      </c>
    </row>
    <row r="26" spans="1:22">
      <c r="A26" s="245" t="s">
        <v>513</v>
      </c>
      <c r="B26" s="263">
        <v>45440</v>
      </c>
      <c r="C26" s="264" t="s">
        <v>287</v>
      </c>
      <c r="D26" s="265" t="s">
        <v>541</v>
      </c>
      <c r="E26" s="264"/>
      <c r="F26" s="264">
        <v>89</v>
      </c>
      <c r="G26" s="243">
        <f t="shared" si="2"/>
        <v>3165.2599999999993</v>
      </c>
      <c r="H26" s="224" t="s">
        <v>136</v>
      </c>
      <c r="I26" s="243">
        <f>IF(Table334[[#This Row],[Category]]="Fall Product",Table334[[#This Row],[Account Deposit Amount]]-Table334[[#This Row],[Account Withdrawl Amount]], )</f>
        <v>0</v>
      </c>
      <c r="J26" s="243">
        <f>IF(Table334[[#This Row],[Category]]="Cookies",Table334[[#This Row],[Account Deposit Amount]]-Table334[[#This Row],[Account Withdrawl Amount]], )</f>
        <v>0</v>
      </c>
      <c r="K26" s="243">
        <f>IF(Table334[[#This Row],[Category]]="Additional Money Earning Activities",Table334[[#This Row],[Account Deposit Amount]]-Table334[[#This Row],[Account Withdrawl Amount]], )</f>
        <v>0</v>
      </c>
      <c r="L26" s="243">
        <f>IF(Table334[[#This Row],[Category]]="Sponsorships",Table334[[#This Row],[Account Deposit Amount]]-Table334[[#This Row],[Account Withdrawl Amount]], )</f>
        <v>0</v>
      </c>
      <c r="M26" s="243">
        <f>IF(Table334[[#This Row],[Category]]="Troop Dues",Table334[[#This Row],[Account Deposit Amount]]-Table334[[#This Row],[Account Withdrawl Amount]], )</f>
        <v>0</v>
      </c>
      <c r="N26" s="243">
        <f>IF(Table334[[#This Row],[Category]]="Other Income",Table334[[#This Row],[Account Deposit Amount]]-Table334[[#This Row],[Account Withdrawl Amount]], )</f>
        <v>0</v>
      </c>
      <c r="O26" s="243">
        <f>IF(Table334[[#This Row],[Category]]="Registration",Table334[[#This Row],[Account Deposit Amount]]-Table334[[#This Row],[Account Withdrawl Amount]], )</f>
        <v>0</v>
      </c>
      <c r="P26" s="243">
        <f>IF(Table334[[#This Row],[Category]]="Insignia",Table334[[#This Row],[Account Deposit Amount]]-Table334[[#This Row],[Account Withdrawl Amount]], )</f>
        <v>0</v>
      </c>
      <c r="Q26" s="243">
        <f>IF(Table334[[#This Row],[Category]]="Activities/Program",Table334[[#This Row],[Account Deposit Amount]]-Table334[[#This Row],[Account Withdrawl Amount]], )</f>
        <v>-89</v>
      </c>
      <c r="R26" s="243">
        <f>IF(Table334[[#This Row],[Category]]="Travel",Table334[[#This Row],[Account Deposit Amount]]-Table334[[#This Row],[Account Withdrawl Amount]], )</f>
        <v>0</v>
      </c>
      <c r="S26" s="243">
        <f>IF(Table334[[#This Row],[Category]]="Parties Food &amp; Beverages",Table334[[#This Row],[Account Deposit Amount]]-Table334[[#This Row],[Account Withdrawl Amount]], )</f>
        <v>0</v>
      </c>
      <c r="T26" s="243">
        <f>IF(Table334[[#This Row],[Category]]="Service Projects Donation",Table334[[#This Row],[Account Deposit Amount]]-Table334[[#This Row],[Account Withdrawl Amount]], )</f>
        <v>0</v>
      </c>
      <c r="U26" s="243">
        <f>IF(Table334[[#This Row],[Category]]="Cookie Debt",Table334[[#This Row],[Account Deposit Amount]]-Table334[[#This Row],[Account Withdrawl Amount]], )</f>
        <v>0</v>
      </c>
      <c r="V26" s="243">
        <f>IF(Table334[[#This Row],[Category]]="Other Expense",Table334[[#This Row],[Account Deposit Amount]]-Table334[[#This Row],[Account Withdrawl Amount]], )</f>
        <v>0</v>
      </c>
    </row>
    <row r="27" spans="1:22">
      <c r="A27" s="261" t="s">
        <v>513</v>
      </c>
      <c r="B27" s="249">
        <v>45440</v>
      </c>
      <c r="C27" s="247" t="s">
        <v>516</v>
      </c>
      <c r="D27" s="247" t="s">
        <v>531</v>
      </c>
      <c r="E27" s="250">
        <v>7.41</v>
      </c>
      <c r="F27" s="251"/>
      <c r="G27" s="243">
        <f t="shared" si="2"/>
        <v>3172.6699999999992</v>
      </c>
      <c r="H27" s="247" t="s">
        <v>136</v>
      </c>
      <c r="I27" s="243">
        <f>IF(Table334[[#This Row],[Category]]="Fall Product",Table334[[#This Row],[Account Deposit Amount]]-Table334[[#This Row],[Account Withdrawl Amount]], )</f>
        <v>0</v>
      </c>
      <c r="J27" s="243">
        <f>IF(Table334[[#This Row],[Category]]="Cookies",Table334[[#This Row],[Account Deposit Amount]]-Table334[[#This Row],[Account Withdrawl Amount]], )</f>
        <v>0</v>
      </c>
      <c r="K27" s="243">
        <f>IF(Table334[[#This Row],[Category]]="Additional Money Earning Activities",Table334[[#This Row],[Account Deposit Amount]]-Table334[[#This Row],[Account Withdrawl Amount]], )</f>
        <v>0</v>
      </c>
      <c r="L27" s="243">
        <f>IF(Table334[[#This Row],[Category]]="Sponsorships",Table334[[#This Row],[Account Deposit Amount]]-Table334[[#This Row],[Account Withdrawl Amount]], )</f>
        <v>0</v>
      </c>
      <c r="M27" s="243">
        <f>IF(Table334[[#This Row],[Category]]="Troop Dues",Table334[[#This Row],[Account Deposit Amount]]-Table334[[#This Row],[Account Withdrawl Amount]], )</f>
        <v>0</v>
      </c>
      <c r="N27" s="243">
        <f>IF(Table334[[#This Row],[Category]]="Other Income",Table334[[#This Row],[Account Deposit Amount]]-Table334[[#This Row],[Account Withdrawl Amount]], )</f>
        <v>0</v>
      </c>
      <c r="O27" s="243">
        <f>IF(Table334[[#This Row],[Category]]="Registration",Table334[[#This Row],[Account Deposit Amount]]-Table334[[#This Row],[Account Withdrawl Amount]], )</f>
        <v>0</v>
      </c>
      <c r="P27" s="243">
        <f>IF(Table334[[#This Row],[Category]]="Insignia",Table334[[#This Row],[Account Deposit Amount]]-Table334[[#This Row],[Account Withdrawl Amount]], )</f>
        <v>0</v>
      </c>
      <c r="Q27" s="243">
        <f>IF(Table334[[#This Row],[Category]]="Activities/Program",Table334[[#This Row],[Account Deposit Amount]]-Table334[[#This Row],[Account Withdrawl Amount]], )</f>
        <v>7.41</v>
      </c>
      <c r="R27" s="243">
        <f>IF(Table334[[#This Row],[Category]]="Travel",Table334[[#This Row],[Account Deposit Amount]]-Table334[[#This Row],[Account Withdrawl Amount]], )</f>
        <v>0</v>
      </c>
      <c r="S27" s="243">
        <f>IF(Table334[[#This Row],[Category]]="Parties Food &amp; Beverages",Table334[[#This Row],[Account Deposit Amount]]-Table334[[#This Row],[Account Withdrawl Amount]], )</f>
        <v>0</v>
      </c>
      <c r="T27" s="243">
        <f>IF(Table334[[#This Row],[Category]]="Service Projects Donation",Table334[[#This Row],[Account Deposit Amount]]-Table334[[#This Row],[Account Withdrawl Amount]], )</f>
        <v>0</v>
      </c>
      <c r="U27" s="243">
        <f>IF(Table334[[#This Row],[Category]]="Cookie Debt",Table334[[#This Row],[Account Deposit Amount]]-Table334[[#This Row],[Account Withdrawl Amount]], )</f>
        <v>0</v>
      </c>
      <c r="V27" s="243">
        <f>IF(Table334[[#This Row],[Category]]="Other Expense",Table334[[#This Row],[Account Deposit Amount]]-Table334[[#This Row],[Account Withdrawl Amount]], )</f>
        <v>0</v>
      </c>
    </row>
    <row r="28" spans="1:22">
      <c r="A28" s="245" t="s">
        <v>513</v>
      </c>
      <c r="B28" s="263">
        <v>45440</v>
      </c>
      <c r="C28" s="264" t="s">
        <v>542</v>
      </c>
      <c r="D28" s="265" t="s">
        <v>543</v>
      </c>
      <c r="E28" s="264"/>
      <c r="F28" s="264">
        <v>24.83</v>
      </c>
      <c r="G28" s="243">
        <f t="shared" si="2"/>
        <v>3147.8399999999992</v>
      </c>
      <c r="H28" s="224" t="s">
        <v>530</v>
      </c>
      <c r="I28" s="243">
        <f>IF(Table334[[#This Row],[Category]]="Fall Product",Table334[[#This Row],[Account Deposit Amount]]-Table334[[#This Row],[Account Withdrawl Amount]], )</f>
        <v>0</v>
      </c>
      <c r="J28" s="243">
        <f>IF(Table334[[#This Row],[Category]]="Cookies",Table334[[#This Row],[Account Deposit Amount]]-Table334[[#This Row],[Account Withdrawl Amount]], )</f>
        <v>0</v>
      </c>
      <c r="K28" s="243">
        <f>IF(Table334[[#This Row],[Category]]="Additional Money Earning Activities",Table334[[#This Row],[Account Deposit Amount]]-Table334[[#This Row],[Account Withdrawl Amount]], )</f>
        <v>0</v>
      </c>
      <c r="L28" s="243">
        <f>IF(Table334[[#This Row],[Category]]="Sponsorships",Table334[[#This Row],[Account Deposit Amount]]-Table334[[#This Row],[Account Withdrawl Amount]], )</f>
        <v>0</v>
      </c>
      <c r="M28" s="243">
        <f>IF(Table334[[#This Row],[Category]]="Troop Dues",Table334[[#This Row],[Account Deposit Amount]]-Table334[[#This Row],[Account Withdrawl Amount]], )</f>
        <v>0</v>
      </c>
      <c r="N28" s="243">
        <f>IF(Table334[[#This Row],[Category]]="Other Income",Table334[[#This Row],[Account Deposit Amount]]-Table334[[#This Row],[Account Withdrawl Amount]], )</f>
        <v>0</v>
      </c>
      <c r="O28" s="243">
        <f>IF(Table334[[#This Row],[Category]]="Registration",Table334[[#This Row],[Account Deposit Amount]]-Table334[[#This Row],[Account Withdrawl Amount]], )</f>
        <v>0</v>
      </c>
      <c r="P28" s="243">
        <f>IF(Table334[[#This Row],[Category]]="Insignia",Table334[[#This Row],[Account Deposit Amount]]-Table334[[#This Row],[Account Withdrawl Amount]], )</f>
        <v>0</v>
      </c>
      <c r="Q28" s="243">
        <f>IF(Table334[[#This Row],[Category]]="Activities/Program",Table334[[#This Row],[Account Deposit Amount]]-Table334[[#This Row],[Account Withdrawl Amount]], )</f>
        <v>0</v>
      </c>
      <c r="R28" s="243">
        <f>IF(Table334[[#This Row],[Category]]="Travel",Table334[[#This Row],[Account Deposit Amount]]-Table334[[#This Row],[Account Withdrawl Amount]], )</f>
        <v>0</v>
      </c>
      <c r="S28" s="243">
        <f>IF(Table334[[#This Row],[Category]]="Parties Food &amp; Beverages",Table334[[#This Row],[Account Deposit Amount]]-Table334[[#This Row],[Account Withdrawl Amount]], )</f>
        <v>-24.83</v>
      </c>
      <c r="T28" s="243">
        <f>IF(Table334[[#This Row],[Category]]="Service Projects Donation",Table334[[#This Row],[Account Deposit Amount]]-Table334[[#This Row],[Account Withdrawl Amount]], )</f>
        <v>0</v>
      </c>
      <c r="U28" s="243">
        <f>IF(Table334[[#This Row],[Category]]="Cookie Debt",Table334[[#This Row],[Account Deposit Amount]]-Table334[[#This Row],[Account Withdrawl Amount]], )</f>
        <v>0</v>
      </c>
      <c r="V28" s="243">
        <f>IF(Table334[[#This Row],[Category]]="Other Expense",Table334[[#This Row],[Account Deposit Amount]]-Table334[[#This Row],[Account Withdrawl Amount]], )</f>
        <v>0</v>
      </c>
    </row>
    <row r="29" spans="1:22">
      <c r="A29" s="261" t="s">
        <v>513</v>
      </c>
      <c r="B29" s="249">
        <v>45443</v>
      </c>
      <c r="C29" s="247" t="s">
        <v>544</v>
      </c>
      <c r="D29" s="247" t="s">
        <v>545</v>
      </c>
      <c r="E29" s="250"/>
      <c r="F29" s="251">
        <v>50.46</v>
      </c>
      <c r="G29" s="243">
        <f t="shared" si="2"/>
        <v>3097.3799999999992</v>
      </c>
      <c r="H29" s="247" t="s">
        <v>136</v>
      </c>
      <c r="I29" s="243">
        <f>IF(Table334[[#This Row],[Category]]="Fall Product",Table334[[#This Row],[Account Deposit Amount]]-Table334[[#This Row],[Account Withdrawl Amount]], )</f>
        <v>0</v>
      </c>
      <c r="J29" s="243">
        <f>IF(Table334[[#This Row],[Category]]="Cookies",Table334[[#This Row],[Account Deposit Amount]]-Table334[[#This Row],[Account Withdrawl Amount]], )</f>
        <v>0</v>
      </c>
      <c r="K29" s="243">
        <f>IF(Table334[[#This Row],[Category]]="Additional Money Earning Activities",Table334[[#This Row],[Account Deposit Amount]]-Table334[[#This Row],[Account Withdrawl Amount]], )</f>
        <v>0</v>
      </c>
      <c r="L29" s="243">
        <f>IF(Table334[[#This Row],[Category]]="Sponsorships",Table334[[#This Row],[Account Deposit Amount]]-Table334[[#This Row],[Account Withdrawl Amount]], )</f>
        <v>0</v>
      </c>
      <c r="M29" s="243">
        <f>IF(Table334[[#This Row],[Category]]="Troop Dues",Table334[[#This Row],[Account Deposit Amount]]-Table334[[#This Row],[Account Withdrawl Amount]], )</f>
        <v>0</v>
      </c>
      <c r="N29" s="243">
        <f>IF(Table334[[#This Row],[Category]]="Other Income",Table334[[#This Row],[Account Deposit Amount]]-Table334[[#This Row],[Account Withdrawl Amount]], )</f>
        <v>0</v>
      </c>
      <c r="O29" s="243">
        <f>IF(Table334[[#This Row],[Category]]="Registration",Table334[[#This Row],[Account Deposit Amount]]-Table334[[#This Row],[Account Withdrawl Amount]], )</f>
        <v>0</v>
      </c>
      <c r="P29" s="243">
        <f>IF(Table334[[#This Row],[Category]]="Insignia",Table334[[#This Row],[Account Deposit Amount]]-Table334[[#This Row],[Account Withdrawl Amount]], )</f>
        <v>0</v>
      </c>
      <c r="Q29" s="243">
        <f>IF(Table334[[#This Row],[Category]]="Activities/Program",Table334[[#This Row],[Account Deposit Amount]]-Table334[[#This Row],[Account Withdrawl Amount]], )</f>
        <v>-50.46</v>
      </c>
      <c r="R29" s="243">
        <f>IF(Table334[[#This Row],[Category]]="Travel",Table334[[#This Row],[Account Deposit Amount]]-Table334[[#This Row],[Account Withdrawl Amount]], )</f>
        <v>0</v>
      </c>
      <c r="S29" s="243">
        <f>IF(Table334[[#This Row],[Category]]="Parties Food &amp; Beverages",Table334[[#This Row],[Account Deposit Amount]]-Table334[[#This Row],[Account Withdrawl Amount]], )</f>
        <v>0</v>
      </c>
      <c r="T29" s="243">
        <f>IF(Table334[[#This Row],[Category]]="Service Projects Donation",Table334[[#This Row],[Account Deposit Amount]]-Table334[[#This Row],[Account Withdrawl Amount]], )</f>
        <v>0</v>
      </c>
      <c r="U29" s="243">
        <f>IF(Table334[[#This Row],[Category]]="Cookie Debt",Table334[[#This Row],[Account Deposit Amount]]-Table334[[#This Row],[Account Withdrawl Amount]], )</f>
        <v>0</v>
      </c>
      <c r="V29" s="243">
        <f>IF(Table334[[#This Row],[Category]]="Other Expense",Table334[[#This Row],[Account Deposit Amount]]-Table334[[#This Row],[Account Withdrawl Amount]], )</f>
        <v>0</v>
      </c>
    </row>
    <row r="30" spans="1:22">
      <c r="A30" s="245" t="s">
        <v>513</v>
      </c>
      <c r="B30" s="263">
        <v>45446</v>
      </c>
      <c r="C30" s="264" t="s">
        <v>342</v>
      </c>
      <c r="D30" s="265" t="s">
        <v>546</v>
      </c>
      <c r="E30" s="264"/>
      <c r="F30" s="264">
        <v>28.61</v>
      </c>
      <c r="G30" s="243">
        <f t="shared" si="2"/>
        <v>3068.7699999999991</v>
      </c>
      <c r="H30" s="224" t="s">
        <v>530</v>
      </c>
      <c r="I30" s="243">
        <f>IF(Table334[[#This Row],[Category]]="Fall Product",Table334[[#This Row],[Account Deposit Amount]]-Table334[[#This Row],[Account Withdrawl Amount]], )</f>
        <v>0</v>
      </c>
      <c r="J30" s="243">
        <f>IF(Table334[[#This Row],[Category]]="Cookies",Table334[[#This Row],[Account Deposit Amount]]-Table334[[#This Row],[Account Withdrawl Amount]], )</f>
        <v>0</v>
      </c>
      <c r="K30" s="243">
        <f>IF(Table334[[#This Row],[Category]]="Additional Money Earning Activities",Table334[[#This Row],[Account Deposit Amount]]-Table334[[#This Row],[Account Withdrawl Amount]], )</f>
        <v>0</v>
      </c>
      <c r="L30" s="243">
        <f>IF(Table334[[#This Row],[Category]]="Sponsorships",Table334[[#This Row],[Account Deposit Amount]]-Table334[[#This Row],[Account Withdrawl Amount]], )</f>
        <v>0</v>
      </c>
      <c r="M30" s="243">
        <f>IF(Table334[[#This Row],[Category]]="Troop Dues",Table334[[#This Row],[Account Deposit Amount]]-Table334[[#This Row],[Account Withdrawl Amount]], )</f>
        <v>0</v>
      </c>
      <c r="N30" s="243">
        <f>IF(Table334[[#This Row],[Category]]="Other Income",Table334[[#This Row],[Account Deposit Amount]]-Table334[[#This Row],[Account Withdrawl Amount]], )</f>
        <v>0</v>
      </c>
      <c r="O30" s="243">
        <f>IF(Table334[[#This Row],[Category]]="Registration",Table334[[#This Row],[Account Deposit Amount]]-Table334[[#This Row],[Account Withdrawl Amount]], )</f>
        <v>0</v>
      </c>
      <c r="P30" s="243">
        <f>IF(Table334[[#This Row],[Category]]="Insignia",Table334[[#This Row],[Account Deposit Amount]]-Table334[[#This Row],[Account Withdrawl Amount]], )</f>
        <v>0</v>
      </c>
      <c r="Q30" s="243">
        <f>IF(Table334[[#This Row],[Category]]="Activities/Program",Table334[[#This Row],[Account Deposit Amount]]-Table334[[#This Row],[Account Withdrawl Amount]], )</f>
        <v>0</v>
      </c>
      <c r="R30" s="243">
        <f>IF(Table334[[#This Row],[Category]]="Travel",Table334[[#This Row],[Account Deposit Amount]]-Table334[[#This Row],[Account Withdrawl Amount]], )</f>
        <v>0</v>
      </c>
      <c r="S30" s="243">
        <f>IF(Table334[[#This Row],[Category]]="Parties Food &amp; Beverages",Table334[[#This Row],[Account Deposit Amount]]-Table334[[#This Row],[Account Withdrawl Amount]], )</f>
        <v>-28.61</v>
      </c>
      <c r="T30" s="243">
        <f>IF(Table334[[#This Row],[Category]]="Service Projects Donation",Table334[[#This Row],[Account Deposit Amount]]-Table334[[#This Row],[Account Withdrawl Amount]], )</f>
        <v>0</v>
      </c>
      <c r="U30" s="243">
        <f>IF(Table334[[#This Row],[Category]]="Cookie Debt",Table334[[#This Row],[Account Deposit Amount]]-Table334[[#This Row],[Account Withdrawl Amount]], )</f>
        <v>0</v>
      </c>
      <c r="V30" s="243">
        <f>IF(Table334[[#This Row],[Category]]="Other Expense",Table334[[#This Row],[Account Deposit Amount]]-Table334[[#This Row],[Account Withdrawl Amount]], )</f>
        <v>0</v>
      </c>
    </row>
    <row r="31" spans="1:22">
      <c r="A31" s="261" t="s">
        <v>513</v>
      </c>
      <c r="B31" s="249">
        <v>45449</v>
      </c>
      <c r="C31" s="247" t="s">
        <v>547</v>
      </c>
      <c r="D31" s="247" t="s">
        <v>515</v>
      </c>
      <c r="E31" s="250"/>
      <c r="F31" s="251">
        <v>32.130000000000003</v>
      </c>
      <c r="G31" s="243">
        <f t="shared" si="2"/>
        <v>3036.639999999999</v>
      </c>
      <c r="H31" s="247" t="s">
        <v>67</v>
      </c>
      <c r="I31" s="243">
        <f>IF(Table334[[#This Row],[Category]]="Fall Product",Table334[[#This Row],[Account Deposit Amount]]-Table334[[#This Row],[Account Withdrawl Amount]], )</f>
        <v>0</v>
      </c>
      <c r="J31" s="243">
        <f>IF(Table334[[#This Row],[Category]]="Cookies",Table334[[#This Row],[Account Deposit Amount]]-Table334[[#This Row],[Account Withdrawl Amount]], )</f>
        <v>0</v>
      </c>
      <c r="K31" s="243">
        <f>IF(Table334[[#This Row],[Category]]="Additional Money Earning Activities",Table334[[#This Row],[Account Deposit Amount]]-Table334[[#This Row],[Account Withdrawl Amount]], )</f>
        <v>0</v>
      </c>
      <c r="L31" s="243">
        <f>IF(Table334[[#This Row],[Category]]="Sponsorships",Table334[[#This Row],[Account Deposit Amount]]-Table334[[#This Row],[Account Withdrawl Amount]], )</f>
        <v>0</v>
      </c>
      <c r="M31" s="243">
        <f>IF(Table334[[#This Row],[Category]]="Troop Dues",Table334[[#This Row],[Account Deposit Amount]]-Table334[[#This Row],[Account Withdrawl Amount]], )</f>
        <v>0</v>
      </c>
      <c r="N31" s="243">
        <f>IF(Table334[[#This Row],[Category]]="Other Income",Table334[[#This Row],[Account Deposit Amount]]-Table334[[#This Row],[Account Withdrawl Amount]], )</f>
        <v>0</v>
      </c>
      <c r="O31" s="243">
        <f>IF(Table334[[#This Row],[Category]]="Registration",Table334[[#This Row],[Account Deposit Amount]]-Table334[[#This Row],[Account Withdrawl Amount]], )</f>
        <v>0</v>
      </c>
      <c r="P31" s="243">
        <f>IF(Table334[[#This Row],[Category]]="Insignia",Table334[[#This Row],[Account Deposit Amount]]-Table334[[#This Row],[Account Withdrawl Amount]], )</f>
        <v>-32.130000000000003</v>
      </c>
      <c r="Q31" s="243">
        <f>IF(Table334[[#This Row],[Category]]="Activities/Program",Table334[[#This Row],[Account Deposit Amount]]-Table334[[#This Row],[Account Withdrawl Amount]], )</f>
        <v>0</v>
      </c>
      <c r="R31" s="243">
        <f>IF(Table334[[#This Row],[Category]]="Travel",Table334[[#This Row],[Account Deposit Amount]]-Table334[[#This Row],[Account Withdrawl Amount]], )</f>
        <v>0</v>
      </c>
      <c r="S31" s="243">
        <f>IF(Table334[[#This Row],[Category]]="Parties Food &amp; Beverages",Table334[[#This Row],[Account Deposit Amount]]-Table334[[#This Row],[Account Withdrawl Amount]], )</f>
        <v>0</v>
      </c>
      <c r="T31" s="243">
        <f>IF(Table334[[#This Row],[Category]]="Service Projects Donation",Table334[[#This Row],[Account Deposit Amount]]-Table334[[#This Row],[Account Withdrawl Amount]], )</f>
        <v>0</v>
      </c>
      <c r="U31" s="243">
        <f>IF(Table334[[#This Row],[Category]]="Cookie Debt",Table334[[#This Row],[Account Deposit Amount]]-Table334[[#This Row],[Account Withdrawl Amount]], )</f>
        <v>0</v>
      </c>
      <c r="V31" s="243">
        <f>IF(Table334[[#This Row],[Category]]="Other Expense",Table334[[#This Row],[Account Deposit Amount]]-Table334[[#This Row],[Account Withdrawl Amount]], )</f>
        <v>0</v>
      </c>
    </row>
    <row r="32" spans="1:22">
      <c r="A32" s="245" t="s">
        <v>513</v>
      </c>
      <c r="B32" s="263">
        <v>45450</v>
      </c>
      <c r="C32" s="264" t="s">
        <v>548</v>
      </c>
      <c r="D32" s="265" t="s">
        <v>549</v>
      </c>
      <c r="E32" s="264"/>
      <c r="F32" s="264">
        <v>137.74</v>
      </c>
      <c r="G32" s="243">
        <f t="shared" si="2"/>
        <v>2898.8999999999987</v>
      </c>
      <c r="H32" s="224" t="s">
        <v>530</v>
      </c>
      <c r="I32" s="243">
        <f>IF(Table334[[#This Row],[Category]]="Fall Product",Table334[[#This Row],[Account Deposit Amount]]-Table334[[#This Row],[Account Withdrawl Amount]], )</f>
        <v>0</v>
      </c>
      <c r="J32" s="243">
        <f>IF(Table334[[#This Row],[Category]]="Cookies",Table334[[#This Row],[Account Deposit Amount]]-Table334[[#This Row],[Account Withdrawl Amount]], )</f>
        <v>0</v>
      </c>
      <c r="K32" s="243">
        <f>IF(Table334[[#This Row],[Category]]="Additional Money Earning Activities",Table334[[#This Row],[Account Deposit Amount]]-Table334[[#This Row],[Account Withdrawl Amount]], )</f>
        <v>0</v>
      </c>
      <c r="L32" s="243">
        <f>IF(Table334[[#This Row],[Category]]="Sponsorships",Table334[[#This Row],[Account Deposit Amount]]-Table334[[#This Row],[Account Withdrawl Amount]], )</f>
        <v>0</v>
      </c>
      <c r="M32" s="243">
        <f>IF(Table334[[#This Row],[Category]]="Troop Dues",Table334[[#This Row],[Account Deposit Amount]]-Table334[[#This Row],[Account Withdrawl Amount]], )</f>
        <v>0</v>
      </c>
      <c r="N32" s="243">
        <f>IF(Table334[[#This Row],[Category]]="Other Income",Table334[[#This Row],[Account Deposit Amount]]-Table334[[#This Row],[Account Withdrawl Amount]], )</f>
        <v>0</v>
      </c>
      <c r="O32" s="243">
        <f>IF(Table334[[#This Row],[Category]]="Registration",Table334[[#This Row],[Account Deposit Amount]]-Table334[[#This Row],[Account Withdrawl Amount]], )</f>
        <v>0</v>
      </c>
      <c r="P32" s="243">
        <f>IF(Table334[[#This Row],[Category]]="Insignia",Table334[[#This Row],[Account Deposit Amount]]-Table334[[#This Row],[Account Withdrawl Amount]], )</f>
        <v>0</v>
      </c>
      <c r="Q32" s="243">
        <f>IF(Table334[[#This Row],[Category]]="Activities/Program",Table334[[#This Row],[Account Deposit Amount]]-Table334[[#This Row],[Account Withdrawl Amount]], )</f>
        <v>0</v>
      </c>
      <c r="R32" s="243">
        <f>IF(Table334[[#This Row],[Category]]="Travel",Table334[[#This Row],[Account Deposit Amount]]-Table334[[#This Row],[Account Withdrawl Amount]], )</f>
        <v>0</v>
      </c>
      <c r="S32" s="243">
        <f>IF(Table334[[#This Row],[Category]]="Parties Food &amp; Beverages",Table334[[#This Row],[Account Deposit Amount]]-Table334[[#This Row],[Account Withdrawl Amount]], )</f>
        <v>-137.74</v>
      </c>
      <c r="T32" s="243">
        <f>IF(Table334[[#This Row],[Category]]="Service Projects Donation",Table334[[#This Row],[Account Deposit Amount]]-Table334[[#This Row],[Account Withdrawl Amount]], )</f>
        <v>0</v>
      </c>
      <c r="U32" s="243">
        <f>IF(Table334[[#This Row],[Category]]="Cookie Debt",Table334[[#This Row],[Account Deposit Amount]]-Table334[[#This Row],[Account Withdrawl Amount]], )</f>
        <v>0</v>
      </c>
      <c r="V32" s="243">
        <f>IF(Table334[[#This Row],[Category]]="Other Expense",Table334[[#This Row],[Account Deposit Amount]]-Table334[[#This Row],[Account Withdrawl Amount]], )</f>
        <v>0</v>
      </c>
    </row>
    <row r="33" spans="1:22">
      <c r="A33" s="261" t="s">
        <v>513</v>
      </c>
      <c r="B33" s="249">
        <v>45450</v>
      </c>
      <c r="C33" s="247" t="s">
        <v>362</v>
      </c>
      <c r="D33" s="247" t="s">
        <v>550</v>
      </c>
      <c r="E33" s="250"/>
      <c r="F33" s="251">
        <v>52.97</v>
      </c>
      <c r="G33" s="243">
        <f t="shared" si="2"/>
        <v>2845.9299999999989</v>
      </c>
      <c r="H33" s="247" t="s">
        <v>136</v>
      </c>
      <c r="I33" s="243">
        <f>IF(Table334[[#This Row],[Category]]="Fall Product",Table334[[#This Row],[Account Deposit Amount]]-Table334[[#This Row],[Account Withdrawl Amount]], )</f>
        <v>0</v>
      </c>
      <c r="J33" s="243">
        <f>IF(Table334[[#This Row],[Category]]="Cookies",Table334[[#This Row],[Account Deposit Amount]]-Table334[[#This Row],[Account Withdrawl Amount]], )</f>
        <v>0</v>
      </c>
      <c r="K33" s="243">
        <f>IF(Table334[[#This Row],[Category]]="Additional Money Earning Activities",Table334[[#This Row],[Account Deposit Amount]]-Table334[[#This Row],[Account Withdrawl Amount]], )</f>
        <v>0</v>
      </c>
      <c r="L33" s="243">
        <f>IF(Table334[[#This Row],[Category]]="Sponsorships",Table334[[#This Row],[Account Deposit Amount]]-Table334[[#This Row],[Account Withdrawl Amount]], )</f>
        <v>0</v>
      </c>
      <c r="M33" s="243">
        <f>IF(Table334[[#This Row],[Category]]="Troop Dues",Table334[[#This Row],[Account Deposit Amount]]-Table334[[#This Row],[Account Withdrawl Amount]], )</f>
        <v>0</v>
      </c>
      <c r="N33" s="243">
        <f>IF(Table334[[#This Row],[Category]]="Other Income",Table334[[#This Row],[Account Deposit Amount]]-Table334[[#This Row],[Account Withdrawl Amount]], )</f>
        <v>0</v>
      </c>
      <c r="O33" s="243">
        <f>IF(Table334[[#This Row],[Category]]="Registration",Table334[[#This Row],[Account Deposit Amount]]-Table334[[#This Row],[Account Withdrawl Amount]], )</f>
        <v>0</v>
      </c>
      <c r="P33" s="243">
        <f>IF(Table334[[#This Row],[Category]]="Insignia",Table334[[#This Row],[Account Deposit Amount]]-Table334[[#This Row],[Account Withdrawl Amount]], )</f>
        <v>0</v>
      </c>
      <c r="Q33" s="243">
        <f>IF(Table334[[#This Row],[Category]]="Activities/Program",Table334[[#This Row],[Account Deposit Amount]]-Table334[[#This Row],[Account Withdrawl Amount]], )</f>
        <v>-52.97</v>
      </c>
      <c r="R33" s="243">
        <f>IF(Table334[[#This Row],[Category]]="Travel",Table334[[#This Row],[Account Deposit Amount]]-Table334[[#This Row],[Account Withdrawl Amount]], )</f>
        <v>0</v>
      </c>
      <c r="S33" s="243">
        <f>IF(Table334[[#This Row],[Category]]="Parties Food &amp; Beverages",Table334[[#This Row],[Account Deposit Amount]]-Table334[[#This Row],[Account Withdrawl Amount]], )</f>
        <v>0</v>
      </c>
      <c r="T33" s="243">
        <f>IF(Table334[[#This Row],[Category]]="Service Projects Donation",Table334[[#This Row],[Account Deposit Amount]]-Table334[[#This Row],[Account Withdrawl Amount]], )</f>
        <v>0</v>
      </c>
      <c r="U33" s="243">
        <f>IF(Table334[[#This Row],[Category]]="Cookie Debt",Table334[[#This Row],[Account Deposit Amount]]-Table334[[#This Row],[Account Withdrawl Amount]], )</f>
        <v>0</v>
      </c>
      <c r="V33" s="243">
        <f>IF(Table334[[#This Row],[Category]]="Other Expense",Table334[[#This Row],[Account Deposit Amount]]-Table334[[#This Row],[Account Withdrawl Amount]], )</f>
        <v>0</v>
      </c>
    </row>
    <row r="34" spans="1:22">
      <c r="A34" s="245" t="s">
        <v>513</v>
      </c>
      <c r="B34" s="263">
        <v>45457</v>
      </c>
      <c r="C34" s="264" t="s">
        <v>551</v>
      </c>
      <c r="D34" s="265" t="s">
        <v>278</v>
      </c>
      <c r="E34" s="264">
        <v>125</v>
      </c>
      <c r="F34" s="264"/>
      <c r="G34" s="243">
        <f t="shared" si="2"/>
        <v>2970.9299999999989</v>
      </c>
      <c r="H34" s="224" t="s">
        <v>136</v>
      </c>
      <c r="I34" s="243">
        <f>IF(Table334[[#This Row],[Category]]="Fall Product",Table334[[#This Row],[Account Deposit Amount]]-Table334[[#This Row],[Account Withdrawl Amount]], )</f>
        <v>0</v>
      </c>
      <c r="J34" s="243">
        <f>IF(Table334[[#This Row],[Category]]="Cookies",Table334[[#This Row],[Account Deposit Amount]]-Table334[[#This Row],[Account Withdrawl Amount]], )</f>
        <v>0</v>
      </c>
      <c r="K34" s="243">
        <f>IF(Table334[[#This Row],[Category]]="Additional Money Earning Activities",Table334[[#This Row],[Account Deposit Amount]]-Table334[[#This Row],[Account Withdrawl Amount]], )</f>
        <v>0</v>
      </c>
      <c r="L34" s="243">
        <f>IF(Table334[[#This Row],[Category]]="Sponsorships",Table334[[#This Row],[Account Deposit Amount]]-Table334[[#This Row],[Account Withdrawl Amount]], )</f>
        <v>0</v>
      </c>
      <c r="M34" s="243">
        <f>IF(Table334[[#This Row],[Category]]="Troop Dues",Table334[[#This Row],[Account Deposit Amount]]-Table334[[#This Row],[Account Withdrawl Amount]], )</f>
        <v>0</v>
      </c>
      <c r="N34" s="243">
        <f>IF(Table334[[#This Row],[Category]]="Other Income",Table334[[#This Row],[Account Deposit Amount]]-Table334[[#This Row],[Account Withdrawl Amount]], )</f>
        <v>0</v>
      </c>
      <c r="O34" s="243">
        <f>IF(Table334[[#This Row],[Category]]="Registration",Table334[[#This Row],[Account Deposit Amount]]-Table334[[#This Row],[Account Withdrawl Amount]], )</f>
        <v>0</v>
      </c>
      <c r="P34" s="243">
        <f>IF(Table334[[#This Row],[Category]]="Insignia",Table334[[#This Row],[Account Deposit Amount]]-Table334[[#This Row],[Account Withdrawl Amount]], )</f>
        <v>0</v>
      </c>
      <c r="Q34" s="243">
        <f>IF(Table334[[#This Row],[Category]]="Activities/Program",Table334[[#This Row],[Account Deposit Amount]]-Table334[[#This Row],[Account Withdrawl Amount]], )</f>
        <v>125</v>
      </c>
      <c r="R34" s="243">
        <f>IF(Table334[[#This Row],[Category]]="Travel",Table334[[#This Row],[Account Deposit Amount]]-Table334[[#This Row],[Account Withdrawl Amount]], )</f>
        <v>0</v>
      </c>
      <c r="S34" s="243">
        <f>IF(Table334[[#This Row],[Category]]="Parties Food &amp; Beverages",Table334[[#This Row],[Account Deposit Amount]]-Table334[[#This Row],[Account Withdrawl Amount]], )</f>
        <v>0</v>
      </c>
      <c r="T34" s="243">
        <f>IF(Table334[[#This Row],[Category]]="Service Projects Donation",Table334[[#This Row],[Account Deposit Amount]]-Table334[[#This Row],[Account Withdrawl Amount]], )</f>
        <v>0</v>
      </c>
      <c r="U34" s="243">
        <f>IF(Table334[[#This Row],[Category]]="Cookie Debt",Table334[[#This Row],[Account Deposit Amount]]-Table334[[#This Row],[Account Withdrawl Amount]], )</f>
        <v>0</v>
      </c>
      <c r="V34" s="243">
        <f>IF(Table334[[#This Row],[Category]]="Other Expense",Table334[[#This Row],[Account Deposit Amount]]-Table334[[#This Row],[Account Withdrawl Amount]], )</f>
        <v>0</v>
      </c>
    </row>
    <row r="35" spans="1:22">
      <c r="A35" s="261" t="s">
        <v>513</v>
      </c>
      <c r="B35" s="249">
        <v>45458</v>
      </c>
      <c r="C35" s="247" t="s">
        <v>552</v>
      </c>
      <c r="D35" s="247" t="s">
        <v>278</v>
      </c>
      <c r="E35" s="250"/>
      <c r="F35" s="251">
        <v>1075.53</v>
      </c>
      <c r="G35" s="243">
        <f t="shared" si="2"/>
        <v>1895.399999999999</v>
      </c>
      <c r="H35" s="247" t="s">
        <v>136</v>
      </c>
      <c r="I35" s="243">
        <f>IF(Table334[[#This Row],[Category]]="Fall Product",Table334[[#This Row],[Account Deposit Amount]]-Table334[[#This Row],[Account Withdrawl Amount]], )</f>
        <v>0</v>
      </c>
      <c r="J35" s="243">
        <f>IF(Table334[[#This Row],[Category]]="Cookies",Table334[[#This Row],[Account Deposit Amount]]-Table334[[#This Row],[Account Withdrawl Amount]], )</f>
        <v>0</v>
      </c>
      <c r="K35" s="243">
        <f>IF(Table334[[#This Row],[Category]]="Additional Money Earning Activities",Table334[[#This Row],[Account Deposit Amount]]-Table334[[#This Row],[Account Withdrawl Amount]], )</f>
        <v>0</v>
      </c>
      <c r="L35" s="243">
        <f>IF(Table334[[#This Row],[Category]]="Sponsorships",Table334[[#This Row],[Account Deposit Amount]]-Table334[[#This Row],[Account Withdrawl Amount]], )</f>
        <v>0</v>
      </c>
      <c r="M35" s="243">
        <f>IF(Table334[[#This Row],[Category]]="Troop Dues",Table334[[#This Row],[Account Deposit Amount]]-Table334[[#This Row],[Account Withdrawl Amount]], )</f>
        <v>0</v>
      </c>
      <c r="N35" s="243">
        <f>IF(Table334[[#This Row],[Category]]="Other Income",Table334[[#This Row],[Account Deposit Amount]]-Table334[[#This Row],[Account Withdrawl Amount]], )</f>
        <v>0</v>
      </c>
      <c r="O35" s="243">
        <f>IF(Table334[[#This Row],[Category]]="Registration",Table334[[#This Row],[Account Deposit Amount]]-Table334[[#This Row],[Account Withdrawl Amount]], )</f>
        <v>0</v>
      </c>
      <c r="P35" s="243">
        <f>IF(Table334[[#This Row],[Category]]="Insignia",Table334[[#This Row],[Account Deposit Amount]]-Table334[[#This Row],[Account Withdrawl Amount]], )</f>
        <v>0</v>
      </c>
      <c r="Q35" s="243">
        <f>IF(Table334[[#This Row],[Category]]="Activities/Program",Table334[[#This Row],[Account Deposit Amount]]-Table334[[#This Row],[Account Withdrawl Amount]], )</f>
        <v>-1075.53</v>
      </c>
      <c r="R35" s="243">
        <f>IF(Table334[[#This Row],[Category]]="Travel",Table334[[#This Row],[Account Deposit Amount]]-Table334[[#This Row],[Account Withdrawl Amount]], )</f>
        <v>0</v>
      </c>
      <c r="S35" s="243">
        <f>IF(Table334[[#This Row],[Category]]="Parties Food &amp; Beverages",Table334[[#This Row],[Account Deposit Amount]]-Table334[[#This Row],[Account Withdrawl Amount]], )</f>
        <v>0</v>
      </c>
      <c r="T35" s="243">
        <f>IF(Table334[[#This Row],[Category]]="Service Projects Donation",Table334[[#This Row],[Account Deposit Amount]]-Table334[[#This Row],[Account Withdrawl Amount]], )</f>
        <v>0</v>
      </c>
      <c r="U35" s="243">
        <f>IF(Table334[[#This Row],[Category]]="Cookie Debt",Table334[[#This Row],[Account Deposit Amount]]-Table334[[#This Row],[Account Withdrawl Amount]], )</f>
        <v>0</v>
      </c>
      <c r="V35" s="243">
        <f>IF(Table334[[#This Row],[Category]]="Other Expense",Table334[[#This Row],[Account Deposit Amount]]-Table334[[#This Row],[Account Withdrawl Amount]], )</f>
        <v>0</v>
      </c>
    </row>
    <row r="36" spans="1:22">
      <c r="A36" s="245" t="s">
        <v>513</v>
      </c>
      <c r="B36" s="263">
        <v>45464</v>
      </c>
      <c r="C36" s="264" t="s">
        <v>554</v>
      </c>
      <c r="D36" s="265" t="s">
        <v>278</v>
      </c>
      <c r="E36" s="264">
        <v>125</v>
      </c>
      <c r="F36" s="264"/>
      <c r="G36" s="243">
        <f t="shared" si="2"/>
        <v>2020.399999999999</v>
      </c>
      <c r="H36" s="224" t="s">
        <v>136</v>
      </c>
      <c r="I36" s="243">
        <f>IF(Table334[[#This Row],[Category]]="Fall Product",Table334[[#This Row],[Account Deposit Amount]]-Table334[[#This Row],[Account Withdrawl Amount]], )</f>
        <v>0</v>
      </c>
      <c r="J36" s="243">
        <f>IF(Table334[[#This Row],[Category]]="Cookies",Table334[[#This Row],[Account Deposit Amount]]-Table334[[#This Row],[Account Withdrawl Amount]], )</f>
        <v>0</v>
      </c>
      <c r="K36" s="243">
        <f>IF(Table334[[#This Row],[Category]]="Additional Money Earning Activities",Table334[[#This Row],[Account Deposit Amount]]-Table334[[#This Row],[Account Withdrawl Amount]], )</f>
        <v>0</v>
      </c>
      <c r="L36" s="243">
        <f>IF(Table334[[#This Row],[Category]]="Sponsorships",Table334[[#This Row],[Account Deposit Amount]]-Table334[[#This Row],[Account Withdrawl Amount]], )</f>
        <v>0</v>
      </c>
      <c r="M36" s="243">
        <f>IF(Table334[[#This Row],[Category]]="Troop Dues",Table334[[#This Row],[Account Deposit Amount]]-Table334[[#This Row],[Account Withdrawl Amount]], )</f>
        <v>0</v>
      </c>
      <c r="N36" s="243">
        <f>IF(Table334[[#This Row],[Category]]="Other Income",Table334[[#This Row],[Account Deposit Amount]]-Table334[[#This Row],[Account Withdrawl Amount]], )</f>
        <v>0</v>
      </c>
      <c r="O36" s="243">
        <f>IF(Table334[[#This Row],[Category]]="Registration",Table334[[#This Row],[Account Deposit Amount]]-Table334[[#This Row],[Account Withdrawl Amount]], )</f>
        <v>0</v>
      </c>
      <c r="P36" s="243">
        <f>IF(Table334[[#This Row],[Category]]="Insignia",Table334[[#This Row],[Account Deposit Amount]]-Table334[[#This Row],[Account Withdrawl Amount]], )</f>
        <v>0</v>
      </c>
      <c r="Q36" s="243">
        <f>IF(Table334[[#This Row],[Category]]="Activities/Program",Table334[[#This Row],[Account Deposit Amount]]-Table334[[#This Row],[Account Withdrawl Amount]], )</f>
        <v>125</v>
      </c>
      <c r="R36" s="243">
        <f>IF(Table334[[#This Row],[Category]]="Travel",Table334[[#This Row],[Account Deposit Amount]]-Table334[[#This Row],[Account Withdrawl Amount]], )</f>
        <v>0</v>
      </c>
      <c r="S36" s="243">
        <f>IF(Table334[[#This Row],[Category]]="Parties Food &amp; Beverages",Table334[[#This Row],[Account Deposit Amount]]-Table334[[#This Row],[Account Withdrawl Amount]], )</f>
        <v>0</v>
      </c>
      <c r="T36" s="243">
        <f>IF(Table334[[#This Row],[Category]]="Service Projects Donation",Table334[[#This Row],[Account Deposit Amount]]-Table334[[#This Row],[Account Withdrawl Amount]], )</f>
        <v>0</v>
      </c>
      <c r="U36" s="243">
        <f>IF(Table334[[#This Row],[Category]]="Cookie Debt",Table334[[#This Row],[Account Deposit Amount]]-Table334[[#This Row],[Account Withdrawl Amount]], )</f>
        <v>0</v>
      </c>
      <c r="V36" s="243">
        <f>IF(Table334[[#This Row],[Category]]="Other Expense",Table334[[#This Row],[Account Deposit Amount]]-Table334[[#This Row],[Account Withdrawl Amount]], )</f>
        <v>0</v>
      </c>
    </row>
    <row r="37" spans="1:22">
      <c r="A37" s="261" t="s">
        <v>513</v>
      </c>
      <c r="B37" s="249">
        <v>45464</v>
      </c>
      <c r="C37" s="247" t="s">
        <v>555</v>
      </c>
      <c r="D37" s="247" t="s">
        <v>553</v>
      </c>
      <c r="E37" s="250"/>
      <c r="F37" s="251">
        <v>6.38</v>
      </c>
      <c r="G37" s="243">
        <f t="shared" si="2"/>
        <v>2014.0199999999988</v>
      </c>
      <c r="H37" s="247" t="s">
        <v>136</v>
      </c>
      <c r="I37" s="243">
        <f>IF(Table334[[#This Row],[Category]]="Fall Product",Table334[[#This Row],[Account Deposit Amount]]-Table334[[#This Row],[Account Withdrawl Amount]], )</f>
        <v>0</v>
      </c>
      <c r="J37" s="243">
        <f>IF(Table334[[#This Row],[Category]]="Cookies",Table334[[#This Row],[Account Deposit Amount]]-Table334[[#This Row],[Account Withdrawl Amount]], )</f>
        <v>0</v>
      </c>
      <c r="K37" s="243">
        <f>IF(Table334[[#This Row],[Category]]="Additional Money Earning Activities",Table334[[#This Row],[Account Deposit Amount]]-Table334[[#This Row],[Account Withdrawl Amount]], )</f>
        <v>0</v>
      </c>
      <c r="L37" s="243">
        <f>IF(Table334[[#This Row],[Category]]="Sponsorships",Table334[[#This Row],[Account Deposit Amount]]-Table334[[#This Row],[Account Withdrawl Amount]], )</f>
        <v>0</v>
      </c>
      <c r="M37" s="243">
        <f>IF(Table334[[#This Row],[Category]]="Troop Dues",Table334[[#This Row],[Account Deposit Amount]]-Table334[[#This Row],[Account Withdrawl Amount]], )</f>
        <v>0</v>
      </c>
      <c r="N37" s="243">
        <f>IF(Table334[[#This Row],[Category]]="Other Income",Table334[[#This Row],[Account Deposit Amount]]-Table334[[#This Row],[Account Withdrawl Amount]], )</f>
        <v>0</v>
      </c>
      <c r="O37" s="243">
        <f>IF(Table334[[#This Row],[Category]]="Registration",Table334[[#This Row],[Account Deposit Amount]]-Table334[[#This Row],[Account Withdrawl Amount]], )</f>
        <v>0</v>
      </c>
      <c r="P37" s="243">
        <f>IF(Table334[[#This Row],[Category]]="Insignia",Table334[[#This Row],[Account Deposit Amount]]-Table334[[#This Row],[Account Withdrawl Amount]], )</f>
        <v>0</v>
      </c>
      <c r="Q37" s="243">
        <f>IF(Table334[[#This Row],[Category]]="Activities/Program",Table334[[#This Row],[Account Deposit Amount]]-Table334[[#This Row],[Account Withdrawl Amount]], )</f>
        <v>-6.38</v>
      </c>
      <c r="R37" s="243">
        <f>IF(Table334[[#This Row],[Category]]="Travel",Table334[[#This Row],[Account Deposit Amount]]-Table334[[#This Row],[Account Withdrawl Amount]], )</f>
        <v>0</v>
      </c>
      <c r="S37" s="243">
        <f>IF(Table334[[#This Row],[Category]]="Parties Food &amp; Beverages",Table334[[#This Row],[Account Deposit Amount]]-Table334[[#This Row],[Account Withdrawl Amount]], )</f>
        <v>0</v>
      </c>
      <c r="T37" s="243">
        <f>IF(Table334[[#This Row],[Category]]="Service Projects Donation",Table334[[#This Row],[Account Deposit Amount]]-Table334[[#This Row],[Account Withdrawl Amount]], )</f>
        <v>0</v>
      </c>
      <c r="U37" s="243">
        <f>IF(Table334[[#This Row],[Category]]="Cookie Debt",Table334[[#This Row],[Account Deposit Amount]]-Table334[[#This Row],[Account Withdrawl Amount]], )</f>
        <v>0</v>
      </c>
      <c r="V37" s="243">
        <f>IF(Table334[[#This Row],[Category]]="Other Expense",Table334[[#This Row],[Account Deposit Amount]]-Table334[[#This Row],[Account Withdrawl Amount]], )</f>
        <v>0</v>
      </c>
    </row>
    <row r="38" spans="1:22">
      <c r="A38" s="245" t="s">
        <v>513</v>
      </c>
      <c r="B38" s="263">
        <v>45464</v>
      </c>
      <c r="C38" s="264" t="s">
        <v>556</v>
      </c>
      <c r="D38" s="265" t="s">
        <v>557</v>
      </c>
      <c r="E38" s="264"/>
      <c r="F38" s="264">
        <v>63.44</v>
      </c>
      <c r="G38" s="243">
        <f t="shared" si="2"/>
        <v>1950.5799999999988</v>
      </c>
      <c r="H38" s="224" t="s">
        <v>530</v>
      </c>
      <c r="I38" s="243">
        <f>IF(Table334[[#This Row],[Category]]="Fall Product",Table334[[#This Row],[Account Deposit Amount]]-Table334[[#This Row],[Account Withdrawl Amount]], )</f>
        <v>0</v>
      </c>
      <c r="J38" s="243">
        <f>IF(Table334[[#This Row],[Category]]="Cookies",Table334[[#This Row],[Account Deposit Amount]]-Table334[[#This Row],[Account Withdrawl Amount]], )</f>
        <v>0</v>
      </c>
      <c r="K38" s="243">
        <f>IF(Table334[[#This Row],[Category]]="Additional Money Earning Activities",Table334[[#This Row],[Account Deposit Amount]]-Table334[[#This Row],[Account Withdrawl Amount]], )</f>
        <v>0</v>
      </c>
      <c r="L38" s="243">
        <f>IF(Table334[[#This Row],[Category]]="Sponsorships",Table334[[#This Row],[Account Deposit Amount]]-Table334[[#This Row],[Account Withdrawl Amount]], )</f>
        <v>0</v>
      </c>
      <c r="M38" s="243">
        <f>IF(Table334[[#This Row],[Category]]="Troop Dues",Table334[[#This Row],[Account Deposit Amount]]-Table334[[#This Row],[Account Withdrawl Amount]], )</f>
        <v>0</v>
      </c>
      <c r="N38" s="243">
        <f>IF(Table334[[#This Row],[Category]]="Other Income",Table334[[#This Row],[Account Deposit Amount]]-Table334[[#This Row],[Account Withdrawl Amount]], )</f>
        <v>0</v>
      </c>
      <c r="O38" s="243">
        <f>IF(Table334[[#This Row],[Category]]="Registration",Table334[[#This Row],[Account Deposit Amount]]-Table334[[#This Row],[Account Withdrawl Amount]], )</f>
        <v>0</v>
      </c>
      <c r="P38" s="243">
        <f>IF(Table334[[#This Row],[Category]]="Insignia",Table334[[#This Row],[Account Deposit Amount]]-Table334[[#This Row],[Account Withdrawl Amount]], )</f>
        <v>0</v>
      </c>
      <c r="Q38" s="243">
        <f>IF(Table334[[#This Row],[Category]]="Activities/Program",Table334[[#This Row],[Account Deposit Amount]]-Table334[[#This Row],[Account Withdrawl Amount]], )</f>
        <v>0</v>
      </c>
      <c r="R38" s="243">
        <f>IF(Table334[[#This Row],[Category]]="Travel",Table334[[#This Row],[Account Deposit Amount]]-Table334[[#This Row],[Account Withdrawl Amount]], )</f>
        <v>0</v>
      </c>
      <c r="S38" s="243">
        <f>IF(Table334[[#This Row],[Category]]="Parties Food &amp; Beverages",Table334[[#This Row],[Account Deposit Amount]]-Table334[[#This Row],[Account Withdrawl Amount]], )</f>
        <v>-63.44</v>
      </c>
      <c r="T38" s="243">
        <f>IF(Table334[[#This Row],[Category]]="Service Projects Donation",Table334[[#This Row],[Account Deposit Amount]]-Table334[[#This Row],[Account Withdrawl Amount]], )</f>
        <v>0</v>
      </c>
      <c r="U38" s="243">
        <f>IF(Table334[[#This Row],[Category]]="Cookie Debt",Table334[[#This Row],[Account Deposit Amount]]-Table334[[#This Row],[Account Withdrawl Amount]], )</f>
        <v>0</v>
      </c>
      <c r="V38" s="243">
        <f>IF(Table334[[#This Row],[Category]]="Other Expense",Table334[[#This Row],[Account Deposit Amount]]-Table334[[#This Row],[Account Withdrawl Amount]], )</f>
        <v>0</v>
      </c>
    </row>
    <row r="39" spans="1:22">
      <c r="A39" s="261" t="s">
        <v>513</v>
      </c>
      <c r="B39" s="249">
        <v>45469</v>
      </c>
      <c r="C39" s="247" t="s">
        <v>518</v>
      </c>
      <c r="D39" s="247" t="s">
        <v>515</v>
      </c>
      <c r="E39" s="250"/>
      <c r="F39" s="251">
        <v>8.48</v>
      </c>
      <c r="G39" s="243">
        <f t="shared" si="2"/>
        <v>1942.0999999999988</v>
      </c>
      <c r="H39" s="247" t="s">
        <v>67</v>
      </c>
      <c r="I39" s="243">
        <f>IF(Table334[[#This Row],[Category]]="Fall Product",Table334[[#This Row],[Account Deposit Amount]]-Table334[[#This Row],[Account Withdrawl Amount]], )</f>
        <v>0</v>
      </c>
      <c r="J39" s="243">
        <f>IF(Table334[[#This Row],[Category]]="Cookies",Table334[[#This Row],[Account Deposit Amount]]-Table334[[#This Row],[Account Withdrawl Amount]], )</f>
        <v>0</v>
      </c>
      <c r="K39" s="243">
        <f>IF(Table334[[#This Row],[Category]]="Additional Money Earning Activities",Table334[[#This Row],[Account Deposit Amount]]-Table334[[#This Row],[Account Withdrawl Amount]], )</f>
        <v>0</v>
      </c>
      <c r="L39" s="243">
        <f>IF(Table334[[#This Row],[Category]]="Sponsorships",Table334[[#This Row],[Account Deposit Amount]]-Table334[[#This Row],[Account Withdrawl Amount]], )</f>
        <v>0</v>
      </c>
      <c r="M39" s="243">
        <f>IF(Table334[[#This Row],[Category]]="Troop Dues",Table334[[#This Row],[Account Deposit Amount]]-Table334[[#This Row],[Account Withdrawl Amount]], )</f>
        <v>0</v>
      </c>
      <c r="N39" s="243">
        <f>IF(Table334[[#This Row],[Category]]="Other Income",Table334[[#This Row],[Account Deposit Amount]]-Table334[[#This Row],[Account Withdrawl Amount]], )</f>
        <v>0</v>
      </c>
      <c r="O39" s="243">
        <f>IF(Table334[[#This Row],[Category]]="Registration",Table334[[#This Row],[Account Deposit Amount]]-Table334[[#This Row],[Account Withdrawl Amount]], )</f>
        <v>0</v>
      </c>
      <c r="P39" s="243">
        <f>IF(Table334[[#This Row],[Category]]="Insignia",Table334[[#This Row],[Account Deposit Amount]]-Table334[[#This Row],[Account Withdrawl Amount]], )</f>
        <v>-8.48</v>
      </c>
      <c r="Q39" s="243">
        <f>IF(Table334[[#This Row],[Category]]="Activities/Program",Table334[[#This Row],[Account Deposit Amount]]-Table334[[#This Row],[Account Withdrawl Amount]], )</f>
        <v>0</v>
      </c>
      <c r="R39" s="243">
        <f>IF(Table334[[#This Row],[Category]]="Travel",Table334[[#This Row],[Account Deposit Amount]]-Table334[[#This Row],[Account Withdrawl Amount]], )</f>
        <v>0</v>
      </c>
      <c r="S39" s="243">
        <f>IF(Table334[[#This Row],[Category]]="Parties Food &amp; Beverages",Table334[[#This Row],[Account Deposit Amount]]-Table334[[#This Row],[Account Withdrawl Amount]], )</f>
        <v>0</v>
      </c>
      <c r="T39" s="243">
        <f>IF(Table334[[#This Row],[Category]]="Service Projects Donation",Table334[[#This Row],[Account Deposit Amount]]-Table334[[#This Row],[Account Withdrawl Amount]], )</f>
        <v>0</v>
      </c>
      <c r="U39" s="243">
        <f>IF(Table334[[#This Row],[Category]]="Cookie Debt",Table334[[#This Row],[Account Deposit Amount]]-Table334[[#This Row],[Account Withdrawl Amount]], )</f>
        <v>0</v>
      </c>
      <c r="V39" s="243">
        <f>IF(Table334[[#This Row],[Category]]="Other Expense",Table334[[#This Row],[Account Deposit Amount]]-Table334[[#This Row],[Account Withdrawl Amount]], )</f>
        <v>0</v>
      </c>
    </row>
    <row r="40" spans="1:22">
      <c r="A40" s="245" t="s">
        <v>513</v>
      </c>
      <c r="B40" s="263">
        <v>45500</v>
      </c>
      <c r="C40" s="264" t="s">
        <v>558</v>
      </c>
      <c r="D40" s="265" t="s">
        <v>559</v>
      </c>
      <c r="E40" s="264"/>
      <c r="F40" s="264">
        <v>50</v>
      </c>
      <c r="G40" s="243">
        <f t="shared" si="2"/>
        <v>1892.0999999999988</v>
      </c>
      <c r="H40" s="224" t="s">
        <v>67</v>
      </c>
      <c r="I40" s="243">
        <f>IF(Table334[[#This Row],[Category]]="Fall Product",Table334[[#This Row],[Account Deposit Amount]]-Table334[[#This Row],[Account Withdrawl Amount]], )</f>
        <v>0</v>
      </c>
      <c r="J40" s="243">
        <f>IF(Table334[[#This Row],[Category]]="Cookies",Table334[[#This Row],[Account Deposit Amount]]-Table334[[#This Row],[Account Withdrawl Amount]], )</f>
        <v>0</v>
      </c>
      <c r="K40" s="243">
        <f>IF(Table334[[#This Row],[Category]]="Additional Money Earning Activities",Table334[[#This Row],[Account Deposit Amount]]-Table334[[#This Row],[Account Withdrawl Amount]], )</f>
        <v>0</v>
      </c>
      <c r="L40" s="243">
        <f>IF(Table334[[#This Row],[Category]]="Sponsorships",Table334[[#This Row],[Account Deposit Amount]]-Table334[[#This Row],[Account Withdrawl Amount]], )</f>
        <v>0</v>
      </c>
      <c r="M40" s="243">
        <f>IF(Table334[[#This Row],[Category]]="Troop Dues",Table334[[#This Row],[Account Deposit Amount]]-Table334[[#This Row],[Account Withdrawl Amount]], )</f>
        <v>0</v>
      </c>
      <c r="N40" s="243">
        <f>IF(Table334[[#This Row],[Category]]="Other Income",Table334[[#This Row],[Account Deposit Amount]]-Table334[[#This Row],[Account Withdrawl Amount]], )</f>
        <v>0</v>
      </c>
      <c r="O40" s="243">
        <f>IF(Table334[[#This Row],[Category]]="Registration",Table334[[#This Row],[Account Deposit Amount]]-Table334[[#This Row],[Account Withdrawl Amount]], )</f>
        <v>0</v>
      </c>
      <c r="P40" s="243">
        <f>IF(Table334[[#This Row],[Category]]="Insignia",Table334[[#This Row],[Account Deposit Amount]]-Table334[[#This Row],[Account Withdrawl Amount]], )</f>
        <v>-50</v>
      </c>
      <c r="Q40" s="243">
        <f>IF(Table334[[#This Row],[Category]]="Activities/Program",Table334[[#This Row],[Account Deposit Amount]]-Table334[[#This Row],[Account Withdrawl Amount]], )</f>
        <v>0</v>
      </c>
      <c r="R40" s="243">
        <f>IF(Table334[[#This Row],[Category]]="Travel",Table334[[#This Row],[Account Deposit Amount]]-Table334[[#This Row],[Account Withdrawl Amount]], )</f>
        <v>0</v>
      </c>
      <c r="S40" s="243">
        <f>IF(Table334[[#This Row],[Category]]="Parties Food &amp; Beverages",Table334[[#This Row],[Account Deposit Amount]]-Table334[[#This Row],[Account Withdrawl Amount]], )</f>
        <v>0</v>
      </c>
      <c r="T40" s="243">
        <f>IF(Table334[[#This Row],[Category]]="Service Projects Donation",Table334[[#This Row],[Account Deposit Amount]]-Table334[[#This Row],[Account Withdrawl Amount]], )</f>
        <v>0</v>
      </c>
      <c r="U40" s="243">
        <f>IF(Table334[[#This Row],[Category]]="Cookie Debt",Table334[[#This Row],[Account Deposit Amount]]-Table334[[#This Row],[Account Withdrawl Amount]], )</f>
        <v>0</v>
      </c>
      <c r="V40" s="243">
        <f>IF(Table334[[#This Row],[Category]]="Other Expense",Table334[[#This Row],[Account Deposit Amount]]-Table334[[#This Row],[Account Withdrawl Amount]], )</f>
        <v>0</v>
      </c>
    </row>
    <row r="41" spans="1:22">
      <c r="A41" s="261" t="s">
        <v>513</v>
      </c>
      <c r="B41" s="249">
        <v>45525</v>
      </c>
      <c r="C41" s="247" t="s">
        <v>561</v>
      </c>
      <c r="D41" s="247" t="s">
        <v>560</v>
      </c>
      <c r="E41" s="250"/>
      <c r="F41" s="251">
        <v>50</v>
      </c>
      <c r="G41" s="243">
        <f t="shared" si="2"/>
        <v>1842.0999999999988</v>
      </c>
      <c r="H41" s="247" t="s">
        <v>66</v>
      </c>
      <c r="I41" s="243">
        <f>IF(Table334[[#This Row],[Category]]="Fall Product",Table334[[#This Row],[Account Deposit Amount]]-Table334[[#This Row],[Account Withdrawl Amount]], )</f>
        <v>0</v>
      </c>
      <c r="J41" s="243">
        <f>IF(Table334[[#This Row],[Category]]="Cookies",Table334[[#This Row],[Account Deposit Amount]]-Table334[[#This Row],[Account Withdrawl Amount]], )</f>
        <v>0</v>
      </c>
      <c r="K41" s="243">
        <f>IF(Table334[[#This Row],[Category]]="Additional Money Earning Activities",Table334[[#This Row],[Account Deposit Amount]]-Table334[[#This Row],[Account Withdrawl Amount]], )</f>
        <v>0</v>
      </c>
      <c r="L41" s="243">
        <f>IF(Table334[[#This Row],[Category]]="Sponsorships",Table334[[#This Row],[Account Deposit Amount]]-Table334[[#This Row],[Account Withdrawl Amount]], )</f>
        <v>0</v>
      </c>
      <c r="M41" s="243">
        <f>IF(Table334[[#This Row],[Category]]="Troop Dues",Table334[[#This Row],[Account Deposit Amount]]-Table334[[#This Row],[Account Withdrawl Amount]], )</f>
        <v>0</v>
      </c>
      <c r="N41" s="243">
        <f>IF(Table334[[#This Row],[Category]]="Other Income",Table334[[#This Row],[Account Deposit Amount]]-Table334[[#This Row],[Account Withdrawl Amount]], )</f>
        <v>0</v>
      </c>
      <c r="O41" s="243">
        <f>IF(Table334[[#This Row],[Category]]="Registration",Table334[[#This Row],[Account Deposit Amount]]-Table334[[#This Row],[Account Withdrawl Amount]], )</f>
        <v>-50</v>
      </c>
      <c r="P41" s="243">
        <f>IF(Table334[[#This Row],[Category]]="Insignia",Table334[[#This Row],[Account Deposit Amount]]-Table334[[#This Row],[Account Withdrawl Amount]], )</f>
        <v>0</v>
      </c>
      <c r="Q41" s="243">
        <f>IF(Table334[[#This Row],[Category]]="Activities/Program",Table334[[#This Row],[Account Deposit Amount]]-Table334[[#This Row],[Account Withdrawl Amount]], )</f>
        <v>0</v>
      </c>
      <c r="R41" s="243">
        <f>IF(Table334[[#This Row],[Category]]="Travel",Table334[[#This Row],[Account Deposit Amount]]-Table334[[#This Row],[Account Withdrawl Amount]], )</f>
        <v>0</v>
      </c>
      <c r="S41" s="243">
        <f>IF(Table334[[#This Row],[Category]]="Parties Food &amp; Beverages",Table334[[#This Row],[Account Deposit Amount]]-Table334[[#This Row],[Account Withdrawl Amount]], )</f>
        <v>0</v>
      </c>
      <c r="T41" s="243">
        <f>IF(Table334[[#This Row],[Category]]="Service Projects Donation",Table334[[#This Row],[Account Deposit Amount]]-Table334[[#This Row],[Account Withdrawl Amount]], )</f>
        <v>0</v>
      </c>
      <c r="U41" s="243">
        <f>IF(Table334[[#This Row],[Category]]="Cookie Debt",Table334[[#This Row],[Account Deposit Amount]]-Table334[[#This Row],[Account Withdrawl Amount]], )</f>
        <v>0</v>
      </c>
      <c r="V41" s="243">
        <f>IF(Table334[[#This Row],[Category]]="Other Expense",Table334[[#This Row],[Account Deposit Amount]]-Table334[[#This Row],[Account Withdrawl Amount]], )</f>
        <v>0</v>
      </c>
    </row>
    <row r="42" spans="1:22">
      <c r="A42" s="245" t="s">
        <v>513</v>
      </c>
      <c r="B42" s="263">
        <v>45530</v>
      </c>
      <c r="C42" s="264" t="s">
        <v>342</v>
      </c>
      <c r="D42" s="265" t="s">
        <v>562</v>
      </c>
      <c r="E42" s="264"/>
      <c r="F42" s="264">
        <v>23.3</v>
      </c>
      <c r="G42" s="243">
        <f t="shared" si="2"/>
        <v>1818.7999999999988</v>
      </c>
      <c r="H42" s="224" t="s">
        <v>136</v>
      </c>
      <c r="I42" s="243">
        <f>IF(Table334[[#This Row],[Category]]="Fall Product",Table334[[#This Row],[Account Deposit Amount]]-Table334[[#This Row],[Account Withdrawl Amount]], )</f>
        <v>0</v>
      </c>
      <c r="J42" s="243">
        <f>IF(Table334[[#This Row],[Category]]="Cookies",Table334[[#This Row],[Account Deposit Amount]]-Table334[[#This Row],[Account Withdrawl Amount]], )</f>
        <v>0</v>
      </c>
      <c r="K42" s="243">
        <f>IF(Table334[[#This Row],[Category]]="Additional Money Earning Activities",Table334[[#This Row],[Account Deposit Amount]]-Table334[[#This Row],[Account Withdrawl Amount]], )</f>
        <v>0</v>
      </c>
      <c r="L42" s="243">
        <f>IF(Table334[[#This Row],[Category]]="Sponsorships",Table334[[#This Row],[Account Deposit Amount]]-Table334[[#This Row],[Account Withdrawl Amount]], )</f>
        <v>0</v>
      </c>
      <c r="M42" s="243">
        <f>IF(Table334[[#This Row],[Category]]="Troop Dues",Table334[[#This Row],[Account Deposit Amount]]-Table334[[#This Row],[Account Withdrawl Amount]], )</f>
        <v>0</v>
      </c>
      <c r="N42" s="243">
        <f>IF(Table334[[#This Row],[Category]]="Other Income",Table334[[#This Row],[Account Deposit Amount]]-Table334[[#This Row],[Account Withdrawl Amount]], )</f>
        <v>0</v>
      </c>
      <c r="O42" s="243">
        <f>IF(Table334[[#This Row],[Category]]="Registration",Table334[[#This Row],[Account Deposit Amount]]-Table334[[#This Row],[Account Withdrawl Amount]], )</f>
        <v>0</v>
      </c>
      <c r="P42" s="243">
        <f>IF(Table334[[#This Row],[Category]]="Insignia",Table334[[#This Row],[Account Deposit Amount]]-Table334[[#This Row],[Account Withdrawl Amount]], )</f>
        <v>0</v>
      </c>
      <c r="Q42" s="243">
        <f>IF(Table334[[#This Row],[Category]]="Activities/Program",Table334[[#This Row],[Account Deposit Amount]]-Table334[[#This Row],[Account Withdrawl Amount]], )</f>
        <v>-23.3</v>
      </c>
      <c r="R42" s="243">
        <f>IF(Table334[[#This Row],[Category]]="Travel",Table334[[#This Row],[Account Deposit Amount]]-Table334[[#This Row],[Account Withdrawl Amount]], )</f>
        <v>0</v>
      </c>
      <c r="S42" s="243">
        <f>IF(Table334[[#This Row],[Category]]="Parties Food &amp; Beverages",Table334[[#This Row],[Account Deposit Amount]]-Table334[[#This Row],[Account Withdrawl Amount]], )</f>
        <v>0</v>
      </c>
      <c r="T42" s="243">
        <f>IF(Table334[[#This Row],[Category]]="Service Projects Donation",Table334[[#This Row],[Account Deposit Amount]]-Table334[[#This Row],[Account Withdrawl Amount]], )</f>
        <v>0</v>
      </c>
      <c r="U42" s="243">
        <f>IF(Table334[[#This Row],[Category]]="Cookie Debt",Table334[[#This Row],[Account Deposit Amount]]-Table334[[#This Row],[Account Withdrawl Amount]], )</f>
        <v>0</v>
      </c>
      <c r="V42" s="243">
        <f>IF(Table334[[#This Row],[Category]]="Other Expense",Table334[[#This Row],[Account Deposit Amount]]-Table334[[#This Row],[Account Withdrawl Amount]], )</f>
        <v>0</v>
      </c>
    </row>
    <row r="43" spans="1:22">
      <c r="A43" s="261" t="s">
        <v>513</v>
      </c>
      <c r="B43" s="249">
        <v>45530</v>
      </c>
      <c r="C43" s="247" t="s">
        <v>514</v>
      </c>
      <c r="D43" s="247" t="s">
        <v>563</v>
      </c>
      <c r="E43" s="250"/>
      <c r="F43" s="251">
        <v>46.51</v>
      </c>
      <c r="G43" s="243">
        <f t="shared" si="2"/>
        <v>1772.2899999999988</v>
      </c>
      <c r="H43" s="247" t="s">
        <v>67</v>
      </c>
      <c r="I43" s="243">
        <f>IF(Table334[[#This Row],[Category]]="Fall Product",Table334[[#This Row],[Account Deposit Amount]]-Table334[[#This Row],[Account Withdrawl Amount]], )</f>
        <v>0</v>
      </c>
      <c r="J43" s="243">
        <f>IF(Table334[[#This Row],[Category]]="Cookies",Table334[[#This Row],[Account Deposit Amount]]-Table334[[#This Row],[Account Withdrawl Amount]], )</f>
        <v>0</v>
      </c>
      <c r="K43" s="243">
        <f>IF(Table334[[#This Row],[Category]]="Additional Money Earning Activities",Table334[[#This Row],[Account Deposit Amount]]-Table334[[#This Row],[Account Withdrawl Amount]], )</f>
        <v>0</v>
      </c>
      <c r="L43" s="243">
        <f>IF(Table334[[#This Row],[Category]]="Sponsorships",Table334[[#This Row],[Account Deposit Amount]]-Table334[[#This Row],[Account Withdrawl Amount]], )</f>
        <v>0</v>
      </c>
      <c r="M43" s="243">
        <f>IF(Table334[[#This Row],[Category]]="Troop Dues",Table334[[#This Row],[Account Deposit Amount]]-Table334[[#This Row],[Account Withdrawl Amount]], )</f>
        <v>0</v>
      </c>
      <c r="N43" s="243">
        <f>IF(Table334[[#This Row],[Category]]="Other Income",Table334[[#This Row],[Account Deposit Amount]]-Table334[[#This Row],[Account Withdrawl Amount]], )</f>
        <v>0</v>
      </c>
      <c r="O43" s="243">
        <f>IF(Table334[[#This Row],[Category]]="Registration",Table334[[#This Row],[Account Deposit Amount]]-Table334[[#This Row],[Account Withdrawl Amount]], )</f>
        <v>0</v>
      </c>
      <c r="P43" s="243">
        <f>IF(Table334[[#This Row],[Category]]="Insignia",Table334[[#This Row],[Account Deposit Amount]]-Table334[[#This Row],[Account Withdrawl Amount]], )</f>
        <v>-46.51</v>
      </c>
      <c r="Q43" s="243">
        <f>IF(Table334[[#This Row],[Category]]="Activities/Program",Table334[[#This Row],[Account Deposit Amount]]-Table334[[#This Row],[Account Withdrawl Amount]], )</f>
        <v>0</v>
      </c>
      <c r="R43" s="243">
        <f>IF(Table334[[#This Row],[Category]]="Travel",Table334[[#This Row],[Account Deposit Amount]]-Table334[[#This Row],[Account Withdrawl Amount]], )</f>
        <v>0</v>
      </c>
      <c r="S43" s="243">
        <f>IF(Table334[[#This Row],[Category]]="Parties Food &amp; Beverages",Table334[[#This Row],[Account Deposit Amount]]-Table334[[#This Row],[Account Withdrawl Amount]], )</f>
        <v>0</v>
      </c>
      <c r="T43" s="243">
        <f>IF(Table334[[#This Row],[Category]]="Service Projects Donation",Table334[[#This Row],[Account Deposit Amount]]-Table334[[#This Row],[Account Withdrawl Amount]], )</f>
        <v>0</v>
      </c>
      <c r="U43" s="243">
        <f>IF(Table334[[#This Row],[Category]]="Cookie Debt",Table334[[#This Row],[Account Deposit Amount]]-Table334[[#This Row],[Account Withdrawl Amount]], )</f>
        <v>0</v>
      </c>
      <c r="V43" s="243">
        <f>IF(Table334[[#This Row],[Category]]="Other Expense",Table334[[#This Row],[Account Deposit Amount]]-Table334[[#This Row],[Account Withdrawl Amount]], )</f>
        <v>0</v>
      </c>
    </row>
    <row r="44" spans="1:22">
      <c r="A44" s="245" t="s">
        <v>513</v>
      </c>
      <c r="B44" s="263">
        <v>45533</v>
      </c>
      <c r="C44" s="264" t="s">
        <v>514</v>
      </c>
      <c r="D44" s="265" t="s">
        <v>564</v>
      </c>
      <c r="E44" s="264"/>
      <c r="F44" s="264">
        <v>174.9</v>
      </c>
      <c r="G44" s="243">
        <f t="shared" si="2"/>
        <v>1597.3899999999987</v>
      </c>
      <c r="H44" s="224" t="s">
        <v>136</v>
      </c>
      <c r="I44" s="243">
        <f>IF(Table334[[#This Row],[Category]]="Fall Product",Table334[[#This Row],[Account Deposit Amount]]-Table334[[#This Row],[Account Withdrawl Amount]], )</f>
        <v>0</v>
      </c>
      <c r="J44" s="243">
        <f>IF(Table334[[#This Row],[Category]]="Cookies",Table334[[#This Row],[Account Deposit Amount]]-Table334[[#This Row],[Account Withdrawl Amount]], )</f>
        <v>0</v>
      </c>
      <c r="K44" s="243">
        <f>IF(Table334[[#This Row],[Category]]="Additional Money Earning Activities",Table334[[#This Row],[Account Deposit Amount]]-Table334[[#This Row],[Account Withdrawl Amount]], )</f>
        <v>0</v>
      </c>
      <c r="L44" s="243">
        <f>IF(Table334[[#This Row],[Category]]="Sponsorships",Table334[[#This Row],[Account Deposit Amount]]-Table334[[#This Row],[Account Withdrawl Amount]], )</f>
        <v>0</v>
      </c>
      <c r="M44" s="243">
        <f>IF(Table334[[#This Row],[Category]]="Troop Dues",Table334[[#This Row],[Account Deposit Amount]]-Table334[[#This Row],[Account Withdrawl Amount]], )</f>
        <v>0</v>
      </c>
      <c r="N44" s="243">
        <f>IF(Table334[[#This Row],[Category]]="Other Income",Table334[[#This Row],[Account Deposit Amount]]-Table334[[#This Row],[Account Withdrawl Amount]], )</f>
        <v>0</v>
      </c>
      <c r="O44" s="243">
        <f>IF(Table334[[#This Row],[Category]]="Registration",Table334[[#This Row],[Account Deposit Amount]]-Table334[[#This Row],[Account Withdrawl Amount]], )</f>
        <v>0</v>
      </c>
      <c r="P44" s="243">
        <f>IF(Table334[[#This Row],[Category]]="Insignia",Table334[[#This Row],[Account Deposit Amount]]-Table334[[#This Row],[Account Withdrawl Amount]], )</f>
        <v>0</v>
      </c>
      <c r="Q44" s="243">
        <f>IF(Table334[[#This Row],[Category]]="Activities/Program",Table334[[#This Row],[Account Deposit Amount]]-Table334[[#This Row],[Account Withdrawl Amount]], )</f>
        <v>-174.9</v>
      </c>
      <c r="R44" s="243">
        <f>IF(Table334[[#This Row],[Category]]="Travel",Table334[[#This Row],[Account Deposit Amount]]-Table334[[#This Row],[Account Withdrawl Amount]], )</f>
        <v>0</v>
      </c>
      <c r="S44" s="243">
        <f>IF(Table334[[#This Row],[Category]]="Parties Food &amp; Beverages",Table334[[#This Row],[Account Deposit Amount]]-Table334[[#This Row],[Account Withdrawl Amount]], )</f>
        <v>0</v>
      </c>
      <c r="T44" s="243">
        <f>IF(Table334[[#This Row],[Category]]="Service Projects Donation",Table334[[#This Row],[Account Deposit Amount]]-Table334[[#This Row],[Account Withdrawl Amount]], )</f>
        <v>0</v>
      </c>
      <c r="U44" s="243">
        <f>IF(Table334[[#This Row],[Category]]="Cookie Debt",Table334[[#This Row],[Account Deposit Amount]]-Table334[[#This Row],[Account Withdrawl Amount]], )</f>
        <v>0</v>
      </c>
      <c r="V44" s="243">
        <f>IF(Table334[[#This Row],[Category]]="Other Expense",Table334[[#This Row],[Account Deposit Amount]]-Table334[[#This Row],[Account Withdrawl Amount]], )</f>
        <v>0</v>
      </c>
    </row>
    <row r="45" spans="1:22">
      <c r="A45" s="261" t="s">
        <v>513</v>
      </c>
      <c r="B45" s="249">
        <v>45534</v>
      </c>
      <c r="C45" s="247" t="s">
        <v>565</v>
      </c>
      <c r="D45" s="247" t="s">
        <v>566</v>
      </c>
      <c r="E45" s="250"/>
      <c r="F45" s="251">
        <v>164</v>
      </c>
      <c r="G45" s="243">
        <f t="shared" si="2"/>
        <v>1433.3899999999987</v>
      </c>
      <c r="H45" s="247" t="s">
        <v>136</v>
      </c>
      <c r="I45" s="243">
        <f>IF(Table334[[#This Row],[Category]]="Fall Product",Table334[[#This Row],[Account Deposit Amount]]-Table334[[#This Row],[Account Withdrawl Amount]], )</f>
        <v>0</v>
      </c>
      <c r="J45" s="243">
        <f>IF(Table334[[#This Row],[Category]]="Cookies",Table334[[#This Row],[Account Deposit Amount]]-Table334[[#This Row],[Account Withdrawl Amount]], )</f>
        <v>0</v>
      </c>
      <c r="K45" s="243">
        <f>IF(Table334[[#This Row],[Category]]="Additional Money Earning Activities",Table334[[#This Row],[Account Deposit Amount]]-Table334[[#This Row],[Account Withdrawl Amount]], )</f>
        <v>0</v>
      </c>
      <c r="L45" s="243">
        <f>IF(Table334[[#This Row],[Category]]="Sponsorships",Table334[[#This Row],[Account Deposit Amount]]-Table334[[#This Row],[Account Withdrawl Amount]], )</f>
        <v>0</v>
      </c>
      <c r="M45" s="243">
        <f>IF(Table334[[#This Row],[Category]]="Troop Dues",Table334[[#This Row],[Account Deposit Amount]]-Table334[[#This Row],[Account Withdrawl Amount]], )</f>
        <v>0</v>
      </c>
      <c r="N45" s="243">
        <f>IF(Table334[[#This Row],[Category]]="Other Income",Table334[[#This Row],[Account Deposit Amount]]-Table334[[#This Row],[Account Withdrawl Amount]], )</f>
        <v>0</v>
      </c>
      <c r="O45" s="243">
        <f>IF(Table334[[#This Row],[Category]]="Registration",Table334[[#This Row],[Account Deposit Amount]]-Table334[[#This Row],[Account Withdrawl Amount]], )</f>
        <v>0</v>
      </c>
      <c r="P45" s="243">
        <f>IF(Table334[[#This Row],[Category]]="Insignia",Table334[[#This Row],[Account Deposit Amount]]-Table334[[#This Row],[Account Withdrawl Amount]], )</f>
        <v>0</v>
      </c>
      <c r="Q45" s="243">
        <f>IF(Table334[[#This Row],[Category]]="Activities/Program",Table334[[#This Row],[Account Deposit Amount]]-Table334[[#This Row],[Account Withdrawl Amount]], )</f>
        <v>-164</v>
      </c>
      <c r="R45" s="243">
        <f>IF(Table334[[#This Row],[Category]]="Travel",Table334[[#This Row],[Account Deposit Amount]]-Table334[[#This Row],[Account Withdrawl Amount]], )</f>
        <v>0</v>
      </c>
      <c r="S45" s="243">
        <f>IF(Table334[[#This Row],[Category]]="Parties Food &amp; Beverages",Table334[[#This Row],[Account Deposit Amount]]-Table334[[#This Row],[Account Withdrawl Amount]], )</f>
        <v>0</v>
      </c>
      <c r="T45" s="243">
        <f>IF(Table334[[#This Row],[Category]]="Service Projects Donation",Table334[[#This Row],[Account Deposit Amount]]-Table334[[#This Row],[Account Withdrawl Amount]], )</f>
        <v>0</v>
      </c>
      <c r="U45" s="243">
        <f>IF(Table334[[#This Row],[Category]]="Cookie Debt",Table334[[#This Row],[Account Deposit Amount]]-Table334[[#This Row],[Account Withdrawl Amount]], )</f>
        <v>0</v>
      </c>
      <c r="V45" s="243">
        <f>IF(Table334[[#This Row],[Category]]="Other Expense",Table334[[#This Row],[Account Deposit Amount]]-Table334[[#This Row],[Account Withdrawl Amount]], )</f>
        <v>0</v>
      </c>
    </row>
    <row r="46" spans="1:22">
      <c r="A46" s="245" t="s">
        <v>513</v>
      </c>
      <c r="B46" s="263">
        <v>45542</v>
      </c>
      <c r="C46" s="264" t="s">
        <v>355</v>
      </c>
      <c r="D46" s="265" t="s">
        <v>567</v>
      </c>
      <c r="E46" s="264"/>
      <c r="F46" s="264">
        <v>29.04</v>
      </c>
      <c r="G46" s="243">
        <f t="shared" si="2"/>
        <v>1404.3499999999988</v>
      </c>
      <c r="H46" s="224" t="s">
        <v>73</v>
      </c>
      <c r="I46" s="243">
        <f>IF(Table334[[#This Row],[Category]]="Fall Product",Table334[[#This Row],[Account Deposit Amount]]-Table334[[#This Row],[Account Withdrawl Amount]], )</f>
        <v>0</v>
      </c>
      <c r="J46" s="243">
        <f>IF(Table334[[#This Row],[Category]]="Cookies",Table334[[#This Row],[Account Deposit Amount]]-Table334[[#This Row],[Account Withdrawl Amount]], )</f>
        <v>0</v>
      </c>
      <c r="K46" s="243">
        <f>IF(Table334[[#This Row],[Category]]="Additional Money Earning Activities",Table334[[#This Row],[Account Deposit Amount]]-Table334[[#This Row],[Account Withdrawl Amount]], )</f>
        <v>0</v>
      </c>
      <c r="L46" s="243">
        <f>IF(Table334[[#This Row],[Category]]="Sponsorships",Table334[[#This Row],[Account Deposit Amount]]-Table334[[#This Row],[Account Withdrawl Amount]], )</f>
        <v>0</v>
      </c>
      <c r="M46" s="243">
        <f>IF(Table334[[#This Row],[Category]]="Troop Dues",Table334[[#This Row],[Account Deposit Amount]]-Table334[[#This Row],[Account Withdrawl Amount]], )</f>
        <v>0</v>
      </c>
      <c r="N46" s="243">
        <f>IF(Table334[[#This Row],[Category]]="Other Income",Table334[[#This Row],[Account Deposit Amount]]-Table334[[#This Row],[Account Withdrawl Amount]], )</f>
        <v>0</v>
      </c>
      <c r="O46" s="243">
        <f>IF(Table334[[#This Row],[Category]]="Registration",Table334[[#This Row],[Account Deposit Amount]]-Table334[[#This Row],[Account Withdrawl Amount]], )</f>
        <v>0</v>
      </c>
      <c r="P46" s="243">
        <f>IF(Table334[[#This Row],[Category]]="Insignia",Table334[[#This Row],[Account Deposit Amount]]-Table334[[#This Row],[Account Withdrawl Amount]], )</f>
        <v>0</v>
      </c>
      <c r="Q46" s="243">
        <f>IF(Table334[[#This Row],[Category]]="Activities/Program",Table334[[#This Row],[Account Deposit Amount]]-Table334[[#This Row],[Account Withdrawl Amount]], )</f>
        <v>0</v>
      </c>
      <c r="R46" s="243">
        <f>IF(Table334[[#This Row],[Category]]="Travel",Table334[[#This Row],[Account Deposit Amount]]-Table334[[#This Row],[Account Withdrawl Amount]], )</f>
        <v>0</v>
      </c>
      <c r="S46" s="243">
        <f>IF(Table334[[#This Row],[Category]]="Parties Food &amp; Beverages",Table334[[#This Row],[Account Deposit Amount]]-Table334[[#This Row],[Account Withdrawl Amount]], )</f>
        <v>0</v>
      </c>
      <c r="T46" s="243">
        <f>IF(Table334[[#This Row],[Category]]="Service Projects Donation",Table334[[#This Row],[Account Deposit Amount]]-Table334[[#This Row],[Account Withdrawl Amount]], )</f>
        <v>0</v>
      </c>
      <c r="U46" s="243">
        <f>IF(Table334[[#This Row],[Category]]="Cookie Debt",Table334[[#This Row],[Account Deposit Amount]]-Table334[[#This Row],[Account Withdrawl Amount]], )</f>
        <v>0</v>
      </c>
      <c r="V46" s="243">
        <f>IF(Table334[[#This Row],[Category]]="Other Expense",Table334[[#This Row],[Account Deposit Amount]]-Table334[[#This Row],[Account Withdrawl Amount]], )</f>
        <v>-29.04</v>
      </c>
    </row>
    <row r="47" spans="1:22">
      <c r="A47" s="261" t="s">
        <v>513</v>
      </c>
      <c r="B47" s="249">
        <v>45545</v>
      </c>
      <c r="C47" s="247" t="s">
        <v>527</v>
      </c>
      <c r="D47" s="247" t="s">
        <v>568</v>
      </c>
      <c r="E47" s="250"/>
      <c r="F47" s="251">
        <v>12.07</v>
      </c>
      <c r="G47" s="243">
        <f t="shared" si="2"/>
        <v>1392.2799999999988</v>
      </c>
      <c r="H47" s="247" t="s">
        <v>136</v>
      </c>
      <c r="I47" s="243">
        <f>IF(Table334[[#This Row],[Category]]="Fall Product",Table334[[#This Row],[Account Deposit Amount]]-Table334[[#This Row],[Account Withdrawl Amount]], )</f>
        <v>0</v>
      </c>
      <c r="J47" s="243">
        <f>IF(Table334[[#This Row],[Category]]="Cookies",Table334[[#This Row],[Account Deposit Amount]]-Table334[[#This Row],[Account Withdrawl Amount]], )</f>
        <v>0</v>
      </c>
      <c r="K47" s="243">
        <f>IF(Table334[[#This Row],[Category]]="Additional Money Earning Activities",Table334[[#This Row],[Account Deposit Amount]]-Table334[[#This Row],[Account Withdrawl Amount]], )</f>
        <v>0</v>
      </c>
      <c r="L47" s="243">
        <f>IF(Table334[[#This Row],[Category]]="Sponsorships",Table334[[#This Row],[Account Deposit Amount]]-Table334[[#This Row],[Account Withdrawl Amount]], )</f>
        <v>0</v>
      </c>
      <c r="M47" s="243">
        <f>IF(Table334[[#This Row],[Category]]="Troop Dues",Table334[[#This Row],[Account Deposit Amount]]-Table334[[#This Row],[Account Withdrawl Amount]], )</f>
        <v>0</v>
      </c>
      <c r="N47" s="243">
        <f>IF(Table334[[#This Row],[Category]]="Other Income",Table334[[#This Row],[Account Deposit Amount]]-Table334[[#This Row],[Account Withdrawl Amount]], )</f>
        <v>0</v>
      </c>
      <c r="O47" s="243">
        <f>IF(Table334[[#This Row],[Category]]="Registration",Table334[[#This Row],[Account Deposit Amount]]-Table334[[#This Row],[Account Withdrawl Amount]], )</f>
        <v>0</v>
      </c>
      <c r="P47" s="243">
        <f>IF(Table334[[#This Row],[Category]]="Insignia",Table334[[#This Row],[Account Deposit Amount]]-Table334[[#This Row],[Account Withdrawl Amount]], )</f>
        <v>0</v>
      </c>
      <c r="Q47" s="243">
        <f>IF(Table334[[#This Row],[Category]]="Activities/Program",Table334[[#This Row],[Account Deposit Amount]]-Table334[[#This Row],[Account Withdrawl Amount]], )</f>
        <v>-12.07</v>
      </c>
      <c r="R47" s="243">
        <f>IF(Table334[[#This Row],[Category]]="Travel",Table334[[#This Row],[Account Deposit Amount]]-Table334[[#This Row],[Account Withdrawl Amount]], )</f>
        <v>0</v>
      </c>
      <c r="S47" s="243">
        <f>IF(Table334[[#This Row],[Category]]="Parties Food &amp; Beverages",Table334[[#This Row],[Account Deposit Amount]]-Table334[[#This Row],[Account Withdrawl Amount]], )</f>
        <v>0</v>
      </c>
      <c r="T47" s="243">
        <f>IF(Table334[[#This Row],[Category]]="Service Projects Donation",Table334[[#This Row],[Account Deposit Amount]]-Table334[[#This Row],[Account Withdrawl Amount]], )</f>
        <v>0</v>
      </c>
      <c r="U47" s="243">
        <f>IF(Table334[[#This Row],[Category]]="Cookie Debt",Table334[[#This Row],[Account Deposit Amount]]-Table334[[#This Row],[Account Withdrawl Amount]], )</f>
        <v>0</v>
      </c>
      <c r="V47" s="243">
        <f>IF(Table334[[#This Row],[Category]]="Other Expense",Table334[[#This Row],[Account Deposit Amount]]-Table334[[#This Row],[Account Withdrawl Amount]], )</f>
        <v>0</v>
      </c>
    </row>
    <row r="48" spans="1:22">
      <c r="A48" s="245" t="s">
        <v>513</v>
      </c>
      <c r="B48" s="263">
        <v>45549</v>
      </c>
      <c r="C48" s="264" t="s">
        <v>244</v>
      </c>
      <c r="D48" s="265" t="s">
        <v>569</v>
      </c>
      <c r="E48" s="264"/>
      <c r="F48" s="264">
        <v>43.85</v>
      </c>
      <c r="G48" s="243">
        <f t="shared" si="2"/>
        <v>1348.4299999999989</v>
      </c>
      <c r="H48" s="224" t="s">
        <v>530</v>
      </c>
      <c r="I48" s="243">
        <f>IF(Table334[[#This Row],[Category]]="Fall Product",Table334[[#This Row],[Account Deposit Amount]]-Table334[[#This Row],[Account Withdrawl Amount]], )</f>
        <v>0</v>
      </c>
      <c r="J48" s="243">
        <f>IF(Table334[[#This Row],[Category]]="Cookies",Table334[[#This Row],[Account Deposit Amount]]-Table334[[#This Row],[Account Withdrawl Amount]], )</f>
        <v>0</v>
      </c>
      <c r="K48" s="243">
        <f>IF(Table334[[#This Row],[Category]]="Additional Money Earning Activities",Table334[[#This Row],[Account Deposit Amount]]-Table334[[#This Row],[Account Withdrawl Amount]], )</f>
        <v>0</v>
      </c>
      <c r="L48" s="243">
        <f>IF(Table334[[#This Row],[Category]]="Sponsorships",Table334[[#This Row],[Account Deposit Amount]]-Table334[[#This Row],[Account Withdrawl Amount]], )</f>
        <v>0</v>
      </c>
      <c r="M48" s="243">
        <f>IF(Table334[[#This Row],[Category]]="Troop Dues",Table334[[#This Row],[Account Deposit Amount]]-Table334[[#This Row],[Account Withdrawl Amount]], )</f>
        <v>0</v>
      </c>
      <c r="N48" s="243">
        <f>IF(Table334[[#This Row],[Category]]="Other Income",Table334[[#This Row],[Account Deposit Amount]]-Table334[[#This Row],[Account Withdrawl Amount]], )</f>
        <v>0</v>
      </c>
      <c r="O48" s="243">
        <f>IF(Table334[[#This Row],[Category]]="Registration",Table334[[#This Row],[Account Deposit Amount]]-Table334[[#This Row],[Account Withdrawl Amount]], )</f>
        <v>0</v>
      </c>
      <c r="P48" s="243">
        <f>IF(Table334[[#This Row],[Category]]="Insignia",Table334[[#This Row],[Account Deposit Amount]]-Table334[[#This Row],[Account Withdrawl Amount]], )</f>
        <v>0</v>
      </c>
      <c r="Q48" s="243">
        <f>IF(Table334[[#This Row],[Category]]="Activities/Program",Table334[[#This Row],[Account Deposit Amount]]-Table334[[#This Row],[Account Withdrawl Amount]], )</f>
        <v>0</v>
      </c>
      <c r="R48" s="243">
        <f>IF(Table334[[#This Row],[Category]]="Travel",Table334[[#This Row],[Account Deposit Amount]]-Table334[[#This Row],[Account Withdrawl Amount]], )</f>
        <v>0</v>
      </c>
      <c r="S48" s="243">
        <f>IF(Table334[[#This Row],[Category]]="Parties Food &amp; Beverages",Table334[[#This Row],[Account Deposit Amount]]-Table334[[#This Row],[Account Withdrawl Amount]], )</f>
        <v>-43.85</v>
      </c>
      <c r="T48" s="243">
        <f>IF(Table334[[#This Row],[Category]]="Service Projects Donation",Table334[[#This Row],[Account Deposit Amount]]-Table334[[#This Row],[Account Withdrawl Amount]], )</f>
        <v>0</v>
      </c>
      <c r="U48" s="243">
        <f>IF(Table334[[#This Row],[Category]]="Cookie Debt",Table334[[#This Row],[Account Deposit Amount]]-Table334[[#This Row],[Account Withdrawl Amount]], )</f>
        <v>0</v>
      </c>
      <c r="V48" s="243">
        <f>IF(Table334[[#This Row],[Category]]="Other Expense",Table334[[#This Row],[Account Deposit Amount]]-Table334[[#This Row],[Account Withdrawl Amount]], )</f>
        <v>0</v>
      </c>
    </row>
    <row r="49" spans="1:22">
      <c r="A49" s="261" t="s">
        <v>513</v>
      </c>
      <c r="B49" s="249">
        <v>45551</v>
      </c>
      <c r="C49" s="247" t="s">
        <v>516</v>
      </c>
      <c r="D49" s="247" t="s">
        <v>570</v>
      </c>
      <c r="E49" s="250"/>
      <c r="F49" s="251">
        <v>24.79</v>
      </c>
      <c r="G49" s="243">
        <f t="shared" si="2"/>
        <v>1323.639999999999</v>
      </c>
      <c r="H49" s="247" t="s">
        <v>136</v>
      </c>
      <c r="I49" s="243">
        <f>IF(Table334[[#This Row],[Category]]="Fall Product",Table334[[#This Row],[Account Deposit Amount]]-Table334[[#This Row],[Account Withdrawl Amount]], )</f>
        <v>0</v>
      </c>
      <c r="J49" s="243">
        <f>IF(Table334[[#This Row],[Category]]="Cookies",Table334[[#This Row],[Account Deposit Amount]]-Table334[[#This Row],[Account Withdrawl Amount]], )</f>
        <v>0</v>
      </c>
      <c r="K49" s="243">
        <f>IF(Table334[[#This Row],[Category]]="Additional Money Earning Activities",Table334[[#This Row],[Account Deposit Amount]]-Table334[[#This Row],[Account Withdrawl Amount]], )</f>
        <v>0</v>
      </c>
      <c r="L49" s="243">
        <f>IF(Table334[[#This Row],[Category]]="Sponsorships",Table334[[#This Row],[Account Deposit Amount]]-Table334[[#This Row],[Account Withdrawl Amount]], )</f>
        <v>0</v>
      </c>
      <c r="M49" s="243">
        <f>IF(Table334[[#This Row],[Category]]="Troop Dues",Table334[[#This Row],[Account Deposit Amount]]-Table334[[#This Row],[Account Withdrawl Amount]], )</f>
        <v>0</v>
      </c>
      <c r="N49" s="243">
        <f>IF(Table334[[#This Row],[Category]]="Other Income",Table334[[#This Row],[Account Deposit Amount]]-Table334[[#This Row],[Account Withdrawl Amount]], )</f>
        <v>0</v>
      </c>
      <c r="O49" s="243">
        <f>IF(Table334[[#This Row],[Category]]="Registration",Table334[[#This Row],[Account Deposit Amount]]-Table334[[#This Row],[Account Withdrawl Amount]], )</f>
        <v>0</v>
      </c>
      <c r="P49" s="243">
        <f>IF(Table334[[#This Row],[Category]]="Insignia",Table334[[#This Row],[Account Deposit Amount]]-Table334[[#This Row],[Account Withdrawl Amount]], )</f>
        <v>0</v>
      </c>
      <c r="Q49" s="243">
        <f>IF(Table334[[#This Row],[Category]]="Activities/Program",Table334[[#This Row],[Account Deposit Amount]]-Table334[[#This Row],[Account Withdrawl Amount]], )</f>
        <v>-24.79</v>
      </c>
      <c r="R49" s="243">
        <f>IF(Table334[[#This Row],[Category]]="Travel",Table334[[#This Row],[Account Deposit Amount]]-Table334[[#This Row],[Account Withdrawl Amount]], )</f>
        <v>0</v>
      </c>
      <c r="S49" s="243">
        <f>IF(Table334[[#This Row],[Category]]="Parties Food &amp; Beverages",Table334[[#This Row],[Account Deposit Amount]]-Table334[[#This Row],[Account Withdrawl Amount]], )</f>
        <v>0</v>
      </c>
      <c r="T49" s="243">
        <f>IF(Table334[[#This Row],[Category]]="Service Projects Donation",Table334[[#This Row],[Account Deposit Amount]]-Table334[[#This Row],[Account Withdrawl Amount]], )</f>
        <v>0</v>
      </c>
      <c r="U49" s="243">
        <f>IF(Table334[[#This Row],[Category]]="Cookie Debt",Table334[[#This Row],[Account Deposit Amount]]-Table334[[#This Row],[Account Withdrawl Amount]], )</f>
        <v>0</v>
      </c>
      <c r="V49" s="243">
        <f>IF(Table334[[#This Row],[Category]]="Other Expense",Table334[[#This Row],[Account Deposit Amount]]-Table334[[#This Row],[Account Withdrawl Amount]], )</f>
        <v>0</v>
      </c>
    </row>
    <row r="50" spans="1:22" ht="27.6">
      <c r="A50" s="245" t="s">
        <v>513</v>
      </c>
      <c r="B50" s="263">
        <v>45555</v>
      </c>
      <c r="C50" s="264" t="s">
        <v>571</v>
      </c>
      <c r="D50" s="265" t="s">
        <v>572</v>
      </c>
      <c r="E50" s="264"/>
      <c r="F50" s="264">
        <v>1</v>
      </c>
      <c r="G50" s="243">
        <f t="shared" si="2"/>
        <v>1322.639999999999</v>
      </c>
      <c r="H50" s="224" t="s">
        <v>73</v>
      </c>
      <c r="I50" s="243">
        <f>IF(Table334[[#This Row],[Category]]="Fall Product",Table334[[#This Row],[Account Deposit Amount]]-Table334[[#This Row],[Account Withdrawl Amount]], )</f>
        <v>0</v>
      </c>
      <c r="J50" s="243">
        <f>IF(Table334[[#This Row],[Category]]="Cookies",Table334[[#This Row],[Account Deposit Amount]]-Table334[[#This Row],[Account Withdrawl Amount]], )</f>
        <v>0</v>
      </c>
      <c r="K50" s="243">
        <f>IF(Table334[[#This Row],[Category]]="Additional Money Earning Activities",Table334[[#This Row],[Account Deposit Amount]]-Table334[[#This Row],[Account Withdrawl Amount]], )</f>
        <v>0</v>
      </c>
      <c r="L50" s="243">
        <f>IF(Table334[[#This Row],[Category]]="Sponsorships",Table334[[#This Row],[Account Deposit Amount]]-Table334[[#This Row],[Account Withdrawl Amount]], )</f>
        <v>0</v>
      </c>
      <c r="M50" s="243">
        <f>IF(Table334[[#This Row],[Category]]="Troop Dues",Table334[[#This Row],[Account Deposit Amount]]-Table334[[#This Row],[Account Withdrawl Amount]], )</f>
        <v>0</v>
      </c>
      <c r="N50" s="243">
        <f>IF(Table334[[#This Row],[Category]]="Other Income",Table334[[#This Row],[Account Deposit Amount]]-Table334[[#This Row],[Account Withdrawl Amount]], )</f>
        <v>0</v>
      </c>
      <c r="O50" s="243">
        <f>IF(Table334[[#This Row],[Category]]="Registration",Table334[[#This Row],[Account Deposit Amount]]-Table334[[#This Row],[Account Withdrawl Amount]], )</f>
        <v>0</v>
      </c>
      <c r="P50" s="243">
        <f>IF(Table334[[#This Row],[Category]]="Insignia",Table334[[#This Row],[Account Deposit Amount]]-Table334[[#This Row],[Account Withdrawl Amount]], )</f>
        <v>0</v>
      </c>
      <c r="Q50" s="243">
        <f>IF(Table334[[#This Row],[Category]]="Activities/Program",Table334[[#This Row],[Account Deposit Amount]]-Table334[[#This Row],[Account Withdrawl Amount]], )</f>
        <v>0</v>
      </c>
      <c r="R50" s="243">
        <f>IF(Table334[[#This Row],[Category]]="Travel",Table334[[#This Row],[Account Deposit Amount]]-Table334[[#This Row],[Account Withdrawl Amount]], )</f>
        <v>0</v>
      </c>
      <c r="S50" s="243">
        <f>IF(Table334[[#This Row],[Category]]="Parties Food &amp; Beverages",Table334[[#This Row],[Account Deposit Amount]]-Table334[[#This Row],[Account Withdrawl Amount]], )</f>
        <v>0</v>
      </c>
      <c r="T50" s="243">
        <f>IF(Table334[[#This Row],[Category]]="Service Projects Donation",Table334[[#This Row],[Account Deposit Amount]]-Table334[[#This Row],[Account Withdrawl Amount]], )</f>
        <v>0</v>
      </c>
      <c r="U50" s="243">
        <f>IF(Table334[[#This Row],[Category]]="Cookie Debt",Table334[[#This Row],[Account Deposit Amount]]-Table334[[#This Row],[Account Withdrawl Amount]], )</f>
        <v>0</v>
      </c>
      <c r="V50" s="243">
        <f>IF(Table334[[#This Row],[Category]]="Other Expense",Table334[[#This Row],[Account Deposit Amount]]-Table334[[#This Row],[Account Withdrawl Amount]], )</f>
        <v>-1</v>
      </c>
    </row>
    <row r="51" spans="1:22" ht="27.6">
      <c r="A51" s="261" t="s">
        <v>513</v>
      </c>
      <c r="B51" s="249">
        <v>45558</v>
      </c>
      <c r="C51" s="247" t="s">
        <v>244</v>
      </c>
      <c r="D51" s="247" t="s">
        <v>573</v>
      </c>
      <c r="E51" s="250"/>
      <c r="F51" s="251">
        <v>153.63</v>
      </c>
      <c r="G51" s="243">
        <f t="shared" si="2"/>
        <v>1169.0099999999989</v>
      </c>
      <c r="H51" s="247" t="s">
        <v>530</v>
      </c>
      <c r="I51" s="243">
        <f>IF(Table334[[#This Row],[Category]]="Fall Product",Table334[[#This Row],[Account Deposit Amount]]-Table334[[#This Row],[Account Withdrawl Amount]], )</f>
        <v>0</v>
      </c>
      <c r="J51" s="243">
        <f>IF(Table334[[#This Row],[Category]]="Cookies",Table334[[#This Row],[Account Deposit Amount]]-Table334[[#This Row],[Account Withdrawl Amount]], )</f>
        <v>0</v>
      </c>
      <c r="K51" s="243">
        <f>IF(Table334[[#This Row],[Category]]="Additional Money Earning Activities",Table334[[#This Row],[Account Deposit Amount]]-Table334[[#This Row],[Account Withdrawl Amount]], )</f>
        <v>0</v>
      </c>
      <c r="L51" s="243">
        <f>IF(Table334[[#This Row],[Category]]="Sponsorships",Table334[[#This Row],[Account Deposit Amount]]-Table334[[#This Row],[Account Withdrawl Amount]], )</f>
        <v>0</v>
      </c>
      <c r="M51" s="243">
        <f>IF(Table334[[#This Row],[Category]]="Troop Dues",Table334[[#This Row],[Account Deposit Amount]]-Table334[[#This Row],[Account Withdrawl Amount]], )</f>
        <v>0</v>
      </c>
      <c r="N51" s="243">
        <f>IF(Table334[[#This Row],[Category]]="Other Income",Table334[[#This Row],[Account Deposit Amount]]-Table334[[#This Row],[Account Withdrawl Amount]], )</f>
        <v>0</v>
      </c>
      <c r="O51" s="243">
        <f>IF(Table334[[#This Row],[Category]]="Registration",Table334[[#This Row],[Account Deposit Amount]]-Table334[[#This Row],[Account Withdrawl Amount]], )</f>
        <v>0</v>
      </c>
      <c r="P51" s="243">
        <f>IF(Table334[[#This Row],[Category]]="Insignia",Table334[[#This Row],[Account Deposit Amount]]-Table334[[#This Row],[Account Withdrawl Amount]], )</f>
        <v>0</v>
      </c>
      <c r="Q51" s="243">
        <f>IF(Table334[[#This Row],[Category]]="Activities/Program",Table334[[#This Row],[Account Deposit Amount]]-Table334[[#This Row],[Account Withdrawl Amount]], )</f>
        <v>0</v>
      </c>
      <c r="R51" s="243">
        <f>IF(Table334[[#This Row],[Category]]="Travel",Table334[[#This Row],[Account Deposit Amount]]-Table334[[#This Row],[Account Withdrawl Amount]], )</f>
        <v>0</v>
      </c>
      <c r="S51" s="243">
        <f>IF(Table334[[#This Row],[Category]]="Parties Food &amp; Beverages",Table334[[#This Row],[Account Deposit Amount]]-Table334[[#This Row],[Account Withdrawl Amount]], )</f>
        <v>-153.63</v>
      </c>
      <c r="T51" s="243">
        <f>IF(Table334[[#This Row],[Category]]="Service Projects Donation",Table334[[#This Row],[Account Deposit Amount]]-Table334[[#This Row],[Account Withdrawl Amount]], )</f>
        <v>0</v>
      </c>
      <c r="U51" s="243">
        <f>IF(Table334[[#This Row],[Category]]="Cookie Debt",Table334[[#This Row],[Account Deposit Amount]]-Table334[[#This Row],[Account Withdrawl Amount]], )</f>
        <v>0</v>
      </c>
      <c r="V51" s="243">
        <f>IF(Table334[[#This Row],[Category]]="Other Expense",Table334[[#This Row],[Account Deposit Amount]]-Table334[[#This Row],[Account Withdrawl Amount]], )</f>
        <v>0</v>
      </c>
    </row>
    <row r="52" spans="1:22">
      <c r="A52" s="245" t="s">
        <v>513</v>
      </c>
      <c r="B52" s="263">
        <v>45558</v>
      </c>
      <c r="C52" s="264" t="s">
        <v>362</v>
      </c>
      <c r="D52" s="265" t="s">
        <v>573</v>
      </c>
      <c r="E52" s="264"/>
      <c r="F52" s="264">
        <v>118.57</v>
      </c>
      <c r="G52" s="243">
        <f t="shared" si="2"/>
        <v>1050.4399999999989</v>
      </c>
      <c r="H52" s="224" t="s">
        <v>530</v>
      </c>
      <c r="I52" s="243">
        <f>IF(Table334[[#This Row],[Category]]="Fall Product",Table334[[#This Row],[Account Deposit Amount]]-Table334[[#This Row],[Account Withdrawl Amount]], )</f>
        <v>0</v>
      </c>
      <c r="J52" s="243">
        <f>IF(Table334[[#This Row],[Category]]="Cookies",Table334[[#This Row],[Account Deposit Amount]]-Table334[[#This Row],[Account Withdrawl Amount]], )</f>
        <v>0</v>
      </c>
      <c r="K52" s="243">
        <f>IF(Table334[[#This Row],[Category]]="Additional Money Earning Activities",Table334[[#This Row],[Account Deposit Amount]]-Table334[[#This Row],[Account Withdrawl Amount]], )</f>
        <v>0</v>
      </c>
      <c r="L52" s="243">
        <f>IF(Table334[[#This Row],[Category]]="Sponsorships",Table334[[#This Row],[Account Deposit Amount]]-Table334[[#This Row],[Account Withdrawl Amount]], )</f>
        <v>0</v>
      </c>
      <c r="M52" s="243">
        <f>IF(Table334[[#This Row],[Category]]="Troop Dues",Table334[[#This Row],[Account Deposit Amount]]-Table334[[#This Row],[Account Withdrawl Amount]], )</f>
        <v>0</v>
      </c>
      <c r="N52" s="243">
        <f>IF(Table334[[#This Row],[Category]]="Other Income",Table334[[#This Row],[Account Deposit Amount]]-Table334[[#This Row],[Account Withdrawl Amount]], )</f>
        <v>0</v>
      </c>
      <c r="O52" s="243">
        <f>IF(Table334[[#This Row],[Category]]="Registration",Table334[[#This Row],[Account Deposit Amount]]-Table334[[#This Row],[Account Withdrawl Amount]], )</f>
        <v>0</v>
      </c>
      <c r="P52" s="243">
        <f>IF(Table334[[#This Row],[Category]]="Insignia",Table334[[#This Row],[Account Deposit Amount]]-Table334[[#This Row],[Account Withdrawl Amount]], )</f>
        <v>0</v>
      </c>
      <c r="Q52" s="243">
        <f>IF(Table334[[#This Row],[Category]]="Activities/Program",Table334[[#This Row],[Account Deposit Amount]]-Table334[[#This Row],[Account Withdrawl Amount]], )</f>
        <v>0</v>
      </c>
      <c r="R52" s="243">
        <f>IF(Table334[[#This Row],[Category]]="Travel",Table334[[#This Row],[Account Deposit Amount]]-Table334[[#This Row],[Account Withdrawl Amount]], )</f>
        <v>0</v>
      </c>
      <c r="S52" s="243">
        <f>IF(Table334[[#This Row],[Category]]="Parties Food &amp; Beverages",Table334[[#This Row],[Account Deposit Amount]]-Table334[[#This Row],[Account Withdrawl Amount]], )</f>
        <v>-118.57</v>
      </c>
      <c r="T52" s="243">
        <f>IF(Table334[[#This Row],[Category]]="Service Projects Donation",Table334[[#This Row],[Account Deposit Amount]]-Table334[[#This Row],[Account Withdrawl Amount]], )</f>
        <v>0</v>
      </c>
      <c r="U52" s="243">
        <f>IF(Table334[[#This Row],[Category]]="Cookie Debt",Table334[[#This Row],[Account Deposit Amount]]-Table334[[#This Row],[Account Withdrawl Amount]], )</f>
        <v>0</v>
      </c>
      <c r="V52" s="243">
        <f>IF(Table334[[#This Row],[Category]]="Other Expense",Table334[[#This Row],[Account Deposit Amount]]-Table334[[#This Row],[Account Withdrawl Amount]], )</f>
        <v>0</v>
      </c>
    </row>
    <row r="53" spans="1:22">
      <c r="A53" s="261" t="s">
        <v>513</v>
      </c>
      <c r="B53" s="249">
        <v>45559</v>
      </c>
      <c r="C53" s="247" t="s">
        <v>574</v>
      </c>
      <c r="D53" s="247" t="s">
        <v>575</v>
      </c>
      <c r="E53" s="250"/>
      <c r="F53" s="251">
        <v>200</v>
      </c>
      <c r="G53" s="243">
        <f t="shared" si="2"/>
        <v>850.43999999999892</v>
      </c>
      <c r="H53" s="247" t="s">
        <v>136</v>
      </c>
      <c r="I53" s="243">
        <f>IF(Table334[[#This Row],[Category]]="Fall Product",Table334[[#This Row],[Account Deposit Amount]]-Table334[[#This Row],[Account Withdrawl Amount]], )</f>
        <v>0</v>
      </c>
      <c r="J53" s="243">
        <f>IF(Table334[[#This Row],[Category]]="Cookies",Table334[[#This Row],[Account Deposit Amount]]-Table334[[#This Row],[Account Withdrawl Amount]], )</f>
        <v>0</v>
      </c>
      <c r="K53" s="243">
        <f>IF(Table334[[#This Row],[Category]]="Additional Money Earning Activities",Table334[[#This Row],[Account Deposit Amount]]-Table334[[#This Row],[Account Withdrawl Amount]], )</f>
        <v>0</v>
      </c>
      <c r="L53" s="243">
        <f>IF(Table334[[#This Row],[Category]]="Sponsorships",Table334[[#This Row],[Account Deposit Amount]]-Table334[[#This Row],[Account Withdrawl Amount]], )</f>
        <v>0</v>
      </c>
      <c r="M53" s="243">
        <f>IF(Table334[[#This Row],[Category]]="Troop Dues",Table334[[#This Row],[Account Deposit Amount]]-Table334[[#This Row],[Account Withdrawl Amount]], )</f>
        <v>0</v>
      </c>
      <c r="N53" s="243">
        <f>IF(Table334[[#This Row],[Category]]="Other Income",Table334[[#This Row],[Account Deposit Amount]]-Table334[[#This Row],[Account Withdrawl Amount]], )</f>
        <v>0</v>
      </c>
      <c r="O53" s="243">
        <f>IF(Table334[[#This Row],[Category]]="Registration",Table334[[#This Row],[Account Deposit Amount]]-Table334[[#This Row],[Account Withdrawl Amount]], )</f>
        <v>0</v>
      </c>
      <c r="P53" s="243">
        <f>IF(Table334[[#This Row],[Category]]="Insignia",Table334[[#This Row],[Account Deposit Amount]]-Table334[[#This Row],[Account Withdrawl Amount]], )</f>
        <v>0</v>
      </c>
      <c r="Q53" s="243">
        <f>IF(Table334[[#This Row],[Category]]="Activities/Program",Table334[[#This Row],[Account Deposit Amount]]-Table334[[#This Row],[Account Withdrawl Amount]], )</f>
        <v>-200</v>
      </c>
      <c r="R53" s="243">
        <f>IF(Table334[[#This Row],[Category]]="Travel",Table334[[#This Row],[Account Deposit Amount]]-Table334[[#This Row],[Account Withdrawl Amount]], )</f>
        <v>0</v>
      </c>
      <c r="S53" s="243">
        <f>IF(Table334[[#This Row],[Category]]="Parties Food &amp; Beverages",Table334[[#This Row],[Account Deposit Amount]]-Table334[[#This Row],[Account Withdrawl Amount]], )</f>
        <v>0</v>
      </c>
      <c r="T53" s="243">
        <f>IF(Table334[[#This Row],[Category]]="Service Projects Donation",Table334[[#This Row],[Account Deposit Amount]]-Table334[[#This Row],[Account Withdrawl Amount]], )</f>
        <v>0</v>
      </c>
      <c r="U53" s="243">
        <f>IF(Table334[[#This Row],[Category]]="Cookie Debt",Table334[[#This Row],[Account Deposit Amount]]-Table334[[#This Row],[Account Withdrawl Amount]], )</f>
        <v>0</v>
      </c>
      <c r="V53" s="243">
        <f>IF(Table334[[#This Row],[Category]]="Other Expense",Table334[[#This Row],[Account Deposit Amount]]-Table334[[#This Row],[Account Withdrawl Amount]], )</f>
        <v>0</v>
      </c>
    </row>
    <row r="54" spans="1:22">
      <c r="A54" s="245" t="s">
        <v>513</v>
      </c>
      <c r="B54" s="263">
        <v>45573</v>
      </c>
      <c r="C54" s="264" t="s">
        <v>516</v>
      </c>
      <c r="D54" s="265" t="s">
        <v>576</v>
      </c>
      <c r="E54" s="264"/>
      <c r="F54" s="264">
        <v>45.54</v>
      </c>
      <c r="G54" s="243">
        <f t="shared" si="2"/>
        <v>804.89999999999895</v>
      </c>
      <c r="H54" s="224" t="s">
        <v>136</v>
      </c>
      <c r="I54" s="243">
        <f>IF(Table334[[#This Row],[Category]]="Fall Product",Table334[[#This Row],[Account Deposit Amount]]-Table334[[#This Row],[Account Withdrawl Amount]], )</f>
        <v>0</v>
      </c>
      <c r="J54" s="243">
        <f>IF(Table334[[#This Row],[Category]]="Cookies",Table334[[#This Row],[Account Deposit Amount]]-Table334[[#This Row],[Account Withdrawl Amount]], )</f>
        <v>0</v>
      </c>
      <c r="K54" s="243">
        <f>IF(Table334[[#This Row],[Category]]="Additional Money Earning Activities",Table334[[#This Row],[Account Deposit Amount]]-Table334[[#This Row],[Account Withdrawl Amount]], )</f>
        <v>0</v>
      </c>
      <c r="L54" s="243">
        <f>IF(Table334[[#This Row],[Category]]="Sponsorships",Table334[[#This Row],[Account Deposit Amount]]-Table334[[#This Row],[Account Withdrawl Amount]], )</f>
        <v>0</v>
      </c>
      <c r="M54" s="243">
        <f>IF(Table334[[#This Row],[Category]]="Troop Dues",Table334[[#This Row],[Account Deposit Amount]]-Table334[[#This Row],[Account Withdrawl Amount]], )</f>
        <v>0</v>
      </c>
      <c r="N54" s="243">
        <f>IF(Table334[[#This Row],[Category]]="Other Income",Table334[[#This Row],[Account Deposit Amount]]-Table334[[#This Row],[Account Withdrawl Amount]], )</f>
        <v>0</v>
      </c>
      <c r="O54" s="243">
        <f>IF(Table334[[#This Row],[Category]]="Registration",Table334[[#This Row],[Account Deposit Amount]]-Table334[[#This Row],[Account Withdrawl Amount]], )</f>
        <v>0</v>
      </c>
      <c r="P54" s="243">
        <f>IF(Table334[[#This Row],[Category]]="Insignia",Table334[[#This Row],[Account Deposit Amount]]-Table334[[#This Row],[Account Withdrawl Amount]], )</f>
        <v>0</v>
      </c>
      <c r="Q54" s="243">
        <f>IF(Table334[[#This Row],[Category]]="Activities/Program",Table334[[#This Row],[Account Deposit Amount]]-Table334[[#This Row],[Account Withdrawl Amount]], )</f>
        <v>-45.54</v>
      </c>
      <c r="R54" s="243">
        <f>IF(Table334[[#This Row],[Category]]="Travel",Table334[[#This Row],[Account Deposit Amount]]-Table334[[#This Row],[Account Withdrawl Amount]], )</f>
        <v>0</v>
      </c>
      <c r="S54" s="243">
        <f>IF(Table334[[#This Row],[Category]]="Parties Food &amp; Beverages",Table334[[#This Row],[Account Deposit Amount]]-Table334[[#This Row],[Account Withdrawl Amount]], )</f>
        <v>0</v>
      </c>
      <c r="T54" s="243">
        <f>IF(Table334[[#This Row],[Category]]="Service Projects Donation",Table334[[#This Row],[Account Deposit Amount]]-Table334[[#This Row],[Account Withdrawl Amount]], )</f>
        <v>0</v>
      </c>
      <c r="U54" s="243">
        <f>IF(Table334[[#This Row],[Category]]="Cookie Debt",Table334[[#This Row],[Account Deposit Amount]]-Table334[[#This Row],[Account Withdrawl Amount]], )</f>
        <v>0</v>
      </c>
      <c r="V54" s="243">
        <f>IF(Table334[[#This Row],[Category]]="Other Expense",Table334[[#This Row],[Account Deposit Amount]]-Table334[[#This Row],[Account Withdrawl Amount]], )</f>
        <v>0</v>
      </c>
    </row>
    <row r="55" spans="1:22">
      <c r="A55" s="261" t="s">
        <v>513</v>
      </c>
      <c r="B55" s="249">
        <v>45587</v>
      </c>
      <c r="C55" s="247" t="s">
        <v>577</v>
      </c>
      <c r="D55" s="247" t="s">
        <v>578</v>
      </c>
      <c r="E55" s="250"/>
      <c r="F55" s="251">
        <v>14</v>
      </c>
      <c r="G55" s="243">
        <f t="shared" si="2"/>
        <v>790.89999999999895</v>
      </c>
      <c r="H55" s="247" t="s">
        <v>136</v>
      </c>
      <c r="I55" s="243">
        <f>IF(Table334[[#This Row],[Category]]="Fall Product",Table334[[#This Row],[Account Deposit Amount]]-Table334[[#This Row],[Account Withdrawl Amount]], )</f>
        <v>0</v>
      </c>
      <c r="J55" s="243">
        <f>IF(Table334[[#This Row],[Category]]="Cookies",Table334[[#This Row],[Account Deposit Amount]]-Table334[[#This Row],[Account Withdrawl Amount]], )</f>
        <v>0</v>
      </c>
      <c r="K55" s="243">
        <f>IF(Table334[[#This Row],[Category]]="Additional Money Earning Activities",Table334[[#This Row],[Account Deposit Amount]]-Table334[[#This Row],[Account Withdrawl Amount]], )</f>
        <v>0</v>
      </c>
      <c r="L55" s="243">
        <f>IF(Table334[[#This Row],[Category]]="Sponsorships",Table334[[#This Row],[Account Deposit Amount]]-Table334[[#This Row],[Account Withdrawl Amount]], )</f>
        <v>0</v>
      </c>
      <c r="M55" s="243">
        <f>IF(Table334[[#This Row],[Category]]="Troop Dues",Table334[[#This Row],[Account Deposit Amount]]-Table334[[#This Row],[Account Withdrawl Amount]], )</f>
        <v>0</v>
      </c>
      <c r="N55" s="243">
        <f>IF(Table334[[#This Row],[Category]]="Other Income",Table334[[#This Row],[Account Deposit Amount]]-Table334[[#This Row],[Account Withdrawl Amount]], )</f>
        <v>0</v>
      </c>
      <c r="O55" s="243">
        <f>IF(Table334[[#This Row],[Category]]="Registration",Table334[[#This Row],[Account Deposit Amount]]-Table334[[#This Row],[Account Withdrawl Amount]], )</f>
        <v>0</v>
      </c>
      <c r="P55" s="243">
        <f>IF(Table334[[#This Row],[Category]]="Insignia",Table334[[#This Row],[Account Deposit Amount]]-Table334[[#This Row],[Account Withdrawl Amount]], )</f>
        <v>0</v>
      </c>
      <c r="Q55" s="243">
        <f>IF(Table334[[#This Row],[Category]]="Activities/Program",Table334[[#This Row],[Account Deposit Amount]]-Table334[[#This Row],[Account Withdrawl Amount]], )</f>
        <v>-14</v>
      </c>
      <c r="R55" s="243">
        <f>IF(Table334[[#This Row],[Category]]="Travel",Table334[[#This Row],[Account Deposit Amount]]-Table334[[#This Row],[Account Withdrawl Amount]], )</f>
        <v>0</v>
      </c>
      <c r="S55" s="243">
        <f>IF(Table334[[#This Row],[Category]]="Parties Food &amp; Beverages",Table334[[#This Row],[Account Deposit Amount]]-Table334[[#This Row],[Account Withdrawl Amount]], )</f>
        <v>0</v>
      </c>
      <c r="T55" s="243">
        <f>IF(Table334[[#This Row],[Category]]="Service Projects Donation",Table334[[#This Row],[Account Deposit Amount]]-Table334[[#This Row],[Account Withdrawl Amount]], )</f>
        <v>0</v>
      </c>
      <c r="U55" s="243">
        <f>IF(Table334[[#This Row],[Category]]="Cookie Debt",Table334[[#This Row],[Account Deposit Amount]]-Table334[[#This Row],[Account Withdrawl Amount]], )</f>
        <v>0</v>
      </c>
      <c r="V55" s="243">
        <f>IF(Table334[[#This Row],[Category]]="Other Expense",Table334[[#This Row],[Account Deposit Amount]]-Table334[[#This Row],[Account Withdrawl Amount]], )</f>
        <v>0</v>
      </c>
    </row>
    <row r="56" spans="1:22">
      <c r="A56" s="245" t="s">
        <v>513</v>
      </c>
      <c r="B56" s="263">
        <v>45587</v>
      </c>
      <c r="C56" s="264" t="s">
        <v>522</v>
      </c>
      <c r="D56" s="265" t="s">
        <v>579</v>
      </c>
      <c r="E56" s="264"/>
      <c r="F56" s="264">
        <v>114</v>
      </c>
      <c r="G56" s="243">
        <f t="shared" si="2"/>
        <v>676.89999999999895</v>
      </c>
      <c r="H56" s="224" t="s">
        <v>69</v>
      </c>
      <c r="I56" s="243">
        <f>IF(Table334[[#This Row],[Category]]="Fall Product",Table334[[#This Row],[Account Deposit Amount]]-Table334[[#This Row],[Account Withdrawl Amount]], )</f>
        <v>0</v>
      </c>
      <c r="J56" s="243">
        <f>IF(Table334[[#This Row],[Category]]="Cookies",Table334[[#This Row],[Account Deposit Amount]]-Table334[[#This Row],[Account Withdrawl Amount]], )</f>
        <v>0</v>
      </c>
      <c r="K56" s="243">
        <f>IF(Table334[[#This Row],[Category]]="Additional Money Earning Activities",Table334[[#This Row],[Account Deposit Amount]]-Table334[[#This Row],[Account Withdrawl Amount]], )</f>
        <v>0</v>
      </c>
      <c r="L56" s="243">
        <f>IF(Table334[[#This Row],[Category]]="Sponsorships",Table334[[#This Row],[Account Deposit Amount]]-Table334[[#This Row],[Account Withdrawl Amount]], )</f>
        <v>0</v>
      </c>
      <c r="M56" s="243">
        <f>IF(Table334[[#This Row],[Category]]="Troop Dues",Table334[[#This Row],[Account Deposit Amount]]-Table334[[#This Row],[Account Withdrawl Amount]], )</f>
        <v>0</v>
      </c>
      <c r="N56" s="243">
        <f>IF(Table334[[#This Row],[Category]]="Other Income",Table334[[#This Row],[Account Deposit Amount]]-Table334[[#This Row],[Account Withdrawl Amount]], )</f>
        <v>0</v>
      </c>
      <c r="O56" s="243">
        <f>IF(Table334[[#This Row],[Category]]="Registration",Table334[[#This Row],[Account Deposit Amount]]-Table334[[#This Row],[Account Withdrawl Amount]], )</f>
        <v>0</v>
      </c>
      <c r="P56" s="243">
        <f>IF(Table334[[#This Row],[Category]]="Insignia",Table334[[#This Row],[Account Deposit Amount]]-Table334[[#This Row],[Account Withdrawl Amount]], )</f>
        <v>0</v>
      </c>
      <c r="Q56" s="243">
        <f>IF(Table334[[#This Row],[Category]]="Activities/Program",Table334[[#This Row],[Account Deposit Amount]]-Table334[[#This Row],[Account Withdrawl Amount]], )</f>
        <v>0</v>
      </c>
      <c r="R56" s="243">
        <f>IF(Table334[[#This Row],[Category]]="Travel",Table334[[#This Row],[Account Deposit Amount]]-Table334[[#This Row],[Account Withdrawl Amount]], )</f>
        <v>-114</v>
      </c>
      <c r="S56" s="243">
        <f>IF(Table334[[#This Row],[Category]]="Parties Food &amp; Beverages",Table334[[#This Row],[Account Deposit Amount]]-Table334[[#This Row],[Account Withdrawl Amount]], )</f>
        <v>0</v>
      </c>
      <c r="T56" s="243">
        <f>IF(Table334[[#This Row],[Category]]="Service Projects Donation",Table334[[#This Row],[Account Deposit Amount]]-Table334[[#This Row],[Account Withdrawl Amount]], )</f>
        <v>0</v>
      </c>
      <c r="U56" s="243">
        <f>IF(Table334[[#This Row],[Category]]="Cookie Debt",Table334[[#This Row],[Account Deposit Amount]]-Table334[[#This Row],[Account Withdrawl Amount]], )</f>
        <v>0</v>
      </c>
      <c r="V56" s="243">
        <f>IF(Table334[[#This Row],[Category]]="Other Expense",Table334[[#This Row],[Account Deposit Amount]]-Table334[[#This Row],[Account Withdrawl Amount]], )</f>
        <v>0</v>
      </c>
    </row>
    <row r="57" spans="1:22">
      <c r="A57" s="261" t="s">
        <v>513</v>
      </c>
      <c r="B57" s="249">
        <v>45591</v>
      </c>
      <c r="C57" s="247" t="s">
        <v>276</v>
      </c>
      <c r="D57" s="247" t="s">
        <v>78</v>
      </c>
      <c r="E57" s="250">
        <v>1809</v>
      </c>
      <c r="F57" s="251"/>
      <c r="G57" s="243">
        <f t="shared" si="2"/>
        <v>2485.8999999999987</v>
      </c>
      <c r="H57" s="247" t="s">
        <v>78</v>
      </c>
      <c r="I57" s="243">
        <f>IF(Table334[[#This Row],[Category]]="Fall Product",Table334[[#This Row],[Account Deposit Amount]]-Table334[[#This Row],[Account Withdrawl Amount]], )</f>
        <v>1809</v>
      </c>
      <c r="J57" s="243">
        <f>IF(Table334[[#This Row],[Category]]="Cookies",Table334[[#This Row],[Account Deposit Amount]]-Table334[[#This Row],[Account Withdrawl Amount]], )</f>
        <v>0</v>
      </c>
      <c r="K57" s="243">
        <f>IF(Table334[[#This Row],[Category]]="Additional Money Earning Activities",Table334[[#This Row],[Account Deposit Amount]]-Table334[[#This Row],[Account Withdrawl Amount]], )</f>
        <v>0</v>
      </c>
      <c r="L57" s="243">
        <f>IF(Table334[[#This Row],[Category]]="Sponsorships",Table334[[#This Row],[Account Deposit Amount]]-Table334[[#This Row],[Account Withdrawl Amount]], )</f>
        <v>0</v>
      </c>
      <c r="M57" s="243">
        <f>IF(Table334[[#This Row],[Category]]="Troop Dues",Table334[[#This Row],[Account Deposit Amount]]-Table334[[#This Row],[Account Withdrawl Amount]], )</f>
        <v>0</v>
      </c>
      <c r="N57" s="243">
        <f>IF(Table334[[#This Row],[Category]]="Other Income",Table334[[#This Row],[Account Deposit Amount]]-Table334[[#This Row],[Account Withdrawl Amount]], )</f>
        <v>0</v>
      </c>
      <c r="O57" s="243">
        <f>IF(Table334[[#This Row],[Category]]="Registration",Table334[[#This Row],[Account Deposit Amount]]-Table334[[#This Row],[Account Withdrawl Amount]], )</f>
        <v>0</v>
      </c>
      <c r="P57" s="243">
        <f>IF(Table334[[#This Row],[Category]]="Insignia",Table334[[#This Row],[Account Deposit Amount]]-Table334[[#This Row],[Account Withdrawl Amount]], )</f>
        <v>0</v>
      </c>
      <c r="Q57" s="243">
        <f>IF(Table334[[#This Row],[Category]]="Activities/Program",Table334[[#This Row],[Account Deposit Amount]]-Table334[[#This Row],[Account Withdrawl Amount]], )</f>
        <v>0</v>
      </c>
      <c r="R57" s="243">
        <f>IF(Table334[[#This Row],[Category]]="Travel",Table334[[#This Row],[Account Deposit Amount]]-Table334[[#This Row],[Account Withdrawl Amount]], )</f>
        <v>0</v>
      </c>
      <c r="S57" s="243">
        <f>IF(Table334[[#This Row],[Category]]="Parties Food &amp; Beverages",Table334[[#This Row],[Account Deposit Amount]]-Table334[[#This Row],[Account Withdrawl Amount]], )</f>
        <v>0</v>
      </c>
      <c r="T57" s="243">
        <f>IF(Table334[[#This Row],[Category]]="Service Projects Donation",Table334[[#This Row],[Account Deposit Amount]]-Table334[[#This Row],[Account Withdrawl Amount]], )</f>
        <v>0</v>
      </c>
      <c r="U57" s="243">
        <f>IF(Table334[[#This Row],[Category]]="Cookie Debt",Table334[[#This Row],[Account Deposit Amount]]-Table334[[#This Row],[Account Withdrawl Amount]], )</f>
        <v>0</v>
      </c>
      <c r="V57" s="243">
        <f>IF(Table334[[#This Row],[Category]]="Other Expense",Table334[[#This Row],[Account Deposit Amount]]-Table334[[#This Row],[Account Withdrawl Amount]], )</f>
        <v>0</v>
      </c>
    </row>
    <row r="58" spans="1:22">
      <c r="A58" s="245" t="s">
        <v>513</v>
      </c>
      <c r="B58" s="263">
        <v>45594</v>
      </c>
      <c r="C58" s="264" t="s">
        <v>580</v>
      </c>
      <c r="D58" s="265" t="s">
        <v>581</v>
      </c>
      <c r="E58" s="264"/>
      <c r="F58" s="264">
        <v>231</v>
      </c>
      <c r="G58" s="243">
        <f t="shared" si="2"/>
        <v>2254.8999999999987</v>
      </c>
      <c r="H58" s="224" t="s">
        <v>136</v>
      </c>
      <c r="I58" s="243">
        <f>IF(Table334[[#This Row],[Category]]="Fall Product",Table334[[#This Row],[Account Deposit Amount]]-Table334[[#This Row],[Account Withdrawl Amount]], )</f>
        <v>0</v>
      </c>
      <c r="J58" s="243">
        <f>IF(Table334[[#This Row],[Category]]="Cookies",Table334[[#This Row],[Account Deposit Amount]]-Table334[[#This Row],[Account Withdrawl Amount]], )</f>
        <v>0</v>
      </c>
      <c r="K58" s="243">
        <f>IF(Table334[[#This Row],[Category]]="Additional Money Earning Activities",Table334[[#This Row],[Account Deposit Amount]]-Table334[[#This Row],[Account Withdrawl Amount]], )</f>
        <v>0</v>
      </c>
      <c r="L58" s="243">
        <f>IF(Table334[[#This Row],[Category]]="Sponsorships",Table334[[#This Row],[Account Deposit Amount]]-Table334[[#This Row],[Account Withdrawl Amount]], )</f>
        <v>0</v>
      </c>
      <c r="M58" s="243">
        <f>IF(Table334[[#This Row],[Category]]="Troop Dues",Table334[[#This Row],[Account Deposit Amount]]-Table334[[#This Row],[Account Withdrawl Amount]], )</f>
        <v>0</v>
      </c>
      <c r="N58" s="243">
        <f>IF(Table334[[#This Row],[Category]]="Other Income",Table334[[#This Row],[Account Deposit Amount]]-Table334[[#This Row],[Account Withdrawl Amount]], )</f>
        <v>0</v>
      </c>
      <c r="O58" s="243">
        <f>IF(Table334[[#This Row],[Category]]="Registration",Table334[[#This Row],[Account Deposit Amount]]-Table334[[#This Row],[Account Withdrawl Amount]], )</f>
        <v>0</v>
      </c>
      <c r="P58" s="243">
        <f>IF(Table334[[#This Row],[Category]]="Insignia",Table334[[#This Row],[Account Deposit Amount]]-Table334[[#This Row],[Account Withdrawl Amount]], )</f>
        <v>0</v>
      </c>
      <c r="Q58" s="243">
        <f>IF(Table334[[#This Row],[Category]]="Activities/Program",Table334[[#This Row],[Account Deposit Amount]]-Table334[[#This Row],[Account Withdrawl Amount]], )</f>
        <v>-231</v>
      </c>
      <c r="R58" s="243">
        <f>IF(Table334[[#This Row],[Category]]="Travel",Table334[[#This Row],[Account Deposit Amount]]-Table334[[#This Row],[Account Withdrawl Amount]], )</f>
        <v>0</v>
      </c>
      <c r="S58" s="243">
        <f>IF(Table334[[#This Row],[Category]]="Parties Food &amp; Beverages",Table334[[#This Row],[Account Deposit Amount]]-Table334[[#This Row],[Account Withdrawl Amount]], )</f>
        <v>0</v>
      </c>
      <c r="T58" s="243">
        <f>IF(Table334[[#This Row],[Category]]="Service Projects Donation",Table334[[#This Row],[Account Deposit Amount]]-Table334[[#This Row],[Account Withdrawl Amount]], )</f>
        <v>0</v>
      </c>
      <c r="U58" s="243">
        <f>IF(Table334[[#This Row],[Category]]="Cookie Debt",Table334[[#This Row],[Account Deposit Amount]]-Table334[[#This Row],[Account Withdrawl Amount]], )</f>
        <v>0</v>
      </c>
      <c r="V58" s="243">
        <f>IF(Table334[[#This Row],[Category]]="Other Expense",Table334[[#This Row],[Account Deposit Amount]]-Table334[[#This Row],[Account Withdrawl Amount]], )</f>
        <v>0</v>
      </c>
    </row>
    <row r="59" spans="1:22">
      <c r="A59" s="261" t="s">
        <v>513</v>
      </c>
      <c r="B59" s="249">
        <v>45597</v>
      </c>
      <c r="C59" s="247" t="s">
        <v>582</v>
      </c>
      <c r="D59" s="247" t="s">
        <v>583</v>
      </c>
      <c r="E59" s="250"/>
      <c r="F59" s="251">
        <v>50</v>
      </c>
      <c r="G59" s="243">
        <f t="shared" si="2"/>
        <v>2204.8999999999987</v>
      </c>
      <c r="H59" s="247" t="s">
        <v>136</v>
      </c>
      <c r="I59" s="243">
        <f>IF(Table334[[#This Row],[Category]]="Fall Product",Table334[[#This Row],[Account Deposit Amount]]-Table334[[#This Row],[Account Withdrawl Amount]], )</f>
        <v>0</v>
      </c>
      <c r="J59" s="243">
        <f>IF(Table334[[#This Row],[Category]]="Cookies",Table334[[#This Row],[Account Deposit Amount]]-Table334[[#This Row],[Account Withdrawl Amount]], )</f>
        <v>0</v>
      </c>
      <c r="K59" s="243">
        <f>IF(Table334[[#This Row],[Category]]="Additional Money Earning Activities",Table334[[#This Row],[Account Deposit Amount]]-Table334[[#This Row],[Account Withdrawl Amount]], )</f>
        <v>0</v>
      </c>
      <c r="L59" s="243">
        <f>IF(Table334[[#This Row],[Category]]="Sponsorships",Table334[[#This Row],[Account Deposit Amount]]-Table334[[#This Row],[Account Withdrawl Amount]], )</f>
        <v>0</v>
      </c>
      <c r="M59" s="243">
        <f>IF(Table334[[#This Row],[Category]]="Troop Dues",Table334[[#This Row],[Account Deposit Amount]]-Table334[[#This Row],[Account Withdrawl Amount]], )</f>
        <v>0</v>
      </c>
      <c r="N59" s="243">
        <f>IF(Table334[[#This Row],[Category]]="Other Income",Table334[[#This Row],[Account Deposit Amount]]-Table334[[#This Row],[Account Withdrawl Amount]], )</f>
        <v>0</v>
      </c>
      <c r="O59" s="243">
        <f>IF(Table334[[#This Row],[Category]]="Registration",Table334[[#This Row],[Account Deposit Amount]]-Table334[[#This Row],[Account Withdrawl Amount]], )</f>
        <v>0</v>
      </c>
      <c r="P59" s="243">
        <f>IF(Table334[[#This Row],[Category]]="Insignia",Table334[[#This Row],[Account Deposit Amount]]-Table334[[#This Row],[Account Withdrawl Amount]], )</f>
        <v>0</v>
      </c>
      <c r="Q59" s="243">
        <f>IF(Table334[[#This Row],[Category]]="Activities/Program",Table334[[#This Row],[Account Deposit Amount]]-Table334[[#This Row],[Account Withdrawl Amount]], )</f>
        <v>-50</v>
      </c>
      <c r="R59" s="243">
        <f>IF(Table334[[#This Row],[Category]]="Travel",Table334[[#This Row],[Account Deposit Amount]]-Table334[[#This Row],[Account Withdrawl Amount]], )</f>
        <v>0</v>
      </c>
      <c r="S59" s="243">
        <f>IF(Table334[[#This Row],[Category]]="Parties Food &amp; Beverages",Table334[[#This Row],[Account Deposit Amount]]-Table334[[#This Row],[Account Withdrawl Amount]], )</f>
        <v>0</v>
      </c>
      <c r="T59" s="243">
        <f>IF(Table334[[#This Row],[Category]]="Service Projects Donation",Table334[[#This Row],[Account Deposit Amount]]-Table334[[#This Row],[Account Withdrawl Amount]], )</f>
        <v>0</v>
      </c>
      <c r="U59" s="243">
        <f>IF(Table334[[#This Row],[Category]]="Cookie Debt",Table334[[#This Row],[Account Deposit Amount]]-Table334[[#This Row],[Account Withdrawl Amount]], )</f>
        <v>0</v>
      </c>
      <c r="V59" s="243">
        <f>IF(Table334[[#This Row],[Category]]="Other Expense",Table334[[#This Row],[Account Deposit Amount]]-Table334[[#This Row],[Account Withdrawl Amount]], )</f>
        <v>0</v>
      </c>
    </row>
    <row r="60" spans="1:22">
      <c r="A60" s="245" t="s">
        <v>513</v>
      </c>
      <c r="B60" s="263">
        <v>45601</v>
      </c>
      <c r="C60" s="264" t="s">
        <v>276</v>
      </c>
      <c r="D60" s="265" t="s">
        <v>586</v>
      </c>
      <c r="E60" s="264">
        <v>500</v>
      </c>
      <c r="F60" s="264"/>
      <c r="G60" s="243">
        <f t="shared" si="2"/>
        <v>2704.8999999999987</v>
      </c>
      <c r="H60" s="224" t="s">
        <v>587</v>
      </c>
      <c r="I60" s="243">
        <f>IF(Table334[[#This Row],[Category]]="Fall Product",Table334[[#This Row],[Account Deposit Amount]]-Table334[[#This Row],[Account Withdrawl Amount]], )</f>
        <v>0</v>
      </c>
      <c r="J60" s="243">
        <f>IF(Table334[[#This Row],[Category]]="Cookies",Table334[[#This Row],[Account Deposit Amount]]-Table334[[#This Row],[Account Withdrawl Amount]], )</f>
        <v>0</v>
      </c>
      <c r="K60" s="243">
        <f>IF(Table334[[#This Row],[Category]]="Additional Money Earning Activities",Table334[[#This Row],[Account Deposit Amount]]-Table334[[#This Row],[Account Withdrawl Amount]], )</f>
        <v>500</v>
      </c>
      <c r="L60" s="243">
        <f>IF(Table334[[#This Row],[Category]]="Sponsorships",Table334[[#This Row],[Account Deposit Amount]]-Table334[[#This Row],[Account Withdrawl Amount]], )</f>
        <v>0</v>
      </c>
      <c r="M60" s="243">
        <f>IF(Table334[[#This Row],[Category]]="Troop Dues",Table334[[#This Row],[Account Deposit Amount]]-Table334[[#This Row],[Account Withdrawl Amount]], )</f>
        <v>0</v>
      </c>
      <c r="N60" s="243">
        <f>IF(Table334[[#This Row],[Category]]="Other Income",Table334[[#This Row],[Account Deposit Amount]]-Table334[[#This Row],[Account Withdrawl Amount]], )</f>
        <v>0</v>
      </c>
      <c r="O60" s="243">
        <f>IF(Table334[[#This Row],[Category]]="Registration",Table334[[#This Row],[Account Deposit Amount]]-Table334[[#This Row],[Account Withdrawl Amount]], )</f>
        <v>0</v>
      </c>
      <c r="P60" s="243">
        <f>IF(Table334[[#This Row],[Category]]="Insignia",Table334[[#This Row],[Account Deposit Amount]]-Table334[[#This Row],[Account Withdrawl Amount]], )</f>
        <v>0</v>
      </c>
      <c r="Q60" s="243">
        <f>IF(Table334[[#This Row],[Category]]="Activities/Program",Table334[[#This Row],[Account Deposit Amount]]-Table334[[#This Row],[Account Withdrawl Amount]], )</f>
        <v>0</v>
      </c>
      <c r="R60" s="243">
        <f>IF(Table334[[#This Row],[Category]]="Travel",Table334[[#This Row],[Account Deposit Amount]]-Table334[[#This Row],[Account Withdrawl Amount]], )</f>
        <v>0</v>
      </c>
      <c r="S60" s="243">
        <f>IF(Table334[[#This Row],[Category]]="Parties Food &amp; Beverages",Table334[[#This Row],[Account Deposit Amount]]-Table334[[#This Row],[Account Withdrawl Amount]], )</f>
        <v>0</v>
      </c>
      <c r="T60" s="243">
        <f>IF(Table334[[#This Row],[Category]]="Service Projects Donation",Table334[[#This Row],[Account Deposit Amount]]-Table334[[#This Row],[Account Withdrawl Amount]], )</f>
        <v>0</v>
      </c>
      <c r="U60" s="243">
        <f>IF(Table334[[#This Row],[Category]]="Cookie Debt",Table334[[#This Row],[Account Deposit Amount]]-Table334[[#This Row],[Account Withdrawl Amount]], )</f>
        <v>0</v>
      </c>
      <c r="V60" s="243">
        <f>IF(Table334[[#This Row],[Category]]="Other Expense",Table334[[#This Row],[Account Deposit Amount]]-Table334[[#This Row],[Account Withdrawl Amount]], )</f>
        <v>0</v>
      </c>
    </row>
    <row r="61" spans="1:22">
      <c r="A61" s="261" t="s">
        <v>513</v>
      </c>
      <c r="B61" s="249">
        <v>45608</v>
      </c>
      <c r="C61" s="247" t="s">
        <v>588</v>
      </c>
      <c r="D61" s="247" t="s">
        <v>589</v>
      </c>
      <c r="E61" s="250"/>
      <c r="F61" s="251">
        <v>359.64</v>
      </c>
      <c r="G61" s="243">
        <f t="shared" si="2"/>
        <v>2345.2599999999989</v>
      </c>
      <c r="H61" s="247" t="s">
        <v>67</v>
      </c>
      <c r="I61" s="243">
        <f>IF(Table334[[#This Row],[Category]]="Fall Product",Table334[[#This Row],[Account Deposit Amount]]-Table334[[#This Row],[Account Withdrawl Amount]], )</f>
        <v>0</v>
      </c>
      <c r="J61" s="243">
        <f>IF(Table334[[#This Row],[Category]]="Cookies",Table334[[#This Row],[Account Deposit Amount]]-Table334[[#This Row],[Account Withdrawl Amount]], )</f>
        <v>0</v>
      </c>
      <c r="K61" s="243">
        <f>IF(Table334[[#This Row],[Category]]="Additional Money Earning Activities",Table334[[#This Row],[Account Deposit Amount]]-Table334[[#This Row],[Account Withdrawl Amount]], )</f>
        <v>0</v>
      </c>
      <c r="L61" s="243">
        <f>IF(Table334[[#This Row],[Category]]="Sponsorships",Table334[[#This Row],[Account Deposit Amount]]-Table334[[#This Row],[Account Withdrawl Amount]], )</f>
        <v>0</v>
      </c>
      <c r="M61" s="243">
        <f>IF(Table334[[#This Row],[Category]]="Troop Dues",Table334[[#This Row],[Account Deposit Amount]]-Table334[[#This Row],[Account Withdrawl Amount]], )</f>
        <v>0</v>
      </c>
      <c r="N61" s="243">
        <f>IF(Table334[[#This Row],[Category]]="Other Income",Table334[[#This Row],[Account Deposit Amount]]-Table334[[#This Row],[Account Withdrawl Amount]], )</f>
        <v>0</v>
      </c>
      <c r="O61" s="243">
        <f>IF(Table334[[#This Row],[Category]]="Registration",Table334[[#This Row],[Account Deposit Amount]]-Table334[[#This Row],[Account Withdrawl Amount]], )</f>
        <v>0</v>
      </c>
      <c r="P61" s="243">
        <f>IF(Table334[[#This Row],[Category]]="Insignia",Table334[[#This Row],[Account Deposit Amount]]-Table334[[#This Row],[Account Withdrawl Amount]], )</f>
        <v>-359.64</v>
      </c>
      <c r="Q61" s="243">
        <f>IF(Table334[[#This Row],[Category]]="Activities/Program",Table334[[#This Row],[Account Deposit Amount]]-Table334[[#This Row],[Account Withdrawl Amount]], )</f>
        <v>0</v>
      </c>
      <c r="R61" s="243">
        <f>IF(Table334[[#This Row],[Category]]="Travel",Table334[[#This Row],[Account Deposit Amount]]-Table334[[#This Row],[Account Withdrawl Amount]], )</f>
        <v>0</v>
      </c>
      <c r="S61" s="243">
        <f>IF(Table334[[#This Row],[Category]]="Parties Food &amp; Beverages",Table334[[#This Row],[Account Deposit Amount]]-Table334[[#This Row],[Account Withdrawl Amount]], )</f>
        <v>0</v>
      </c>
      <c r="T61" s="243">
        <f>IF(Table334[[#This Row],[Category]]="Service Projects Donation",Table334[[#This Row],[Account Deposit Amount]]-Table334[[#This Row],[Account Withdrawl Amount]], )</f>
        <v>0</v>
      </c>
      <c r="U61" s="243">
        <f>IF(Table334[[#This Row],[Category]]="Cookie Debt",Table334[[#This Row],[Account Deposit Amount]]-Table334[[#This Row],[Account Withdrawl Amount]], )</f>
        <v>0</v>
      </c>
      <c r="V61" s="243">
        <f>IF(Table334[[#This Row],[Category]]="Other Expense",Table334[[#This Row],[Account Deposit Amount]]-Table334[[#This Row],[Account Withdrawl Amount]], )</f>
        <v>0</v>
      </c>
    </row>
    <row r="62" spans="1:22">
      <c r="A62" s="245" t="s">
        <v>513</v>
      </c>
      <c r="B62" s="263">
        <v>45609</v>
      </c>
      <c r="C62" s="264" t="s">
        <v>590</v>
      </c>
      <c r="D62" s="265" t="s">
        <v>591</v>
      </c>
      <c r="E62" s="264"/>
      <c r="F62" s="264">
        <v>37.11</v>
      </c>
      <c r="G62" s="243">
        <f t="shared" si="2"/>
        <v>2308.1499999999987</v>
      </c>
      <c r="H62" s="224" t="s">
        <v>67</v>
      </c>
      <c r="I62" s="243">
        <f>IF(Table334[[#This Row],[Category]]="Fall Product",Table334[[#This Row],[Account Deposit Amount]]-Table334[[#This Row],[Account Withdrawl Amount]], )</f>
        <v>0</v>
      </c>
      <c r="J62" s="243">
        <f>IF(Table334[[#This Row],[Category]]="Cookies",Table334[[#This Row],[Account Deposit Amount]]-Table334[[#This Row],[Account Withdrawl Amount]], )</f>
        <v>0</v>
      </c>
      <c r="K62" s="243">
        <f>IF(Table334[[#This Row],[Category]]="Additional Money Earning Activities",Table334[[#This Row],[Account Deposit Amount]]-Table334[[#This Row],[Account Withdrawl Amount]], )</f>
        <v>0</v>
      </c>
      <c r="L62" s="243">
        <f>IF(Table334[[#This Row],[Category]]="Sponsorships",Table334[[#This Row],[Account Deposit Amount]]-Table334[[#This Row],[Account Withdrawl Amount]], )</f>
        <v>0</v>
      </c>
      <c r="M62" s="243">
        <f>IF(Table334[[#This Row],[Category]]="Troop Dues",Table334[[#This Row],[Account Deposit Amount]]-Table334[[#This Row],[Account Withdrawl Amount]], )</f>
        <v>0</v>
      </c>
      <c r="N62" s="243">
        <f>IF(Table334[[#This Row],[Category]]="Other Income",Table334[[#This Row],[Account Deposit Amount]]-Table334[[#This Row],[Account Withdrawl Amount]], )</f>
        <v>0</v>
      </c>
      <c r="O62" s="243">
        <f>IF(Table334[[#This Row],[Category]]="Registration",Table334[[#This Row],[Account Deposit Amount]]-Table334[[#This Row],[Account Withdrawl Amount]], )</f>
        <v>0</v>
      </c>
      <c r="P62" s="243">
        <f>IF(Table334[[#This Row],[Category]]="Insignia",Table334[[#This Row],[Account Deposit Amount]]-Table334[[#This Row],[Account Withdrawl Amount]], )</f>
        <v>-37.11</v>
      </c>
      <c r="Q62" s="243">
        <f>IF(Table334[[#This Row],[Category]]="Activities/Program",Table334[[#This Row],[Account Deposit Amount]]-Table334[[#This Row],[Account Withdrawl Amount]], )</f>
        <v>0</v>
      </c>
      <c r="R62" s="243">
        <f>IF(Table334[[#This Row],[Category]]="Travel",Table334[[#This Row],[Account Deposit Amount]]-Table334[[#This Row],[Account Withdrawl Amount]], )</f>
        <v>0</v>
      </c>
      <c r="S62" s="243">
        <f>IF(Table334[[#This Row],[Category]]="Parties Food &amp; Beverages",Table334[[#This Row],[Account Deposit Amount]]-Table334[[#This Row],[Account Withdrawl Amount]], )</f>
        <v>0</v>
      </c>
      <c r="T62" s="243">
        <f>IF(Table334[[#This Row],[Category]]="Service Projects Donation",Table334[[#This Row],[Account Deposit Amount]]-Table334[[#This Row],[Account Withdrawl Amount]], )</f>
        <v>0</v>
      </c>
      <c r="U62" s="243">
        <f>IF(Table334[[#This Row],[Category]]="Cookie Debt",Table334[[#This Row],[Account Deposit Amount]]-Table334[[#This Row],[Account Withdrawl Amount]], )</f>
        <v>0</v>
      </c>
      <c r="V62" s="243">
        <f>IF(Table334[[#This Row],[Category]]="Other Expense",Table334[[#This Row],[Account Deposit Amount]]-Table334[[#This Row],[Account Withdrawl Amount]], )</f>
        <v>0</v>
      </c>
    </row>
    <row r="63" spans="1:22">
      <c r="A63" s="261" t="s">
        <v>513</v>
      </c>
      <c r="B63" s="249">
        <v>45612</v>
      </c>
      <c r="C63" s="247" t="s">
        <v>593</v>
      </c>
      <c r="D63" s="247" t="s">
        <v>594</v>
      </c>
      <c r="E63" s="250"/>
      <c r="F63" s="251">
        <v>6.85</v>
      </c>
      <c r="G63" s="243">
        <f t="shared" si="2"/>
        <v>2301.2999999999988</v>
      </c>
      <c r="H63" s="247" t="s">
        <v>136</v>
      </c>
      <c r="I63" s="243">
        <f>IF(Table334[[#This Row],[Category]]="Fall Product",Table334[[#This Row],[Account Deposit Amount]]-Table334[[#This Row],[Account Withdrawl Amount]], )</f>
        <v>0</v>
      </c>
      <c r="J63" s="243">
        <f>IF(Table334[[#This Row],[Category]]="Cookies",Table334[[#This Row],[Account Deposit Amount]]-Table334[[#This Row],[Account Withdrawl Amount]], )</f>
        <v>0</v>
      </c>
      <c r="K63" s="243">
        <f>IF(Table334[[#This Row],[Category]]="Additional Money Earning Activities",Table334[[#This Row],[Account Deposit Amount]]-Table334[[#This Row],[Account Withdrawl Amount]], )</f>
        <v>0</v>
      </c>
      <c r="L63" s="243">
        <f>IF(Table334[[#This Row],[Category]]="Sponsorships",Table334[[#This Row],[Account Deposit Amount]]-Table334[[#This Row],[Account Withdrawl Amount]], )</f>
        <v>0</v>
      </c>
      <c r="M63" s="243">
        <f>IF(Table334[[#This Row],[Category]]="Troop Dues",Table334[[#This Row],[Account Deposit Amount]]-Table334[[#This Row],[Account Withdrawl Amount]], )</f>
        <v>0</v>
      </c>
      <c r="N63" s="243">
        <f>IF(Table334[[#This Row],[Category]]="Other Income",Table334[[#This Row],[Account Deposit Amount]]-Table334[[#This Row],[Account Withdrawl Amount]], )</f>
        <v>0</v>
      </c>
      <c r="O63" s="243">
        <f>IF(Table334[[#This Row],[Category]]="Registration",Table334[[#This Row],[Account Deposit Amount]]-Table334[[#This Row],[Account Withdrawl Amount]], )</f>
        <v>0</v>
      </c>
      <c r="P63" s="243">
        <f>IF(Table334[[#This Row],[Category]]="Insignia",Table334[[#This Row],[Account Deposit Amount]]-Table334[[#This Row],[Account Withdrawl Amount]], )</f>
        <v>0</v>
      </c>
      <c r="Q63" s="243">
        <f>IF(Table334[[#This Row],[Category]]="Activities/Program",Table334[[#This Row],[Account Deposit Amount]]-Table334[[#This Row],[Account Withdrawl Amount]], )</f>
        <v>-6.85</v>
      </c>
      <c r="R63" s="243">
        <f>IF(Table334[[#This Row],[Category]]="Travel",Table334[[#This Row],[Account Deposit Amount]]-Table334[[#This Row],[Account Withdrawl Amount]], )</f>
        <v>0</v>
      </c>
      <c r="S63" s="243">
        <f>IF(Table334[[#This Row],[Category]]="Parties Food &amp; Beverages",Table334[[#This Row],[Account Deposit Amount]]-Table334[[#This Row],[Account Withdrawl Amount]], )</f>
        <v>0</v>
      </c>
      <c r="T63" s="243">
        <f>IF(Table334[[#This Row],[Category]]="Service Projects Donation",Table334[[#This Row],[Account Deposit Amount]]-Table334[[#This Row],[Account Withdrawl Amount]], )</f>
        <v>0</v>
      </c>
      <c r="U63" s="243">
        <f>IF(Table334[[#This Row],[Category]]="Cookie Debt",Table334[[#This Row],[Account Deposit Amount]]-Table334[[#This Row],[Account Withdrawl Amount]], )</f>
        <v>0</v>
      </c>
      <c r="V63" s="243">
        <f>IF(Table334[[#This Row],[Category]]="Other Expense",Table334[[#This Row],[Account Deposit Amount]]-Table334[[#This Row],[Account Withdrawl Amount]], )</f>
        <v>0</v>
      </c>
    </row>
    <row r="64" spans="1:22">
      <c r="A64" s="245" t="s">
        <v>513</v>
      </c>
      <c r="B64" s="263">
        <v>45614</v>
      </c>
      <c r="C64" s="264" t="s">
        <v>588</v>
      </c>
      <c r="D64" s="265" t="s">
        <v>592</v>
      </c>
      <c r="E64" s="264"/>
      <c r="F64" s="264">
        <v>17.55</v>
      </c>
      <c r="G64" s="243">
        <f t="shared" si="2"/>
        <v>2283.7499999999986</v>
      </c>
      <c r="H64" s="224" t="s">
        <v>67</v>
      </c>
      <c r="I64" s="243">
        <f>IF(Table334[[#This Row],[Category]]="Fall Product",Table334[[#This Row],[Account Deposit Amount]]-Table334[[#This Row],[Account Withdrawl Amount]], )</f>
        <v>0</v>
      </c>
      <c r="J64" s="243">
        <f>IF(Table334[[#This Row],[Category]]="Cookies",Table334[[#This Row],[Account Deposit Amount]]-Table334[[#This Row],[Account Withdrawl Amount]], )</f>
        <v>0</v>
      </c>
      <c r="K64" s="243">
        <f>IF(Table334[[#This Row],[Category]]="Additional Money Earning Activities",Table334[[#This Row],[Account Deposit Amount]]-Table334[[#This Row],[Account Withdrawl Amount]], )</f>
        <v>0</v>
      </c>
      <c r="L64" s="243">
        <f>IF(Table334[[#This Row],[Category]]="Sponsorships",Table334[[#This Row],[Account Deposit Amount]]-Table334[[#This Row],[Account Withdrawl Amount]], )</f>
        <v>0</v>
      </c>
      <c r="M64" s="243">
        <f>IF(Table334[[#This Row],[Category]]="Troop Dues",Table334[[#This Row],[Account Deposit Amount]]-Table334[[#This Row],[Account Withdrawl Amount]], )</f>
        <v>0</v>
      </c>
      <c r="N64" s="243">
        <f>IF(Table334[[#This Row],[Category]]="Other Income",Table334[[#This Row],[Account Deposit Amount]]-Table334[[#This Row],[Account Withdrawl Amount]], )</f>
        <v>0</v>
      </c>
      <c r="O64" s="243">
        <f>IF(Table334[[#This Row],[Category]]="Registration",Table334[[#This Row],[Account Deposit Amount]]-Table334[[#This Row],[Account Withdrawl Amount]], )</f>
        <v>0</v>
      </c>
      <c r="P64" s="243">
        <f>IF(Table334[[#This Row],[Category]]="Insignia",Table334[[#This Row],[Account Deposit Amount]]-Table334[[#This Row],[Account Withdrawl Amount]], )</f>
        <v>-17.55</v>
      </c>
      <c r="Q64" s="243">
        <f>IF(Table334[[#This Row],[Category]]="Activities/Program",Table334[[#This Row],[Account Deposit Amount]]-Table334[[#This Row],[Account Withdrawl Amount]], )</f>
        <v>0</v>
      </c>
      <c r="R64" s="243">
        <f>IF(Table334[[#This Row],[Category]]="Travel",Table334[[#This Row],[Account Deposit Amount]]-Table334[[#This Row],[Account Withdrawl Amount]], )</f>
        <v>0</v>
      </c>
      <c r="S64" s="243">
        <f>IF(Table334[[#This Row],[Category]]="Parties Food &amp; Beverages",Table334[[#This Row],[Account Deposit Amount]]-Table334[[#This Row],[Account Withdrawl Amount]], )</f>
        <v>0</v>
      </c>
      <c r="T64" s="243">
        <f>IF(Table334[[#This Row],[Category]]="Service Projects Donation",Table334[[#This Row],[Account Deposit Amount]]-Table334[[#This Row],[Account Withdrawl Amount]], )</f>
        <v>0</v>
      </c>
      <c r="U64" s="243">
        <f>IF(Table334[[#This Row],[Category]]="Cookie Debt",Table334[[#This Row],[Account Deposit Amount]]-Table334[[#This Row],[Account Withdrawl Amount]], )</f>
        <v>0</v>
      </c>
      <c r="V64" s="243">
        <f>IF(Table334[[#This Row],[Category]]="Other Expense",Table334[[#This Row],[Account Deposit Amount]]-Table334[[#This Row],[Account Withdrawl Amount]], )</f>
        <v>0</v>
      </c>
    </row>
    <row r="65" spans="1:22">
      <c r="A65" s="261" t="s">
        <v>513</v>
      </c>
      <c r="B65" s="249">
        <v>45622</v>
      </c>
      <c r="C65" s="247" t="s">
        <v>588</v>
      </c>
      <c r="D65" s="247" t="s">
        <v>595</v>
      </c>
      <c r="E65" s="250"/>
      <c r="F65" s="251">
        <v>1391</v>
      </c>
      <c r="G65" s="243">
        <f t="shared" si="2"/>
        <v>892.74999999999864</v>
      </c>
      <c r="H65" s="247" t="s">
        <v>78</v>
      </c>
      <c r="I65" s="243">
        <f>IF(Table334[[#This Row],[Category]]="Fall Product",Table334[[#This Row],[Account Deposit Amount]]-Table334[[#This Row],[Account Withdrawl Amount]], )</f>
        <v>-1391</v>
      </c>
      <c r="J65" s="243">
        <f>IF(Table334[[#This Row],[Category]]="Cookies",Table334[[#This Row],[Account Deposit Amount]]-Table334[[#This Row],[Account Withdrawl Amount]], )</f>
        <v>0</v>
      </c>
      <c r="K65" s="243">
        <f>IF(Table334[[#This Row],[Category]]="Additional Money Earning Activities",Table334[[#This Row],[Account Deposit Amount]]-Table334[[#This Row],[Account Withdrawl Amount]], )</f>
        <v>0</v>
      </c>
      <c r="L65" s="243">
        <f>IF(Table334[[#This Row],[Category]]="Sponsorships",Table334[[#This Row],[Account Deposit Amount]]-Table334[[#This Row],[Account Withdrawl Amount]], )</f>
        <v>0</v>
      </c>
      <c r="M65" s="243">
        <f>IF(Table334[[#This Row],[Category]]="Troop Dues",Table334[[#This Row],[Account Deposit Amount]]-Table334[[#This Row],[Account Withdrawl Amount]], )</f>
        <v>0</v>
      </c>
      <c r="N65" s="243">
        <f>IF(Table334[[#This Row],[Category]]="Other Income",Table334[[#This Row],[Account Deposit Amount]]-Table334[[#This Row],[Account Withdrawl Amount]], )</f>
        <v>0</v>
      </c>
      <c r="O65" s="243">
        <f>IF(Table334[[#This Row],[Category]]="Registration",Table334[[#This Row],[Account Deposit Amount]]-Table334[[#This Row],[Account Withdrawl Amount]], )</f>
        <v>0</v>
      </c>
      <c r="P65" s="243">
        <f>IF(Table334[[#This Row],[Category]]="Insignia",Table334[[#This Row],[Account Deposit Amount]]-Table334[[#This Row],[Account Withdrawl Amount]], )</f>
        <v>0</v>
      </c>
      <c r="Q65" s="243">
        <f>IF(Table334[[#This Row],[Category]]="Activities/Program",Table334[[#This Row],[Account Deposit Amount]]-Table334[[#This Row],[Account Withdrawl Amount]], )</f>
        <v>0</v>
      </c>
      <c r="R65" s="243">
        <f>IF(Table334[[#This Row],[Category]]="Travel",Table334[[#This Row],[Account Deposit Amount]]-Table334[[#This Row],[Account Withdrawl Amount]], )</f>
        <v>0</v>
      </c>
      <c r="S65" s="243">
        <f>IF(Table334[[#This Row],[Category]]="Parties Food &amp; Beverages",Table334[[#This Row],[Account Deposit Amount]]-Table334[[#This Row],[Account Withdrawl Amount]], )</f>
        <v>0</v>
      </c>
      <c r="T65" s="243">
        <f>IF(Table334[[#This Row],[Category]]="Service Projects Donation",Table334[[#This Row],[Account Deposit Amount]]-Table334[[#This Row],[Account Withdrawl Amount]], )</f>
        <v>0</v>
      </c>
      <c r="U65" s="243">
        <f>IF(Table334[[#This Row],[Category]]="Cookie Debt",Table334[[#This Row],[Account Deposit Amount]]-Table334[[#This Row],[Account Withdrawl Amount]], )</f>
        <v>0</v>
      </c>
      <c r="V65" s="243">
        <f>IF(Table334[[#This Row],[Category]]="Other Expense",Table334[[#This Row],[Account Deposit Amount]]-Table334[[#This Row],[Account Withdrawl Amount]], )</f>
        <v>0</v>
      </c>
    </row>
    <row r="66" spans="1:22">
      <c r="A66" s="245" t="s">
        <v>513</v>
      </c>
      <c r="B66" s="263">
        <v>45636</v>
      </c>
      <c r="C66" s="264" t="s">
        <v>596</v>
      </c>
      <c r="D66" s="265" t="s">
        <v>597</v>
      </c>
      <c r="E66" s="264"/>
      <c r="F66" s="264">
        <v>286.2</v>
      </c>
      <c r="G66" s="243">
        <f t="shared" si="2"/>
        <v>606.54999999999859</v>
      </c>
      <c r="H66" s="224" t="s">
        <v>136</v>
      </c>
      <c r="I66" s="243">
        <f>IF(Table334[[#This Row],[Category]]="Fall Product",Table334[[#This Row],[Account Deposit Amount]]-Table334[[#This Row],[Account Withdrawl Amount]], )</f>
        <v>0</v>
      </c>
      <c r="J66" s="243">
        <f>IF(Table334[[#This Row],[Category]]="Cookies",Table334[[#This Row],[Account Deposit Amount]]-Table334[[#This Row],[Account Withdrawl Amount]], )</f>
        <v>0</v>
      </c>
      <c r="K66" s="243">
        <f>IF(Table334[[#This Row],[Category]]="Additional Money Earning Activities",Table334[[#This Row],[Account Deposit Amount]]-Table334[[#This Row],[Account Withdrawl Amount]], )</f>
        <v>0</v>
      </c>
      <c r="L66" s="243">
        <f>IF(Table334[[#This Row],[Category]]="Sponsorships",Table334[[#This Row],[Account Deposit Amount]]-Table334[[#This Row],[Account Withdrawl Amount]], )</f>
        <v>0</v>
      </c>
      <c r="M66" s="243">
        <f>IF(Table334[[#This Row],[Category]]="Troop Dues",Table334[[#This Row],[Account Deposit Amount]]-Table334[[#This Row],[Account Withdrawl Amount]], )</f>
        <v>0</v>
      </c>
      <c r="N66" s="243">
        <f>IF(Table334[[#This Row],[Category]]="Other Income",Table334[[#This Row],[Account Deposit Amount]]-Table334[[#This Row],[Account Withdrawl Amount]], )</f>
        <v>0</v>
      </c>
      <c r="O66" s="243">
        <f>IF(Table334[[#This Row],[Category]]="Registration",Table334[[#This Row],[Account Deposit Amount]]-Table334[[#This Row],[Account Withdrawl Amount]], )</f>
        <v>0</v>
      </c>
      <c r="P66" s="243">
        <f>IF(Table334[[#This Row],[Category]]="Insignia",Table334[[#This Row],[Account Deposit Amount]]-Table334[[#This Row],[Account Withdrawl Amount]], )</f>
        <v>0</v>
      </c>
      <c r="Q66" s="243">
        <f>IF(Table334[[#This Row],[Category]]="Activities/Program",Table334[[#This Row],[Account Deposit Amount]]-Table334[[#This Row],[Account Withdrawl Amount]], )</f>
        <v>-286.2</v>
      </c>
      <c r="R66" s="243">
        <f>IF(Table334[[#This Row],[Category]]="Travel",Table334[[#This Row],[Account Deposit Amount]]-Table334[[#This Row],[Account Withdrawl Amount]], )</f>
        <v>0</v>
      </c>
      <c r="S66" s="243">
        <f>IF(Table334[[#This Row],[Category]]="Parties Food &amp; Beverages",Table334[[#This Row],[Account Deposit Amount]]-Table334[[#This Row],[Account Withdrawl Amount]], )</f>
        <v>0</v>
      </c>
      <c r="T66" s="243">
        <f>IF(Table334[[#This Row],[Category]]="Service Projects Donation",Table334[[#This Row],[Account Deposit Amount]]-Table334[[#This Row],[Account Withdrawl Amount]], )</f>
        <v>0</v>
      </c>
      <c r="U66" s="243">
        <f>IF(Table334[[#This Row],[Category]]="Cookie Debt",Table334[[#This Row],[Account Deposit Amount]]-Table334[[#This Row],[Account Withdrawl Amount]], )</f>
        <v>0</v>
      </c>
      <c r="V66" s="243">
        <f>IF(Table334[[#This Row],[Category]]="Other Expense",Table334[[#This Row],[Account Deposit Amount]]-Table334[[#This Row],[Account Withdrawl Amount]], )</f>
        <v>0</v>
      </c>
    </row>
    <row r="67" spans="1:22">
      <c r="A67" s="261" t="s">
        <v>513</v>
      </c>
      <c r="B67" s="249" t="s">
        <v>598</v>
      </c>
      <c r="C67" s="247" t="s">
        <v>599</v>
      </c>
      <c r="D67" s="247" t="s">
        <v>600</v>
      </c>
      <c r="E67" s="250"/>
      <c r="F67" s="251">
        <v>58.51</v>
      </c>
      <c r="G67" s="243">
        <f t="shared" si="2"/>
        <v>548.0399999999986</v>
      </c>
      <c r="H67" s="247" t="s">
        <v>136</v>
      </c>
      <c r="I67" s="243">
        <f>IF(Table334[[#This Row],[Category]]="Fall Product",Table334[[#This Row],[Account Deposit Amount]]-Table334[[#This Row],[Account Withdrawl Amount]], )</f>
        <v>0</v>
      </c>
      <c r="J67" s="243">
        <f>IF(Table334[[#This Row],[Category]]="Cookies",Table334[[#This Row],[Account Deposit Amount]]-Table334[[#This Row],[Account Withdrawl Amount]], )</f>
        <v>0</v>
      </c>
      <c r="K67" s="243">
        <f>IF(Table334[[#This Row],[Category]]="Additional Money Earning Activities",Table334[[#This Row],[Account Deposit Amount]]-Table334[[#This Row],[Account Withdrawl Amount]], )</f>
        <v>0</v>
      </c>
      <c r="L67" s="243">
        <f>IF(Table334[[#This Row],[Category]]="Sponsorships",Table334[[#This Row],[Account Deposit Amount]]-Table334[[#This Row],[Account Withdrawl Amount]], )</f>
        <v>0</v>
      </c>
      <c r="M67" s="243">
        <f>IF(Table334[[#This Row],[Category]]="Troop Dues",Table334[[#This Row],[Account Deposit Amount]]-Table334[[#This Row],[Account Withdrawl Amount]], )</f>
        <v>0</v>
      </c>
      <c r="N67" s="243">
        <f>IF(Table334[[#This Row],[Category]]="Other Income",Table334[[#This Row],[Account Deposit Amount]]-Table334[[#This Row],[Account Withdrawl Amount]], )</f>
        <v>0</v>
      </c>
      <c r="O67" s="243">
        <f>IF(Table334[[#This Row],[Category]]="Registration",Table334[[#This Row],[Account Deposit Amount]]-Table334[[#This Row],[Account Withdrawl Amount]], )</f>
        <v>0</v>
      </c>
      <c r="P67" s="243">
        <f>IF(Table334[[#This Row],[Category]]="Insignia",Table334[[#This Row],[Account Deposit Amount]]-Table334[[#This Row],[Account Withdrawl Amount]], )</f>
        <v>0</v>
      </c>
      <c r="Q67" s="243">
        <f>IF(Table334[[#This Row],[Category]]="Activities/Program",Table334[[#This Row],[Account Deposit Amount]]-Table334[[#This Row],[Account Withdrawl Amount]], )</f>
        <v>-58.51</v>
      </c>
      <c r="R67" s="243">
        <f>IF(Table334[[#This Row],[Category]]="Travel",Table334[[#This Row],[Account Deposit Amount]]-Table334[[#This Row],[Account Withdrawl Amount]], )</f>
        <v>0</v>
      </c>
      <c r="S67" s="243">
        <f>IF(Table334[[#This Row],[Category]]="Parties Food &amp; Beverages",Table334[[#This Row],[Account Deposit Amount]]-Table334[[#This Row],[Account Withdrawl Amount]], )</f>
        <v>0</v>
      </c>
      <c r="T67" s="243">
        <f>IF(Table334[[#This Row],[Category]]="Service Projects Donation",Table334[[#This Row],[Account Deposit Amount]]-Table334[[#This Row],[Account Withdrawl Amount]], )</f>
        <v>0</v>
      </c>
      <c r="U67" s="243">
        <f>IF(Table334[[#This Row],[Category]]="Cookie Debt",Table334[[#This Row],[Account Deposit Amount]]-Table334[[#This Row],[Account Withdrawl Amount]], )</f>
        <v>0</v>
      </c>
      <c r="V67" s="243">
        <f>IF(Table334[[#This Row],[Category]]="Other Expense",Table334[[#This Row],[Account Deposit Amount]]-Table334[[#This Row],[Account Withdrawl Amount]], )</f>
        <v>0</v>
      </c>
    </row>
    <row r="68" spans="1:22">
      <c r="A68" s="245" t="s">
        <v>513</v>
      </c>
      <c r="B68" s="263">
        <v>45661</v>
      </c>
      <c r="C68" s="264" t="s">
        <v>516</v>
      </c>
      <c r="D68" s="265" t="s">
        <v>601</v>
      </c>
      <c r="E68" s="264"/>
      <c r="F68" s="264">
        <v>54.37</v>
      </c>
      <c r="G68" s="243">
        <f t="shared" si="2"/>
        <v>493.66999999999859</v>
      </c>
      <c r="H68" s="224" t="s">
        <v>136</v>
      </c>
      <c r="I68" s="243">
        <f>IF(Table334[[#This Row],[Category]]="Fall Product",Table334[[#This Row],[Account Deposit Amount]]-Table334[[#This Row],[Account Withdrawl Amount]], )</f>
        <v>0</v>
      </c>
      <c r="J68" s="243">
        <f>IF(Table334[[#This Row],[Category]]="Cookies",Table334[[#This Row],[Account Deposit Amount]]-Table334[[#This Row],[Account Withdrawl Amount]], )</f>
        <v>0</v>
      </c>
      <c r="K68" s="243">
        <f>IF(Table334[[#This Row],[Category]]="Additional Money Earning Activities",Table334[[#This Row],[Account Deposit Amount]]-Table334[[#This Row],[Account Withdrawl Amount]], )</f>
        <v>0</v>
      </c>
      <c r="L68" s="243">
        <f>IF(Table334[[#This Row],[Category]]="Sponsorships",Table334[[#This Row],[Account Deposit Amount]]-Table334[[#This Row],[Account Withdrawl Amount]], )</f>
        <v>0</v>
      </c>
      <c r="M68" s="243">
        <f>IF(Table334[[#This Row],[Category]]="Troop Dues",Table334[[#This Row],[Account Deposit Amount]]-Table334[[#This Row],[Account Withdrawl Amount]], )</f>
        <v>0</v>
      </c>
      <c r="N68" s="243">
        <f>IF(Table334[[#This Row],[Category]]="Other Income",Table334[[#This Row],[Account Deposit Amount]]-Table334[[#This Row],[Account Withdrawl Amount]], )</f>
        <v>0</v>
      </c>
      <c r="O68" s="243">
        <f>IF(Table334[[#This Row],[Category]]="Registration",Table334[[#This Row],[Account Deposit Amount]]-Table334[[#This Row],[Account Withdrawl Amount]], )</f>
        <v>0</v>
      </c>
      <c r="P68" s="243">
        <f>IF(Table334[[#This Row],[Category]]="Insignia",Table334[[#This Row],[Account Deposit Amount]]-Table334[[#This Row],[Account Withdrawl Amount]], )</f>
        <v>0</v>
      </c>
      <c r="Q68" s="243">
        <f>IF(Table334[[#This Row],[Category]]="Activities/Program",Table334[[#This Row],[Account Deposit Amount]]-Table334[[#This Row],[Account Withdrawl Amount]], )</f>
        <v>-54.37</v>
      </c>
      <c r="R68" s="243">
        <f>IF(Table334[[#This Row],[Category]]="Travel",Table334[[#This Row],[Account Deposit Amount]]-Table334[[#This Row],[Account Withdrawl Amount]], )</f>
        <v>0</v>
      </c>
      <c r="S68" s="243">
        <f>IF(Table334[[#This Row],[Category]]="Parties Food &amp; Beverages",Table334[[#This Row],[Account Deposit Amount]]-Table334[[#This Row],[Account Withdrawl Amount]], )</f>
        <v>0</v>
      </c>
      <c r="T68" s="243">
        <f>IF(Table334[[#This Row],[Category]]="Service Projects Donation",Table334[[#This Row],[Account Deposit Amount]]-Table334[[#This Row],[Account Withdrawl Amount]], )</f>
        <v>0</v>
      </c>
      <c r="U68" s="243">
        <f>IF(Table334[[#This Row],[Category]]="Cookie Debt",Table334[[#This Row],[Account Deposit Amount]]-Table334[[#This Row],[Account Withdrawl Amount]], )</f>
        <v>0</v>
      </c>
      <c r="V68" s="243">
        <f>IF(Table334[[#This Row],[Category]]="Other Expense",Table334[[#This Row],[Account Deposit Amount]]-Table334[[#This Row],[Account Withdrawl Amount]], )</f>
        <v>0</v>
      </c>
    </row>
    <row r="69" spans="1:22">
      <c r="A69" s="261" t="s">
        <v>513</v>
      </c>
      <c r="B69" s="249">
        <v>45667</v>
      </c>
      <c r="C69" s="247" t="s">
        <v>602</v>
      </c>
      <c r="D69" s="247" t="s">
        <v>603</v>
      </c>
      <c r="E69" s="250"/>
      <c r="F69" s="251">
        <v>111.3</v>
      </c>
      <c r="G69" s="243">
        <f t="shared" ref="G69:G109" si="3">G68+E69-F69</f>
        <v>382.36999999999858</v>
      </c>
      <c r="H69" s="247" t="s">
        <v>136</v>
      </c>
      <c r="I69" s="243">
        <f>IF(Table334[[#This Row],[Category]]="Fall Product",Table334[[#This Row],[Account Deposit Amount]]-Table334[[#This Row],[Account Withdrawl Amount]], )</f>
        <v>0</v>
      </c>
      <c r="J69" s="243">
        <f>IF(Table334[[#This Row],[Category]]="Cookies",Table334[[#This Row],[Account Deposit Amount]]-Table334[[#This Row],[Account Withdrawl Amount]], )</f>
        <v>0</v>
      </c>
      <c r="K69" s="243">
        <f>IF(Table334[[#This Row],[Category]]="Additional Money Earning Activities",Table334[[#This Row],[Account Deposit Amount]]-Table334[[#This Row],[Account Withdrawl Amount]], )</f>
        <v>0</v>
      </c>
      <c r="L69" s="243">
        <f>IF(Table334[[#This Row],[Category]]="Sponsorships",Table334[[#This Row],[Account Deposit Amount]]-Table334[[#This Row],[Account Withdrawl Amount]], )</f>
        <v>0</v>
      </c>
      <c r="M69" s="243">
        <f>IF(Table334[[#This Row],[Category]]="Troop Dues",Table334[[#This Row],[Account Deposit Amount]]-Table334[[#This Row],[Account Withdrawl Amount]], )</f>
        <v>0</v>
      </c>
      <c r="N69" s="243">
        <f>IF(Table334[[#This Row],[Category]]="Other Income",Table334[[#This Row],[Account Deposit Amount]]-Table334[[#This Row],[Account Withdrawl Amount]], )</f>
        <v>0</v>
      </c>
      <c r="O69" s="243">
        <f>IF(Table334[[#This Row],[Category]]="Registration",Table334[[#This Row],[Account Deposit Amount]]-Table334[[#This Row],[Account Withdrawl Amount]], )</f>
        <v>0</v>
      </c>
      <c r="P69" s="243">
        <f>IF(Table334[[#This Row],[Category]]="Insignia",Table334[[#This Row],[Account Deposit Amount]]-Table334[[#This Row],[Account Withdrawl Amount]], )</f>
        <v>0</v>
      </c>
      <c r="Q69" s="243">
        <f>IF(Table334[[#This Row],[Category]]="Activities/Program",Table334[[#This Row],[Account Deposit Amount]]-Table334[[#This Row],[Account Withdrawl Amount]], )</f>
        <v>-111.3</v>
      </c>
      <c r="R69" s="243">
        <f>IF(Table334[[#This Row],[Category]]="Travel",Table334[[#This Row],[Account Deposit Amount]]-Table334[[#This Row],[Account Withdrawl Amount]], )</f>
        <v>0</v>
      </c>
      <c r="S69" s="243">
        <f>IF(Table334[[#This Row],[Category]]="Parties Food &amp; Beverages",Table334[[#This Row],[Account Deposit Amount]]-Table334[[#This Row],[Account Withdrawl Amount]], )</f>
        <v>0</v>
      </c>
      <c r="T69" s="243">
        <f>IF(Table334[[#This Row],[Category]]="Service Projects Donation",Table334[[#This Row],[Account Deposit Amount]]-Table334[[#This Row],[Account Withdrawl Amount]], )</f>
        <v>0</v>
      </c>
      <c r="U69" s="243">
        <f>IF(Table334[[#This Row],[Category]]="Cookie Debt",Table334[[#This Row],[Account Deposit Amount]]-Table334[[#This Row],[Account Withdrawl Amount]], )</f>
        <v>0</v>
      </c>
      <c r="V69" s="243">
        <f>IF(Table334[[#This Row],[Category]]="Other Expense",Table334[[#This Row],[Account Deposit Amount]]-Table334[[#This Row],[Account Withdrawl Amount]], )</f>
        <v>0</v>
      </c>
    </row>
    <row r="70" spans="1:22">
      <c r="A70" s="245" t="s">
        <v>513</v>
      </c>
      <c r="B70" s="263">
        <v>45673</v>
      </c>
      <c r="C70" s="264" t="s">
        <v>605</v>
      </c>
      <c r="D70" s="265" t="s">
        <v>604</v>
      </c>
      <c r="E70" s="264"/>
      <c r="F70" s="264">
        <v>210</v>
      </c>
      <c r="G70" s="243">
        <f t="shared" si="3"/>
        <v>172.36999999999858</v>
      </c>
      <c r="H70" s="224" t="s">
        <v>136</v>
      </c>
      <c r="I70" s="243">
        <f>IF(Table334[[#This Row],[Category]]="Fall Product",Table334[[#This Row],[Account Deposit Amount]]-Table334[[#This Row],[Account Withdrawl Amount]], )</f>
        <v>0</v>
      </c>
      <c r="J70" s="243">
        <f>IF(Table334[[#This Row],[Category]]="Cookies",Table334[[#This Row],[Account Deposit Amount]]-Table334[[#This Row],[Account Withdrawl Amount]], )</f>
        <v>0</v>
      </c>
      <c r="K70" s="243">
        <f>IF(Table334[[#This Row],[Category]]="Additional Money Earning Activities",Table334[[#This Row],[Account Deposit Amount]]-Table334[[#This Row],[Account Withdrawl Amount]], )</f>
        <v>0</v>
      </c>
      <c r="L70" s="243">
        <f>IF(Table334[[#This Row],[Category]]="Sponsorships",Table334[[#This Row],[Account Deposit Amount]]-Table334[[#This Row],[Account Withdrawl Amount]], )</f>
        <v>0</v>
      </c>
      <c r="M70" s="243">
        <f>IF(Table334[[#This Row],[Category]]="Troop Dues",Table334[[#This Row],[Account Deposit Amount]]-Table334[[#This Row],[Account Withdrawl Amount]], )</f>
        <v>0</v>
      </c>
      <c r="N70" s="243">
        <f>IF(Table334[[#This Row],[Category]]="Other Income",Table334[[#This Row],[Account Deposit Amount]]-Table334[[#This Row],[Account Withdrawl Amount]], )</f>
        <v>0</v>
      </c>
      <c r="O70" s="243">
        <f>IF(Table334[[#This Row],[Category]]="Registration",Table334[[#This Row],[Account Deposit Amount]]-Table334[[#This Row],[Account Withdrawl Amount]], )</f>
        <v>0</v>
      </c>
      <c r="P70" s="243">
        <f>IF(Table334[[#This Row],[Category]]="Insignia",Table334[[#This Row],[Account Deposit Amount]]-Table334[[#This Row],[Account Withdrawl Amount]], )</f>
        <v>0</v>
      </c>
      <c r="Q70" s="243">
        <f>IF(Table334[[#This Row],[Category]]="Activities/Program",Table334[[#This Row],[Account Deposit Amount]]-Table334[[#This Row],[Account Withdrawl Amount]], )</f>
        <v>-210</v>
      </c>
      <c r="R70" s="243">
        <f>IF(Table334[[#This Row],[Category]]="Travel",Table334[[#This Row],[Account Deposit Amount]]-Table334[[#This Row],[Account Withdrawl Amount]], )</f>
        <v>0</v>
      </c>
      <c r="S70" s="243">
        <f>IF(Table334[[#This Row],[Category]]="Parties Food &amp; Beverages",Table334[[#This Row],[Account Deposit Amount]]-Table334[[#This Row],[Account Withdrawl Amount]], )</f>
        <v>0</v>
      </c>
      <c r="T70" s="243">
        <f>IF(Table334[[#This Row],[Category]]="Service Projects Donation",Table334[[#This Row],[Account Deposit Amount]]-Table334[[#This Row],[Account Withdrawl Amount]], )</f>
        <v>0</v>
      </c>
      <c r="U70" s="243">
        <f>IF(Table334[[#This Row],[Category]]="Cookie Debt",Table334[[#This Row],[Account Deposit Amount]]-Table334[[#This Row],[Account Withdrawl Amount]], )</f>
        <v>0</v>
      </c>
      <c r="V70" s="243">
        <f>IF(Table334[[#This Row],[Category]]="Other Expense",Table334[[#This Row],[Account Deposit Amount]]-Table334[[#This Row],[Account Withdrawl Amount]], )</f>
        <v>0</v>
      </c>
    </row>
    <row r="71" spans="1:22">
      <c r="A71" s="261" t="s">
        <v>513</v>
      </c>
      <c r="B71" s="249">
        <v>45685</v>
      </c>
      <c r="C71" s="247" t="s">
        <v>606</v>
      </c>
      <c r="D71" s="247" t="s">
        <v>607</v>
      </c>
      <c r="E71" s="250"/>
      <c r="F71" s="251">
        <v>18.5</v>
      </c>
      <c r="G71" s="243">
        <f t="shared" si="3"/>
        <v>153.86999999999858</v>
      </c>
      <c r="H71" s="247" t="s">
        <v>67</v>
      </c>
      <c r="I71" s="243">
        <f>IF(Table334[[#This Row],[Category]]="Fall Product",Table334[[#This Row],[Account Deposit Amount]]-Table334[[#This Row],[Account Withdrawl Amount]], )</f>
        <v>0</v>
      </c>
      <c r="J71" s="243">
        <f>IF(Table334[[#This Row],[Category]]="Cookies",Table334[[#This Row],[Account Deposit Amount]]-Table334[[#This Row],[Account Withdrawl Amount]], )</f>
        <v>0</v>
      </c>
      <c r="K71" s="243">
        <f>IF(Table334[[#This Row],[Category]]="Additional Money Earning Activities",Table334[[#This Row],[Account Deposit Amount]]-Table334[[#This Row],[Account Withdrawl Amount]], )</f>
        <v>0</v>
      </c>
      <c r="L71" s="243">
        <f>IF(Table334[[#This Row],[Category]]="Sponsorships",Table334[[#This Row],[Account Deposit Amount]]-Table334[[#This Row],[Account Withdrawl Amount]], )</f>
        <v>0</v>
      </c>
      <c r="M71" s="243">
        <f>IF(Table334[[#This Row],[Category]]="Troop Dues",Table334[[#This Row],[Account Deposit Amount]]-Table334[[#This Row],[Account Withdrawl Amount]], )</f>
        <v>0</v>
      </c>
      <c r="N71" s="243">
        <f>IF(Table334[[#This Row],[Category]]="Other Income",Table334[[#This Row],[Account Deposit Amount]]-Table334[[#This Row],[Account Withdrawl Amount]], )</f>
        <v>0</v>
      </c>
      <c r="O71" s="243">
        <f>IF(Table334[[#This Row],[Category]]="Registration",Table334[[#This Row],[Account Deposit Amount]]-Table334[[#This Row],[Account Withdrawl Amount]], )</f>
        <v>0</v>
      </c>
      <c r="P71" s="243">
        <f>IF(Table334[[#This Row],[Category]]="Insignia",Table334[[#This Row],[Account Deposit Amount]]-Table334[[#This Row],[Account Withdrawl Amount]], )</f>
        <v>-18.5</v>
      </c>
      <c r="Q71" s="243">
        <f>IF(Table334[[#This Row],[Category]]="Activities/Program",Table334[[#This Row],[Account Deposit Amount]]-Table334[[#This Row],[Account Withdrawl Amount]], )</f>
        <v>0</v>
      </c>
      <c r="R71" s="243">
        <f>IF(Table334[[#This Row],[Category]]="Travel",Table334[[#This Row],[Account Deposit Amount]]-Table334[[#This Row],[Account Withdrawl Amount]], )</f>
        <v>0</v>
      </c>
      <c r="S71" s="243">
        <f>IF(Table334[[#This Row],[Category]]="Parties Food &amp; Beverages",Table334[[#This Row],[Account Deposit Amount]]-Table334[[#This Row],[Account Withdrawl Amount]], )</f>
        <v>0</v>
      </c>
      <c r="T71" s="243">
        <f>IF(Table334[[#This Row],[Category]]="Service Projects Donation",Table334[[#This Row],[Account Deposit Amount]]-Table334[[#This Row],[Account Withdrawl Amount]], )</f>
        <v>0</v>
      </c>
      <c r="U71" s="243">
        <f>IF(Table334[[#This Row],[Category]]="Cookie Debt",Table334[[#This Row],[Account Deposit Amount]]-Table334[[#This Row],[Account Withdrawl Amount]], )</f>
        <v>0</v>
      </c>
      <c r="V71" s="243">
        <f>IF(Table334[[#This Row],[Category]]="Other Expense",Table334[[#This Row],[Account Deposit Amount]]-Table334[[#This Row],[Account Withdrawl Amount]], )</f>
        <v>0</v>
      </c>
    </row>
    <row r="72" spans="1:22">
      <c r="A72" s="245" t="s">
        <v>513</v>
      </c>
      <c r="B72" s="263">
        <v>45685</v>
      </c>
      <c r="C72" s="264" t="s">
        <v>608</v>
      </c>
      <c r="D72" s="265" t="s">
        <v>609</v>
      </c>
      <c r="E72" s="264">
        <v>5461</v>
      </c>
      <c r="F72" s="264"/>
      <c r="G72" s="243">
        <f t="shared" si="3"/>
        <v>5614.869999999999</v>
      </c>
      <c r="H72" s="224" t="s">
        <v>132</v>
      </c>
      <c r="I72" s="243">
        <f>IF(Table334[[#This Row],[Category]]="Fall Product",Table334[[#This Row],[Account Deposit Amount]]-Table334[[#This Row],[Account Withdrawl Amount]], )</f>
        <v>0</v>
      </c>
      <c r="J72" s="243">
        <f>IF(Table334[[#This Row],[Category]]="Cookies",Table334[[#This Row],[Account Deposit Amount]]-Table334[[#This Row],[Account Withdrawl Amount]], )</f>
        <v>5461</v>
      </c>
      <c r="K72" s="243">
        <f>IF(Table334[[#This Row],[Category]]="Additional Money Earning Activities",Table334[[#This Row],[Account Deposit Amount]]-Table334[[#This Row],[Account Withdrawl Amount]], )</f>
        <v>0</v>
      </c>
      <c r="L72" s="243">
        <f>IF(Table334[[#This Row],[Category]]="Sponsorships",Table334[[#This Row],[Account Deposit Amount]]-Table334[[#This Row],[Account Withdrawl Amount]], )</f>
        <v>0</v>
      </c>
      <c r="M72" s="243">
        <f>IF(Table334[[#This Row],[Category]]="Troop Dues",Table334[[#This Row],[Account Deposit Amount]]-Table334[[#This Row],[Account Withdrawl Amount]], )</f>
        <v>0</v>
      </c>
      <c r="N72" s="243">
        <f>IF(Table334[[#This Row],[Category]]="Other Income",Table334[[#This Row],[Account Deposit Amount]]-Table334[[#This Row],[Account Withdrawl Amount]], )</f>
        <v>0</v>
      </c>
      <c r="O72" s="243">
        <f>IF(Table334[[#This Row],[Category]]="Registration",Table334[[#This Row],[Account Deposit Amount]]-Table334[[#This Row],[Account Withdrawl Amount]], )</f>
        <v>0</v>
      </c>
      <c r="P72" s="243">
        <f>IF(Table334[[#This Row],[Category]]="Insignia",Table334[[#This Row],[Account Deposit Amount]]-Table334[[#This Row],[Account Withdrawl Amount]], )</f>
        <v>0</v>
      </c>
      <c r="Q72" s="243">
        <f>IF(Table334[[#This Row],[Category]]="Activities/Program",Table334[[#This Row],[Account Deposit Amount]]-Table334[[#This Row],[Account Withdrawl Amount]], )</f>
        <v>0</v>
      </c>
      <c r="R72" s="243">
        <f>IF(Table334[[#This Row],[Category]]="Travel",Table334[[#This Row],[Account Deposit Amount]]-Table334[[#This Row],[Account Withdrawl Amount]], )</f>
        <v>0</v>
      </c>
      <c r="S72" s="243">
        <f>IF(Table334[[#This Row],[Category]]="Parties Food &amp; Beverages",Table334[[#This Row],[Account Deposit Amount]]-Table334[[#This Row],[Account Withdrawl Amount]], )</f>
        <v>0</v>
      </c>
      <c r="T72" s="243">
        <f>IF(Table334[[#This Row],[Category]]="Service Projects Donation",Table334[[#This Row],[Account Deposit Amount]]-Table334[[#This Row],[Account Withdrawl Amount]], )</f>
        <v>0</v>
      </c>
      <c r="U72" s="243">
        <f>IF(Table334[[#This Row],[Category]]="Cookie Debt",Table334[[#This Row],[Account Deposit Amount]]-Table334[[#This Row],[Account Withdrawl Amount]], )</f>
        <v>0</v>
      </c>
      <c r="V72" s="243">
        <f>IF(Table334[[#This Row],[Category]]="Other Expense",Table334[[#This Row],[Account Deposit Amount]]-Table334[[#This Row],[Account Withdrawl Amount]], )</f>
        <v>0</v>
      </c>
    </row>
    <row r="73" spans="1:22" ht="27.6">
      <c r="A73" s="261" t="s">
        <v>513</v>
      </c>
      <c r="B73" s="249">
        <v>45686</v>
      </c>
      <c r="C73" s="247" t="s">
        <v>610</v>
      </c>
      <c r="D73" s="247" t="s">
        <v>611</v>
      </c>
      <c r="E73" s="250"/>
      <c r="F73" s="251">
        <v>54.46</v>
      </c>
      <c r="G73" s="243">
        <f t="shared" si="3"/>
        <v>5560.4099999999989</v>
      </c>
      <c r="H73" s="247" t="s">
        <v>136</v>
      </c>
      <c r="I73" s="243">
        <f>IF(Table334[[#This Row],[Category]]="Fall Product",Table334[[#This Row],[Account Deposit Amount]]-Table334[[#This Row],[Account Withdrawl Amount]], )</f>
        <v>0</v>
      </c>
      <c r="J73" s="243">
        <f>IF(Table334[[#This Row],[Category]]="Cookies",Table334[[#This Row],[Account Deposit Amount]]-Table334[[#This Row],[Account Withdrawl Amount]], )</f>
        <v>0</v>
      </c>
      <c r="K73" s="243">
        <f>IF(Table334[[#This Row],[Category]]="Additional Money Earning Activities",Table334[[#This Row],[Account Deposit Amount]]-Table334[[#This Row],[Account Withdrawl Amount]], )</f>
        <v>0</v>
      </c>
      <c r="L73" s="243">
        <f>IF(Table334[[#This Row],[Category]]="Sponsorships",Table334[[#This Row],[Account Deposit Amount]]-Table334[[#This Row],[Account Withdrawl Amount]], )</f>
        <v>0</v>
      </c>
      <c r="M73" s="243">
        <f>IF(Table334[[#This Row],[Category]]="Troop Dues",Table334[[#This Row],[Account Deposit Amount]]-Table334[[#This Row],[Account Withdrawl Amount]], )</f>
        <v>0</v>
      </c>
      <c r="N73" s="243">
        <f>IF(Table334[[#This Row],[Category]]="Other Income",Table334[[#This Row],[Account Deposit Amount]]-Table334[[#This Row],[Account Withdrawl Amount]], )</f>
        <v>0</v>
      </c>
      <c r="O73" s="243">
        <f>IF(Table334[[#This Row],[Category]]="Registration",Table334[[#This Row],[Account Deposit Amount]]-Table334[[#This Row],[Account Withdrawl Amount]], )</f>
        <v>0</v>
      </c>
      <c r="P73" s="243">
        <f>IF(Table334[[#This Row],[Category]]="Insignia",Table334[[#This Row],[Account Deposit Amount]]-Table334[[#This Row],[Account Withdrawl Amount]], )</f>
        <v>0</v>
      </c>
      <c r="Q73" s="243">
        <f>IF(Table334[[#This Row],[Category]]="Activities/Program",Table334[[#This Row],[Account Deposit Amount]]-Table334[[#This Row],[Account Withdrawl Amount]], )</f>
        <v>-54.46</v>
      </c>
      <c r="R73" s="243">
        <f>IF(Table334[[#This Row],[Category]]="Travel",Table334[[#This Row],[Account Deposit Amount]]-Table334[[#This Row],[Account Withdrawl Amount]], )</f>
        <v>0</v>
      </c>
      <c r="S73" s="243">
        <f>IF(Table334[[#This Row],[Category]]="Parties Food &amp; Beverages",Table334[[#This Row],[Account Deposit Amount]]-Table334[[#This Row],[Account Withdrawl Amount]], )</f>
        <v>0</v>
      </c>
      <c r="T73" s="243">
        <f>IF(Table334[[#This Row],[Category]]="Service Projects Donation",Table334[[#This Row],[Account Deposit Amount]]-Table334[[#This Row],[Account Withdrawl Amount]], )</f>
        <v>0</v>
      </c>
      <c r="U73" s="243">
        <f>IF(Table334[[#This Row],[Category]]="Cookie Debt",Table334[[#This Row],[Account Deposit Amount]]-Table334[[#This Row],[Account Withdrawl Amount]], )</f>
        <v>0</v>
      </c>
      <c r="V73" s="243">
        <f>IF(Table334[[#This Row],[Category]]="Other Expense",Table334[[#This Row],[Account Deposit Amount]]-Table334[[#This Row],[Account Withdrawl Amount]], )</f>
        <v>0</v>
      </c>
    </row>
    <row r="74" spans="1:22">
      <c r="A74" s="245" t="s">
        <v>513</v>
      </c>
      <c r="B74" s="263">
        <v>45692</v>
      </c>
      <c r="C74" s="264" t="s">
        <v>516</v>
      </c>
      <c r="D74" s="265" t="s">
        <v>612</v>
      </c>
      <c r="E74" s="264"/>
      <c r="F74" s="264">
        <v>67.8</v>
      </c>
      <c r="G74" s="243">
        <f t="shared" si="3"/>
        <v>5492.6099999999988</v>
      </c>
      <c r="H74" s="224" t="s">
        <v>136</v>
      </c>
      <c r="I74" s="243">
        <f>IF(Table334[[#This Row],[Category]]="Fall Product",Table334[[#This Row],[Account Deposit Amount]]-Table334[[#This Row],[Account Withdrawl Amount]], )</f>
        <v>0</v>
      </c>
      <c r="J74" s="243">
        <f>IF(Table334[[#This Row],[Category]]="Cookies",Table334[[#This Row],[Account Deposit Amount]]-Table334[[#This Row],[Account Withdrawl Amount]], )</f>
        <v>0</v>
      </c>
      <c r="K74" s="243">
        <f>IF(Table334[[#This Row],[Category]]="Additional Money Earning Activities",Table334[[#This Row],[Account Deposit Amount]]-Table334[[#This Row],[Account Withdrawl Amount]], )</f>
        <v>0</v>
      </c>
      <c r="L74" s="243">
        <f>IF(Table334[[#This Row],[Category]]="Sponsorships",Table334[[#This Row],[Account Deposit Amount]]-Table334[[#This Row],[Account Withdrawl Amount]], )</f>
        <v>0</v>
      </c>
      <c r="M74" s="243">
        <f>IF(Table334[[#This Row],[Category]]="Troop Dues",Table334[[#This Row],[Account Deposit Amount]]-Table334[[#This Row],[Account Withdrawl Amount]], )</f>
        <v>0</v>
      </c>
      <c r="N74" s="243">
        <f>IF(Table334[[#This Row],[Category]]="Other Income",Table334[[#This Row],[Account Deposit Amount]]-Table334[[#This Row],[Account Withdrawl Amount]], )</f>
        <v>0</v>
      </c>
      <c r="O74" s="243">
        <f>IF(Table334[[#This Row],[Category]]="Registration",Table334[[#This Row],[Account Deposit Amount]]-Table334[[#This Row],[Account Withdrawl Amount]], )</f>
        <v>0</v>
      </c>
      <c r="P74" s="243">
        <f>IF(Table334[[#This Row],[Category]]="Insignia",Table334[[#This Row],[Account Deposit Amount]]-Table334[[#This Row],[Account Withdrawl Amount]], )</f>
        <v>0</v>
      </c>
      <c r="Q74" s="243">
        <f>IF(Table334[[#This Row],[Category]]="Activities/Program",Table334[[#This Row],[Account Deposit Amount]]-Table334[[#This Row],[Account Withdrawl Amount]], )</f>
        <v>-67.8</v>
      </c>
      <c r="R74" s="243">
        <f>IF(Table334[[#This Row],[Category]]="Travel",Table334[[#This Row],[Account Deposit Amount]]-Table334[[#This Row],[Account Withdrawl Amount]], )</f>
        <v>0</v>
      </c>
      <c r="S74" s="243">
        <f>IF(Table334[[#This Row],[Category]]="Parties Food &amp; Beverages",Table334[[#This Row],[Account Deposit Amount]]-Table334[[#This Row],[Account Withdrawl Amount]], )</f>
        <v>0</v>
      </c>
      <c r="T74" s="243">
        <f>IF(Table334[[#This Row],[Category]]="Service Projects Donation",Table334[[#This Row],[Account Deposit Amount]]-Table334[[#This Row],[Account Withdrawl Amount]], )</f>
        <v>0</v>
      </c>
      <c r="U74" s="243">
        <f>IF(Table334[[#This Row],[Category]]="Cookie Debt",Table334[[#This Row],[Account Deposit Amount]]-Table334[[#This Row],[Account Withdrawl Amount]], )</f>
        <v>0</v>
      </c>
      <c r="V74" s="243">
        <f>IF(Table334[[#This Row],[Category]]="Other Expense",Table334[[#This Row],[Account Deposit Amount]]-Table334[[#This Row],[Account Withdrawl Amount]], )</f>
        <v>0</v>
      </c>
    </row>
    <row r="75" spans="1:22">
      <c r="A75" s="261" t="s">
        <v>513</v>
      </c>
      <c r="B75" s="249">
        <v>45700</v>
      </c>
      <c r="C75" s="247" t="s">
        <v>613</v>
      </c>
      <c r="D75" s="247" t="s">
        <v>614</v>
      </c>
      <c r="E75" s="250"/>
      <c r="F75" s="251">
        <v>85.71</v>
      </c>
      <c r="G75" s="243">
        <f t="shared" si="3"/>
        <v>5406.8999999999987</v>
      </c>
      <c r="H75" s="247" t="s">
        <v>136</v>
      </c>
      <c r="I75" s="243">
        <f>IF(Table334[[#This Row],[Category]]="Fall Product",Table334[[#This Row],[Account Deposit Amount]]-Table334[[#This Row],[Account Withdrawl Amount]], )</f>
        <v>0</v>
      </c>
      <c r="J75" s="243">
        <f>IF(Table334[[#This Row],[Category]]="Cookies",Table334[[#This Row],[Account Deposit Amount]]-Table334[[#This Row],[Account Withdrawl Amount]], )</f>
        <v>0</v>
      </c>
      <c r="K75" s="243">
        <f>IF(Table334[[#This Row],[Category]]="Additional Money Earning Activities",Table334[[#This Row],[Account Deposit Amount]]-Table334[[#This Row],[Account Withdrawl Amount]], )</f>
        <v>0</v>
      </c>
      <c r="L75" s="243">
        <f>IF(Table334[[#This Row],[Category]]="Sponsorships",Table334[[#This Row],[Account Deposit Amount]]-Table334[[#This Row],[Account Withdrawl Amount]], )</f>
        <v>0</v>
      </c>
      <c r="M75" s="243">
        <f>IF(Table334[[#This Row],[Category]]="Troop Dues",Table334[[#This Row],[Account Deposit Amount]]-Table334[[#This Row],[Account Withdrawl Amount]], )</f>
        <v>0</v>
      </c>
      <c r="N75" s="243">
        <f>IF(Table334[[#This Row],[Category]]="Other Income",Table334[[#This Row],[Account Deposit Amount]]-Table334[[#This Row],[Account Withdrawl Amount]], )</f>
        <v>0</v>
      </c>
      <c r="O75" s="243">
        <f>IF(Table334[[#This Row],[Category]]="Registration",Table334[[#This Row],[Account Deposit Amount]]-Table334[[#This Row],[Account Withdrawl Amount]], )</f>
        <v>0</v>
      </c>
      <c r="P75" s="243">
        <f>IF(Table334[[#This Row],[Category]]="Insignia",Table334[[#This Row],[Account Deposit Amount]]-Table334[[#This Row],[Account Withdrawl Amount]], )</f>
        <v>0</v>
      </c>
      <c r="Q75" s="243">
        <f>IF(Table334[[#This Row],[Category]]="Activities/Program",Table334[[#This Row],[Account Deposit Amount]]-Table334[[#This Row],[Account Withdrawl Amount]], )</f>
        <v>-85.71</v>
      </c>
      <c r="R75" s="243">
        <f>IF(Table334[[#This Row],[Category]]="Travel",Table334[[#This Row],[Account Deposit Amount]]-Table334[[#This Row],[Account Withdrawl Amount]], )</f>
        <v>0</v>
      </c>
      <c r="S75" s="243">
        <f>IF(Table334[[#This Row],[Category]]="Parties Food &amp; Beverages",Table334[[#This Row],[Account Deposit Amount]]-Table334[[#This Row],[Account Withdrawl Amount]], )</f>
        <v>0</v>
      </c>
      <c r="T75" s="243">
        <f>IF(Table334[[#This Row],[Category]]="Service Projects Donation",Table334[[#This Row],[Account Deposit Amount]]-Table334[[#This Row],[Account Withdrawl Amount]], )</f>
        <v>0</v>
      </c>
      <c r="U75" s="243">
        <f>IF(Table334[[#This Row],[Category]]="Cookie Debt",Table334[[#This Row],[Account Deposit Amount]]-Table334[[#This Row],[Account Withdrawl Amount]], )</f>
        <v>0</v>
      </c>
      <c r="V75" s="243">
        <f>IF(Table334[[#This Row],[Category]]="Other Expense",Table334[[#This Row],[Account Deposit Amount]]-Table334[[#This Row],[Account Withdrawl Amount]], )</f>
        <v>0</v>
      </c>
    </row>
    <row r="76" spans="1:22">
      <c r="A76" s="245" t="s">
        <v>513</v>
      </c>
      <c r="B76" s="263">
        <v>45701</v>
      </c>
      <c r="C76" s="264" t="s">
        <v>418</v>
      </c>
      <c r="D76" s="265" t="s">
        <v>615</v>
      </c>
      <c r="E76" s="264"/>
      <c r="F76" s="264">
        <v>74.180000000000007</v>
      </c>
      <c r="G76" s="243">
        <f t="shared" si="3"/>
        <v>5332.7199999999984</v>
      </c>
      <c r="H76" s="224" t="s">
        <v>136</v>
      </c>
      <c r="I76" s="243">
        <f>IF(Table334[[#This Row],[Category]]="Fall Product",Table334[[#This Row],[Account Deposit Amount]]-Table334[[#This Row],[Account Withdrawl Amount]], )</f>
        <v>0</v>
      </c>
      <c r="J76" s="243">
        <f>IF(Table334[[#This Row],[Category]]="Cookies",Table334[[#This Row],[Account Deposit Amount]]-Table334[[#This Row],[Account Withdrawl Amount]], )</f>
        <v>0</v>
      </c>
      <c r="K76" s="243">
        <f>IF(Table334[[#This Row],[Category]]="Additional Money Earning Activities",Table334[[#This Row],[Account Deposit Amount]]-Table334[[#This Row],[Account Withdrawl Amount]], )</f>
        <v>0</v>
      </c>
      <c r="L76" s="243">
        <f>IF(Table334[[#This Row],[Category]]="Sponsorships",Table334[[#This Row],[Account Deposit Amount]]-Table334[[#This Row],[Account Withdrawl Amount]], )</f>
        <v>0</v>
      </c>
      <c r="M76" s="243">
        <f>IF(Table334[[#This Row],[Category]]="Troop Dues",Table334[[#This Row],[Account Deposit Amount]]-Table334[[#This Row],[Account Withdrawl Amount]], )</f>
        <v>0</v>
      </c>
      <c r="N76" s="243">
        <f>IF(Table334[[#This Row],[Category]]="Other Income",Table334[[#This Row],[Account Deposit Amount]]-Table334[[#This Row],[Account Withdrawl Amount]], )</f>
        <v>0</v>
      </c>
      <c r="O76" s="243">
        <f>IF(Table334[[#This Row],[Category]]="Registration",Table334[[#This Row],[Account Deposit Amount]]-Table334[[#This Row],[Account Withdrawl Amount]], )</f>
        <v>0</v>
      </c>
      <c r="P76" s="243">
        <f>IF(Table334[[#This Row],[Category]]="Insignia",Table334[[#This Row],[Account Deposit Amount]]-Table334[[#This Row],[Account Withdrawl Amount]], )</f>
        <v>0</v>
      </c>
      <c r="Q76" s="243">
        <f>IF(Table334[[#This Row],[Category]]="Activities/Program",Table334[[#This Row],[Account Deposit Amount]]-Table334[[#This Row],[Account Withdrawl Amount]], )</f>
        <v>-74.180000000000007</v>
      </c>
      <c r="R76" s="243">
        <f>IF(Table334[[#This Row],[Category]]="Travel",Table334[[#This Row],[Account Deposit Amount]]-Table334[[#This Row],[Account Withdrawl Amount]], )</f>
        <v>0</v>
      </c>
      <c r="S76" s="243">
        <f>IF(Table334[[#This Row],[Category]]="Parties Food &amp; Beverages",Table334[[#This Row],[Account Deposit Amount]]-Table334[[#This Row],[Account Withdrawl Amount]], )</f>
        <v>0</v>
      </c>
      <c r="T76" s="243">
        <f>IF(Table334[[#This Row],[Category]]="Service Projects Donation",Table334[[#This Row],[Account Deposit Amount]]-Table334[[#This Row],[Account Withdrawl Amount]], )</f>
        <v>0</v>
      </c>
      <c r="U76" s="243">
        <f>IF(Table334[[#This Row],[Category]]="Cookie Debt",Table334[[#This Row],[Account Deposit Amount]]-Table334[[#This Row],[Account Withdrawl Amount]], )</f>
        <v>0</v>
      </c>
      <c r="V76" s="243">
        <f>IF(Table334[[#This Row],[Category]]="Other Expense",Table334[[#This Row],[Account Deposit Amount]]-Table334[[#This Row],[Account Withdrawl Amount]], )</f>
        <v>0</v>
      </c>
    </row>
    <row r="77" spans="1:22">
      <c r="A77" s="261" t="s">
        <v>513</v>
      </c>
      <c r="B77" s="249">
        <v>45702</v>
      </c>
      <c r="C77" s="247" t="s">
        <v>584</v>
      </c>
      <c r="D77" s="247" t="s">
        <v>585</v>
      </c>
      <c r="E77" s="250"/>
      <c r="F77" s="251">
        <v>30</v>
      </c>
      <c r="G77" s="243">
        <f t="shared" si="3"/>
        <v>5302.7199999999984</v>
      </c>
      <c r="H77" s="247" t="s">
        <v>136</v>
      </c>
      <c r="I77" s="243">
        <f>IF(Table334[[#This Row],[Category]]="Fall Product",Table334[[#This Row],[Account Deposit Amount]]-Table334[[#This Row],[Account Withdrawl Amount]], )</f>
        <v>0</v>
      </c>
      <c r="J77" s="243">
        <f>IF(Table334[[#This Row],[Category]]="Cookies",Table334[[#This Row],[Account Deposit Amount]]-Table334[[#This Row],[Account Withdrawl Amount]], )</f>
        <v>0</v>
      </c>
      <c r="K77" s="243">
        <f>IF(Table334[[#This Row],[Category]]="Additional Money Earning Activities",Table334[[#This Row],[Account Deposit Amount]]-Table334[[#This Row],[Account Withdrawl Amount]], )</f>
        <v>0</v>
      </c>
      <c r="L77" s="243">
        <f>IF(Table334[[#This Row],[Category]]="Sponsorships",Table334[[#This Row],[Account Deposit Amount]]-Table334[[#This Row],[Account Withdrawl Amount]], )</f>
        <v>0</v>
      </c>
      <c r="M77" s="243">
        <f>IF(Table334[[#This Row],[Category]]="Troop Dues",Table334[[#This Row],[Account Deposit Amount]]-Table334[[#This Row],[Account Withdrawl Amount]], )</f>
        <v>0</v>
      </c>
      <c r="N77" s="243">
        <f>IF(Table334[[#This Row],[Category]]="Other Income",Table334[[#This Row],[Account Deposit Amount]]-Table334[[#This Row],[Account Withdrawl Amount]], )</f>
        <v>0</v>
      </c>
      <c r="O77" s="243">
        <f>IF(Table334[[#This Row],[Category]]="Registration",Table334[[#This Row],[Account Deposit Amount]]-Table334[[#This Row],[Account Withdrawl Amount]], )</f>
        <v>0</v>
      </c>
      <c r="P77" s="243">
        <f>IF(Table334[[#This Row],[Category]]="Insignia",Table334[[#This Row],[Account Deposit Amount]]-Table334[[#This Row],[Account Withdrawl Amount]], )</f>
        <v>0</v>
      </c>
      <c r="Q77" s="243">
        <f>IF(Table334[[#This Row],[Category]]="Activities/Program",Table334[[#This Row],[Account Deposit Amount]]-Table334[[#This Row],[Account Withdrawl Amount]], )</f>
        <v>-30</v>
      </c>
      <c r="R77" s="243">
        <f>IF(Table334[[#This Row],[Category]]="Travel",Table334[[#This Row],[Account Deposit Amount]]-Table334[[#This Row],[Account Withdrawl Amount]], )</f>
        <v>0</v>
      </c>
      <c r="S77" s="243">
        <f>IF(Table334[[#This Row],[Category]]="Parties Food &amp; Beverages",Table334[[#This Row],[Account Deposit Amount]]-Table334[[#This Row],[Account Withdrawl Amount]], )</f>
        <v>0</v>
      </c>
      <c r="T77" s="243">
        <f>IF(Table334[[#This Row],[Category]]="Service Projects Donation",Table334[[#This Row],[Account Deposit Amount]]-Table334[[#This Row],[Account Withdrawl Amount]], )</f>
        <v>0</v>
      </c>
      <c r="U77" s="243">
        <f>IF(Table334[[#This Row],[Category]]="Cookie Debt",Table334[[#This Row],[Account Deposit Amount]]-Table334[[#This Row],[Account Withdrawl Amount]], )</f>
        <v>0</v>
      </c>
      <c r="V77" s="243">
        <f>IF(Table334[[#This Row],[Category]]="Other Expense",Table334[[#This Row],[Account Deposit Amount]]-Table334[[#This Row],[Account Withdrawl Amount]], )</f>
        <v>0</v>
      </c>
    </row>
    <row r="78" spans="1:22">
      <c r="A78" s="245" t="s">
        <v>513</v>
      </c>
      <c r="B78" s="263">
        <v>45708</v>
      </c>
      <c r="C78" s="264" t="s">
        <v>616</v>
      </c>
      <c r="D78" s="265"/>
      <c r="E78" s="264">
        <v>396</v>
      </c>
      <c r="F78" s="264"/>
      <c r="G78" s="243">
        <f t="shared" si="3"/>
        <v>5698.7199999999984</v>
      </c>
      <c r="H78" s="224" t="s">
        <v>132</v>
      </c>
      <c r="I78" s="243">
        <f>IF(Table334[[#This Row],[Category]]="Fall Product",Table334[[#This Row],[Account Deposit Amount]]-Table334[[#This Row],[Account Withdrawl Amount]], )</f>
        <v>0</v>
      </c>
      <c r="J78" s="243">
        <f>IF(Table334[[#This Row],[Category]]="Cookies",Table334[[#This Row],[Account Deposit Amount]]-Table334[[#This Row],[Account Withdrawl Amount]], )</f>
        <v>396</v>
      </c>
      <c r="K78" s="243">
        <f>IF(Table334[[#This Row],[Category]]="Additional Money Earning Activities",Table334[[#This Row],[Account Deposit Amount]]-Table334[[#This Row],[Account Withdrawl Amount]], )</f>
        <v>0</v>
      </c>
      <c r="L78" s="243">
        <f>IF(Table334[[#This Row],[Category]]="Sponsorships",Table334[[#This Row],[Account Deposit Amount]]-Table334[[#This Row],[Account Withdrawl Amount]], )</f>
        <v>0</v>
      </c>
      <c r="M78" s="243">
        <f>IF(Table334[[#This Row],[Category]]="Troop Dues",Table334[[#This Row],[Account Deposit Amount]]-Table334[[#This Row],[Account Withdrawl Amount]], )</f>
        <v>0</v>
      </c>
      <c r="N78" s="243">
        <f>IF(Table334[[#This Row],[Category]]="Other Income",Table334[[#This Row],[Account Deposit Amount]]-Table334[[#This Row],[Account Withdrawl Amount]], )</f>
        <v>0</v>
      </c>
      <c r="O78" s="243">
        <f>IF(Table334[[#This Row],[Category]]="Registration",Table334[[#This Row],[Account Deposit Amount]]-Table334[[#This Row],[Account Withdrawl Amount]], )</f>
        <v>0</v>
      </c>
      <c r="P78" s="243">
        <f>IF(Table334[[#This Row],[Category]]="Insignia",Table334[[#This Row],[Account Deposit Amount]]-Table334[[#This Row],[Account Withdrawl Amount]], )</f>
        <v>0</v>
      </c>
      <c r="Q78" s="243">
        <f>IF(Table334[[#This Row],[Category]]="Activities/Program",Table334[[#This Row],[Account Deposit Amount]]-Table334[[#This Row],[Account Withdrawl Amount]], )</f>
        <v>0</v>
      </c>
      <c r="R78" s="243">
        <f>IF(Table334[[#This Row],[Category]]="Travel",Table334[[#This Row],[Account Deposit Amount]]-Table334[[#This Row],[Account Withdrawl Amount]], )</f>
        <v>0</v>
      </c>
      <c r="S78" s="243">
        <f>IF(Table334[[#This Row],[Category]]="Parties Food &amp; Beverages",Table334[[#This Row],[Account Deposit Amount]]-Table334[[#This Row],[Account Withdrawl Amount]], )</f>
        <v>0</v>
      </c>
      <c r="T78" s="243">
        <f>IF(Table334[[#This Row],[Category]]="Service Projects Donation",Table334[[#This Row],[Account Deposit Amount]]-Table334[[#This Row],[Account Withdrawl Amount]], )</f>
        <v>0</v>
      </c>
      <c r="U78" s="243">
        <f>IF(Table334[[#This Row],[Category]]="Cookie Debt",Table334[[#This Row],[Account Deposit Amount]]-Table334[[#This Row],[Account Withdrawl Amount]], )</f>
        <v>0</v>
      </c>
      <c r="V78" s="243">
        <f>IF(Table334[[#This Row],[Category]]="Other Expense",Table334[[#This Row],[Account Deposit Amount]]-Table334[[#This Row],[Account Withdrawl Amount]], )</f>
        <v>0</v>
      </c>
    </row>
    <row r="79" spans="1:22">
      <c r="A79" s="261" t="s">
        <v>513</v>
      </c>
      <c r="B79" s="249">
        <v>45708</v>
      </c>
      <c r="C79" s="247" t="s">
        <v>617</v>
      </c>
      <c r="D79" s="247" t="s">
        <v>618</v>
      </c>
      <c r="E79" s="250"/>
      <c r="F79" s="251">
        <v>250</v>
      </c>
      <c r="G79" s="243">
        <f t="shared" si="3"/>
        <v>5448.7199999999984</v>
      </c>
      <c r="H79" s="247" t="s">
        <v>132</v>
      </c>
      <c r="I79" s="243">
        <f>IF(Table334[[#This Row],[Category]]="Fall Product",Table334[[#This Row],[Account Deposit Amount]]-Table334[[#This Row],[Account Withdrawl Amount]], )</f>
        <v>0</v>
      </c>
      <c r="J79" s="243">
        <f>IF(Table334[[#This Row],[Category]]="Cookies",Table334[[#This Row],[Account Deposit Amount]]-Table334[[#This Row],[Account Withdrawl Amount]], )</f>
        <v>-250</v>
      </c>
      <c r="K79" s="243">
        <f>IF(Table334[[#This Row],[Category]]="Additional Money Earning Activities",Table334[[#This Row],[Account Deposit Amount]]-Table334[[#This Row],[Account Withdrawl Amount]], )</f>
        <v>0</v>
      </c>
      <c r="L79" s="243">
        <f>IF(Table334[[#This Row],[Category]]="Sponsorships",Table334[[#This Row],[Account Deposit Amount]]-Table334[[#This Row],[Account Withdrawl Amount]], )</f>
        <v>0</v>
      </c>
      <c r="M79" s="243">
        <f>IF(Table334[[#This Row],[Category]]="Troop Dues",Table334[[#This Row],[Account Deposit Amount]]-Table334[[#This Row],[Account Withdrawl Amount]], )</f>
        <v>0</v>
      </c>
      <c r="N79" s="243">
        <f>IF(Table334[[#This Row],[Category]]="Other Income",Table334[[#This Row],[Account Deposit Amount]]-Table334[[#This Row],[Account Withdrawl Amount]], )</f>
        <v>0</v>
      </c>
      <c r="O79" s="243">
        <f>IF(Table334[[#This Row],[Category]]="Registration",Table334[[#This Row],[Account Deposit Amount]]-Table334[[#This Row],[Account Withdrawl Amount]], )</f>
        <v>0</v>
      </c>
      <c r="P79" s="243">
        <f>IF(Table334[[#This Row],[Category]]="Insignia",Table334[[#This Row],[Account Deposit Amount]]-Table334[[#This Row],[Account Withdrawl Amount]], )</f>
        <v>0</v>
      </c>
      <c r="Q79" s="243">
        <f>IF(Table334[[#This Row],[Category]]="Activities/Program",Table334[[#This Row],[Account Deposit Amount]]-Table334[[#This Row],[Account Withdrawl Amount]], )</f>
        <v>0</v>
      </c>
      <c r="R79" s="243">
        <f>IF(Table334[[#This Row],[Category]]="Travel",Table334[[#This Row],[Account Deposit Amount]]-Table334[[#This Row],[Account Withdrawl Amount]], )</f>
        <v>0</v>
      </c>
      <c r="S79" s="243">
        <f>IF(Table334[[#This Row],[Category]]="Parties Food &amp; Beverages",Table334[[#This Row],[Account Deposit Amount]]-Table334[[#This Row],[Account Withdrawl Amount]], )</f>
        <v>0</v>
      </c>
      <c r="T79" s="243">
        <f>IF(Table334[[#This Row],[Category]]="Service Projects Donation",Table334[[#This Row],[Account Deposit Amount]]-Table334[[#This Row],[Account Withdrawl Amount]], )</f>
        <v>0</v>
      </c>
      <c r="U79" s="243">
        <f>IF(Table334[[#This Row],[Category]]="Cookie Debt",Table334[[#This Row],[Account Deposit Amount]]-Table334[[#This Row],[Account Withdrawl Amount]], )</f>
        <v>0</v>
      </c>
      <c r="V79" s="243">
        <f>IF(Table334[[#This Row],[Category]]="Other Expense",Table334[[#This Row],[Account Deposit Amount]]-Table334[[#This Row],[Account Withdrawl Amount]], )</f>
        <v>0</v>
      </c>
    </row>
    <row r="80" spans="1:22">
      <c r="A80" s="245" t="s">
        <v>513</v>
      </c>
      <c r="B80" s="263">
        <v>45712</v>
      </c>
      <c r="C80" s="264" t="s">
        <v>619</v>
      </c>
      <c r="D80" s="265" t="s">
        <v>620</v>
      </c>
      <c r="E80" s="264">
        <v>250</v>
      </c>
      <c r="F80" s="264"/>
      <c r="G80" s="243">
        <f t="shared" si="3"/>
        <v>5698.7199999999984</v>
      </c>
      <c r="H80" s="224" t="s">
        <v>132</v>
      </c>
      <c r="I80" s="243">
        <f>IF(Table334[[#This Row],[Category]]="Fall Product",Table334[[#This Row],[Account Deposit Amount]]-Table334[[#This Row],[Account Withdrawl Amount]], )</f>
        <v>0</v>
      </c>
      <c r="J80" s="243">
        <f>IF(Table334[[#This Row],[Category]]="Cookies",Table334[[#This Row],[Account Deposit Amount]]-Table334[[#This Row],[Account Withdrawl Amount]], )</f>
        <v>250</v>
      </c>
      <c r="K80" s="243">
        <f>IF(Table334[[#This Row],[Category]]="Additional Money Earning Activities",Table334[[#This Row],[Account Deposit Amount]]-Table334[[#This Row],[Account Withdrawl Amount]], )</f>
        <v>0</v>
      </c>
      <c r="L80" s="243">
        <f>IF(Table334[[#This Row],[Category]]="Sponsorships",Table334[[#This Row],[Account Deposit Amount]]-Table334[[#This Row],[Account Withdrawl Amount]], )</f>
        <v>0</v>
      </c>
      <c r="M80" s="243">
        <f>IF(Table334[[#This Row],[Category]]="Troop Dues",Table334[[#This Row],[Account Deposit Amount]]-Table334[[#This Row],[Account Withdrawl Amount]], )</f>
        <v>0</v>
      </c>
      <c r="N80" s="243">
        <f>IF(Table334[[#This Row],[Category]]="Other Income",Table334[[#This Row],[Account Deposit Amount]]-Table334[[#This Row],[Account Withdrawl Amount]], )</f>
        <v>0</v>
      </c>
      <c r="O80" s="243">
        <f>IF(Table334[[#This Row],[Category]]="Registration",Table334[[#This Row],[Account Deposit Amount]]-Table334[[#This Row],[Account Withdrawl Amount]], )</f>
        <v>0</v>
      </c>
      <c r="P80" s="243">
        <f>IF(Table334[[#This Row],[Category]]="Insignia",Table334[[#This Row],[Account Deposit Amount]]-Table334[[#This Row],[Account Withdrawl Amount]], )</f>
        <v>0</v>
      </c>
      <c r="Q80" s="243">
        <f>IF(Table334[[#This Row],[Category]]="Activities/Program",Table334[[#This Row],[Account Deposit Amount]]-Table334[[#This Row],[Account Withdrawl Amount]], )</f>
        <v>0</v>
      </c>
      <c r="R80" s="243">
        <f>IF(Table334[[#This Row],[Category]]="Travel",Table334[[#This Row],[Account Deposit Amount]]-Table334[[#This Row],[Account Withdrawl Amount]], )</f>
        <v>0</v>
      </c>
      <c r="S80" s="243">
        <f>IF(Table334[[#This Row],[Category]]="Parties Food &amp; Beverages",Table334[[#This Row],[Account Deposit Amount]]-Table334[[#This Row],[Account Withdrawl Amount]], )</f>
        <v>0</v>
      </c>
      <c r="T80" s="243">
        <f>IF(Table334[[#This Row],[Category]]="Service Projects Donation",Table334[[#This Row],[Account Deposit Amount]]-Table334[[#This Row],[Account Withdrawl Amount]], )</f>
        <v>0</v>
      </c>
      <c r="U80" s="243">
        <f>IF(Table334[[#This Row],[Category]]="Cookie Debt",Table334[[#This Row],[Account Deposit Amount]]-Table334[[#This Row],[Account Withdrawl Amount]], )</f>
        <v>0</v>
      </c>
      <c r="V80" s="243">
        <f>IF(Table334[[#This Row],[Category]]="Other Expense",Table334[[#This Row],[Account Deposit Amount]]-Table334[[#This Row],[Account Withdrawl Amount]], )</f>
        <v>0</v>
      </c>
    </row>
    <row r="81" spans="1:22">
      <c r="A81" s="261" t="s">
        <v>513</v>
      </c>
      <c r="B81" s="249">
        <v>45712</v>
      </c>
      <c r="C81" s="247" t="s">
        <v>621</v>
      </c>
      <c r="D81" s="247" t="s">
        <v>622</v>
      </c>
      <c r="E81" s="250">
        <v>6953.61</v>
      </c>
      <c r="F81" s="251"/>
      <c r="G81" s="243">
        <f t="shared" si="3"/>
        <v>12652.329999999998</v>
      </c>
      <c r="H81" s="247" t="s">
        <v>132</v>
      </c>
      <c r="I81" s="243">
        <f>IF(Table334[[#This Row],[Category]]="Fall Product",Table334[[#This Row],[Account Deposit Amount]]-Table334[[#This Row],[Account Withdrawl Amount]], )</f>
        <v>0</v>
      </c>
      <c r="J81" s="243">
        <f>IF(Table334[[#This Row],[Category]]="Cookies",Table334[[#This Row],[Account Deposit Amount]]-Table334[[#This Row],[Account Withdrawl Amount]], )</f>
        <v>6953.61</v>
      </c>
      <c r="K81" s="243">
        <f>IF(Table334[[#This Row],[Category]]="Additional Money Earning Activities",Table334[[#This Row],[Account Deposit Amount]]-Table334[[#This Row],[Account Withdrawl Amount]], )</f>
        <v>0</v>
      </c>
      <c r="L81" s="243">
        <f>IF(Table334[[#This Row],[Category]]="Sponsorships",Table334[[#This Row],[Account Deposit Amount]]-Table334[[#This Row],[Account Withdrawl Amount]], )</f>
        <v>0</v>
      </c>
      <c r="M81" s="243">
        <f>IF(Table334[[#This Row],[Category]]="Troop Dues",Table334[[#This Row],[Account Deposit Amount]]-Table334[[#This Row],[Account Withdrawl Amount]], )</f>
        <v>0</v>
      </c>
      <c r="N81" s="243">
        <f>IF(Table334[[#This Row],[Category]]="Other Income",Table334[[#This Row],[Account Deposit Amount]]-Table334[[#This Row],[Account Withdrawl Amount]], )</f>
        <v>0</v>
      </c>
      <c r="O81" s="243">
        <f>IF(Table334[[#This Row],[Category]]="Registration",Table334[[#This Row],[Account Deposit Amount]]-Table334[[#This Row],[Account Withdrawl Amount]], )</f>
        <v>0</v>
      </c>
      <c r="P81" s="243">
        <f>IF(Table334[[#This Row],[Category]]="Insignia",Table334[[#This Row],[Account Deposit Amount]]-Table334[[#This Row],[Account Withdrawl Amount]], )</f>
        <v>0</v>
      </c>
      <c r="Q81" s="243">
        <f>IF(Table334[[#This Row],[Category]]="Activities/Program",Table334[[#This Row],[Account Deposit Amount]]-Table334[[#This Row],[Account Withdrawl Amount]], )</f>
        <v>0</v>
      </c>
      <c r="R81" s="243">
        <f>IF(Table334[[#This Row],[Category]]="Travel",Table334[[#This Row],[Account Deposit Amount]]-Table334[[#This Row],[Account Withdrawl Amount]], )</f>
        <v>0</v>
      </c>
      <c r="S81" s="243">
        <f>IF(Table334[[#This Row],[Category]]="Parties Food &amp; Beverages",Table334[[#This Row],[Account Deposit Amount]]-Table334[[#This Row],[Account Withdrawl Amount]], )</f>
        <v>0</v>
      </c>
      <c r="T81" s="243">
        <f>IF(Table334[[#This Row],[Category]]="Service Projects Donation",Table334[[#This Row],[Account Deposit Amount]]-Table334[[#This Row],[Account Withdrawl Amount]], )</f>
        <v>0</v>
      </c>
      <c r="U81" s="243">
        <f>IF(Table334[[#This Row],[Category]]="Cookie Debt",Table334[[#This Row],[Account Deposit Amount]]-Table334[[#This Row],[Account Withdrawl Amount]], )</f>
        <v>0</v>
      </c>
      <c r="V81" s="243">
        <f>IF(Table334[[#This Row],[Category]]="Other Expense",Table334[[#This Row],[Account Deposit Amount]]-Table334[[#This Row],[Account Withdrawl Amount]], )</f>
        <v>0</v>
      </c>
    </row>
    <row r="82" spans="1:22">
      <c r="A82" s="245" t="s">
        <v>513</v>
      </c>
      <c r="B82" s="263">
        <v>45712</v>
      </c>
      <c r="C82" s="264" t="s">
        <v>623</v>
      </c>
      <c r="D82" s="265" t="s">
        <v>622</v>
      </c>
      <c r="E82" s="264">
        <v>8</v>
      </c>
      <c r="F82" s="264"/>
      <c r="G82" s="243">
        <f t="shared" si="3"/>
        <v>12660.329999999998</v>
      </c>
      <c r="H82" s="224" t="s">
        <v>132</v>
      </c>
      <c r="I82" s="243">
        <f>IF(Table334[[#This Row],[Category]]="Fall Product",Table334[[#This Row],[Account Deposit Amount]]-Table334[[#This Row],[Account Withdrawl Amount]], )</f>
        <v>0</v>
      </c>
      <c r="J82" s="243">
        <f>IF(Table334[[#This Row],[Category]]="Cookies",Table334[[#This Row],[Account Deposit Amount]]-Table334[[#This Row],[Account Withdrawl Amount]], )</f>
        <v>8</v>
      </c>
      <c r="K82" s="243">
        <f>IF(Table334[[#This Row],[Category]]="Additional Money Earning Activities",Table334[[#This Row],[Account Deposit Amount]]-Table334[[#This Row],[Account Withdrawl Amount]], )</f>
        <v>0</v>
      </c>
      <c r="L82" s="243">
        <f>IF(Table334[[#This Row],[Category]]="Sponsorships",Table334[[#This Row],[Account Deposit Amount]]-Table334[[#This Row],[Account Withdrawl Amount]], )</f>
        <v>0</v>
      </c>
      <c r="M82" s="243">
        <f>IF(Table334[[#This Row],[Category]]="Troop Dues",Table334[[#This Row],[Account Deposit Amount]]-Table334[[#This Row],[Account Withdrawl Amount]], )</f>
        <v>0</v>
      </c>
      <c r="N82" s="243">
        <f>IF(Table334[[#This Row],[Category]]="Other Income",Table334[[#This Row],[Account Deposit Amount]]-Table334[[#This Row],[Account Withdrawl Amount]], )</f>
        <v>0</v>
      </c>
      <c r="O82" s="243">
        <f>IF(Table334[[#This Row],[Category]]="Registration",Table334[[#This Row],[Account Deposit Amount]]-Table334[[#This Row],[Account Withdrawl Amount]], )</f>
        <v>0</v>
      </c>
      <c r="P82" s="243">
        <f>IF(Table334[[#This Row],[Category]]="Insignia",Table334[[#This Row],[Account Deposit Amount]]-Table334[[#This Row],[Account Withdrawl Amount]], )</f>
        <v>0</v>
      </c>
      <c r="Q82" s="243">
        <f>IF(Table334[[#This Row],[Category]]="Activities/Program",Table334[[#This Row],[Account Deposit Amount]]-Table334[[#This Row],[Account Withdrawl Amount]], )</f>
        <v>0</v>
      </c>
      <c r="R82" s="243">
        <f>IF(Table334[[#This Row],[Category]]="Travel",Table334[[#This Row],[Account Deposit Amount]]-Table334[[#This Row],[Account Withdrawl Amount]], )</f>
        <v>0</v>
      </c>
      <c r="S82" s="243">
        <f>IF(Table334[[#This Row],[Category]]="Parties Food &amp; Beverages",Table334[[#This Row],[Account Deposit Amount]]-Table334[[#This Row],[Account Withdrawl Amount]], )</f>
        <v>0</v>
      </c>
      <c r="T82" s="243">
        <f>IF(Table334[[#This Row],[Category]]="Service Projects Donation",Table334[[#This Row],[Account Deposit Amount]]-Table334[[#This Row],[Account Withdrawl Amount]], )</f>
        <v>0</v>
      </c>
      <c r="U82" s="243">
        <f>IF(Table334[[#This Row],[Category]]="Cookie Debt",Table334[[#This Row],[Account Deposit Amount]]-Table334[[#This Row],[Account Withdrawl Amount]], )</f>
        <v>0</v>
      </c>
      <c r="V82" s="243">
        <f>IF(Table334[[#This Row],[Category]]="Other Expense",Table334[[#This Row],[Account Deposit Amount]]-Table334[[#This Row],[Account Withdrawl Amount]], )</f>
        <v>0</v>
      </c>
    </row>
    <row r="83" spans="1:22">
      <c r="A83" s="261" t="s">
        <v>513</v>
      </c>
      <c r="B83" s="249">
        <v>45717</v>
      </c>
      <c r="C83" s="247" t="s">
        <v>624</v>
      </c>
      <c r="D83" s="247" t="s">
        <v>625</v>
      </c>
      <c r="E83" s="250">
        <v>687</v>
      </c>
      <c r="F83" s="251"/>
      <c r="G83" s="243">
        <f t="shared" si="3"/>
        <v>13347.329999999998</v>
      </c>
      <c r="H83" s="247" t="s">
        <v>132</v>
      </c>
      <c r="I83" s="243">
        <f>IF(Table334[[#This Row],[Category]]="Fall Product",Table334[[#This Row],[Account Deposit Amount]]-Table334[[#This Row],[Account Withdrawl Amount]], )</f>
        <v>0</v>
      </c>
      <c r="J83" s="243">
        <f>IF(Table334[[#This Row],[Category]]="Cookies",Table334[[#This Row],[Account Deposit Amount]]-Table334[[#This Row],[Account Withdrawl Amount]], )</f>
        <v>687</v>
      </c>
      <c r="K83" s="243">
        <f>IF(Table334[[#This Row],[Category]]="Additional Money Earning Activities",Table334[[#This Row],[Account Deposit Amount]]-Table334[[#This Row],[Account Withdrawl Amount]], )</f>
        <v>0</v>
      </c>
      <c r="L83" s="243">
        <f>IF(Table334[[#This Row],[Category]]="Sponsorships",Table334[[#This Row],[Account Deposit Amount]]-Table334[[#This Row],[Account Withdrawl Amount]], )</f>
        <v>0</v>
      </c>
      <c r="M83" s="243">
        <f>IF(Table334[[#This Row],[Category]]="Troop Dues",Table334[[#This Row],[Account Deposit Amount]]-Table334[[#This Row],[Account Withdrawl Amount]], )</f>
        <v>0</v>
      </c>
      <c r="N83" s="243">
        <f>IF(Table334[[#This Row],[Category]]="Other Income",Table334[[#This Row],[Account Deposit Amount]]-Table334[[#This Row],[Account Withdrawl Amount]], )</f>
        <v>0</v>
      </c>
      <c r="O83" s="243">
        <f>IF(Table334[[#This Row],[Category]]="Registration",Table334[[#This Row],[Account Deposit Amount]]-Table334[[#This Row],[Account Withdrawl Amount]], )</f>
        <v>0</v>
      </c>
      <c r="P83" s="243">
        <f>IF(Table334[[#This Row],[Category]]="Insignia",Table334[[#This Row],[Account Deposit Amount]]-Table334[[#This Row],[Account Withdrawl Amount]], )</f>
        <v>0</v>
      </c>
      <c r="Q83" s="243">
        <f>IF(Table334[[#This Row],[Category]]="Activities/Program",Table334[[#This Row],[Account Deposit Amount]]-Table334[[#This Row],[Account Withdrawl Amount]], )</f>
        <v>0</v>
      </c>
      <c r="R83" s="243">
        <f>IF(Table334[[#This Row],[Category]]="Travel",Table334[[#This Row],[Account Deposit Amount]]-Table334[[#This Row],[Account Withdrawl Amount]], )</f>
        <v>0</v>
      </c>
      <c r="S83" s="243">
        <f>IF(Table334[[#This Row],[Category]]="Parties Food &amp; Beverages",Table334[[#This Row],[Account Deposit Amount]]-Table334[[#This Row],[Account Withdrawl Amount]], )</f>
        <v>0</v>
      </c>
      <c r="T83" s="243">
        <f>IF(Table334[[#This Row],[Category]]="Service Projects Donation",Table334[[#This Row],[Account Deposit Amount]]-Table334[[#This Row],[Account Withdrawl Amount]], )</f>
        <v>0</v>
      </c>
      <c r="U83" s="243">
        <f>IF(Table334[[#This Row],[Category]]="Cookie Debt",Table334[[#This Row],[Account Deposit Amount]]-Table334[[#This Row],[Account Withdrawl Amount]], )</f>
        <v>0</v>
      </c>
      <c r="V83" s="243">
        <f>IF(Table334[[#This Row],[Category]]="Other Expense",Table334[[#This Row],[Account Deposit Amount]]-Table334[[#This Row],[Account Withdrawl Amount]], )</f>
        <v>0</v>
      </c>
    </row>
    <row r="84" spans="1:22">
      <c r="A84" s="245" t="s">
        <v>513</v>
      </c>
      <c r="B84" s="263">
        <v>45719</v>
      </c>
      <c r="C84" s="264" t="s">
        <v>626</v>
      </c>
      <c r="D84" s="265" t="s">
        <v>627</v>
      </c>
      <c r="E84" s="264"/>
      <c r="F84" s="264">
        <v>110</v>
      </c>
      <c r="G84" s="243">
        <f t="shared" si="3"/>
        <v>13237.329999999998</v>
      </c>
      <c r="H84" s="224" t="s">
        <v>136</v>
      </c>
      <c r="I84" s="243">
        <f>IF(Table334[[#This Row],[Category]]="Fall Product",Table334[[#This Row],[Account Deposit Amount]]-Table334[[#This Row],[Account Withdrawl Amount]], )</f>
        <v>0</v>
      </c>
      <c r="J84" s="243">
        <f>IF(Table334[[#This Row],[Category]]="Cookies",Table334[[#This Row],[Account Deposit Amount]]-Table334[[#This Row],[Account Withdrawl Amount]], )</f>
        <v>0</v>
      </c>
      <c r="K84" s="243">
        <f>IF(Table334[[#This Row],[Category]]="Additional Money Earning Activities",Table334[[#This Row],[Account Deposit Amount]]-Table334[[#This Row],[Account Withdrawl Amount]], )</f>
        <v>0</v>
      </c>
      <c r="L84" s="243">
        <f>IF(Table334[[#This Row],[Category]]="Sponsorships",Table334[[#This Row],[Account Deposit Amount]]-Table334[[#This Row],[Account Withdrawl Amount]], )</f>
        <v>0</v>
      </c>
      <c r="M84" s="243">
        <f>IF(Table334[[#This Row],[Category]]="Troop Dues",Table334[[#This Row],[Account Deposit Amount]]-Table334[[#This Row],[Account Withdrawl Amount]], )</f>
        <v>0</v>
      </c>
      <c r="N84" s="243">
        <f>IF(Table334[[#This Row],[Category]]="Other Income",Table334[[#This Row],[Account Deposit Amount]]-Table334[[#This Row],[Account Withdrawl Amount]], )</f>
        <v>0</v>
      </c>
      <c r="O84" s="243">
        <f>IF(Table334[[#This Row],[Category]]="Registration",Table334[[#This Row],[Account Deposit Amount]]-Table334[[#This Row],[Account Withdrawl Amount]], )</f>
        <v>0</v>
      </c>
      <c r="P84" s="243">
        <f>IF(Table334[[#This Row],[Category]]="Insignia",Table334[[#This Row],[Account Deposit Amount]]-Table334[[#This Row],[Account Withdrawl Amount]], )</f>
        <v>0</v>
      </c>
      <c r="Q84" s="243">
        <f>IF(Table334[[#This Row],[Category]]="Activities/Program",Table334[[#This Row],[Account Deposit Amount]]-Table334[[#This Row],[Account Withdrawl Amount]], )</f>
        <v>-110</v>
      </c>
      <c r="R84" s="243">
        <f>IF(Table334[[#This Row],[Category]]="Travel",Table334[[#This Row],[Account Deposit Amount]]-Table334[[#This Row],[Account Withdrawl Amount]], )</f>
        <v>0</v>
      </c>
      <c r="S84" s="243">
        <f>IF(Table334[[#This Row],[Category]]="Parties Food &amp; Beverages",Table334[[#This Row],[Account Deposit Amount]]-Table334[[#This Row],[Account Withdrawl Amount]], )</f>
        <v>0</v>
      </c>
      <c r="T84" s="243">
        <f>IF(Table334[[#This Row],[Category]]="Service Projects Donation",Table334[[#This Row],[Account Deposit Amount]]-Table334[[#This Row],[Account Withdrawl Amount]], )</f>
        <v>0</v>
      </c>
      <c r="U84" s="243">
        <f>IF(Table334[[#This Row],[Category]]="Cookie Debt",Table334[[#This Row],[Account Deposit Amount]]-Table334[[#This Row],[Account Withdrawl Amount]], )</f>
        <v>0</v>
      </c>
      <c r="V84" s="243">
        <f>IF(Table334[[#This Row],[Category]]="Other Expense",Table334[[#This Row],[Account Deposit Amount]]-Table334[[#This Row],[Account Withdrawl Amount]], )</f>
        <v>0</v>
      </c>
    </row>
    <row r="85" spans="1:22">
      <c r="A85" s="261" t="s">
        <v>513</v>
      </c>
      <c r="B85" s="249">
        <v>45719</v>
      </c>
      <c r="C85" s="247" t="s">
        <v>628</v>
      </c>
      <c r="D85" s="247" t="s">
        <v>629</v>
      </c>
      <c r="E85" s="250"/>
      <c r="F85" s="251">
        <v>56.08</v>
      </c>
      <c r="G85" s="243">
        <f t="shared" si="3"/>
        <v>13181.249999999998</v>
      </c>
      <c r="H85" s="247" t="s">
        <v>136</v>
      </c>
      <c r="I85" s="243">
        <f>IF(Table334[[#This Row],[Category]]="Fall Product",Table334[[#This Row],[Account Deposit Amount]]-Table334[[#This Row],[Account Withdrawl Amount]], )</f>
        <v>0</v>
      </c>
      <c r="J85" s="243">
        <f>IF(Table334[[#This Row],[Category]]="Cookies",Table334[[#This Row],[Account Deposit Amount]]-Table334[[#This Row],[Account Withdrawl Amount]], )</f>
        <v>0</v>
      </c>
      <c r="K85" s="243">
        <f>IF(Table334[[#This Row],[Category]]="Additional Money Earning Activities",Table334[[#This Row],[Account Deposit Amount]]-Table334[[#This Row],[Account Withdrawl Amount]], )</f>
        <v>0</v>
      </c>
      <c r="L85" s="243">
        <f>IF(Table334[[#This Row],[Category]]="Sponsorships",Table334[[#This Row],[Account Deposit Amount]]-Table334[[#This Row],[Account Withdrawl Amount]], )</f>
        <v>0</v>
      </c>
      <c r="M85" s="243">
        <f>IF(Table334[[#This Row],[Category]]="Troop Dues",Table334[[#This Row],[Account Deposit Amount]]-Table334[[#This Row],[Account Withdrawl Amount]], )</f>
        <v>0</v>
      </c>
      <c r="N85" s="243">
        <f>IF(Table334[[#This Row],[Category]]="Other Income",Table334[[#This Row],[Account Deposit Amount]]-Table334[[#This Row],[Account Withdrawl Amount]], )</f>
        <v>0</v>
      </c>
      <c r="O85" s="243">
        <f>IF(Table334[[#This Row],[Category]]="Registration",Table334[[#This Row],[Account Deposit Amount]]-Table334[[#This Row],[Account Withdrawl Amount]], )</f>
        <v>0</v>
      </c>
      <c r="P85" s="243">
        <f>IF(Table334[[#This Row],[Category]]="Insignia",Table334[[#This Row],[Account Deposit Amount]]-Table334[[#This Row],[Account Withdrawl Amount]], )</f>
        <v>0</v>
      </c>
      <c r="Q85" s="243">
        <f>IF(Table334[[#This Row],[Category]]="Activities/Program",Table334[[#This Row],[Account Deposit Amount]]-Table334[[#This Row],[Account Withdrawl Amount]], )</f>
        <v>-56.08</v>
      </c>
      <c r="R85" s="243">
        <f>IF(Table334[[#This Row],[Category]]="Travel",Table334[[#This Row],[Account Deposit Amount]]-Table334[[#This Row],[Account Withdrawl Amount]], )</f>
        <v>0</v>
      </c>
      <c r="S85" s="243">
        <f>IF(Table334[[#This Row],[Category]]="Parties Food &amp; Beverages",Table334[[#This Row],[Account Deposit Amount]]-Table334[[#This Row],[Account Withdrawl Amount]], )</f>
        <v>0</v>
      </c>
      <c r="T85" s="243">
        <f>IF(Table334[[#This Row],[Category]]="Service Projects Donation",Table334[[#This Row],[Account Deposit Amount]]-Table334[[#This Row],[Account Withdrawl Amount]], )</f>
        <v>0</v>
      </c>
      <c r="U85" s="243">
        <f>IF(Table334[[#This Row],[Category]]="Cookie Debt",Table334[[#This Row],[Account Deposit Amount]]-Table334[[#This Row],[Account Withdrawl Amount]], )</f>
        <v>0</v>
      </c>
      <c r="V85" s="243">
        <f>IF(Table334[[#This Row],[Category]]="Other Expense",Table334[[#This Row],[Account Deposit Amount]]-Table334[[#This Row],[Account Withdrawl Amount]], )</f>
        <v>0</v>
      </c>
    </row>
    <row r="86" spans="1:22">
      <c r="A86" s="245" t="s">
        <v>513</v>
      </c>
      <c r="B86" s="263">
        <v>45719</v>
      </c>
      <c r="C86" s="264" t="s">
        <v>630</v>
      </c>
      <c r="D86" s="265" t="s">
        <v>629</v>
      </c>
      <c r="E86" s="264"/>
      <c r="F86" s="264">
        <v>78.09</v>
      </c>
      <c r="G86" s="243">
        <f t="shared" si="3"/>
        <v>13103.159999999998</v>
      </c>
      <c r="H86" s="224" t="s">
        <v>136</v>
      </c>
      <c r="I86" s="243">
        <f>IF(Table334[[#This Row],[Category]]="Fall Product",Table334[[#This Row],[Account Deposit Amount]]-Table334[[#This Row],[Account Withdrawl Amount]], )</f>
        <v>0</v>
      </c>
      <c r="J86" s="243">
        <f>IF(Table334[[#This Row],[Category]]="Cookies",Table334[[#This Row],[Account Deposit Amount]]-Table334[[#This Row],[Account Withdrawl Amount]], )</f>
        <v>0</v>
      </c>
      <c r="K86" s="243">
        <f>IF(Table334[[#This Row],[Category]]="Additional Money Earning Activities",Table334[[#This Row],[Account Deposit Amount]]-Table334[[#This Row],[Account Withdrawl Amount]], )</f>
        <v>0</v>
      </c>
      <c r="L86" s="243">
        <f>IF(Table334[[#This Row],[Category]]="Sponsorships",Table334[[#This Row],[Account Deposit Amount]]-Table334[[#This Row],[Account Withdrawl Amount]], )</f>
        <v>0</v>
      </c>
      <c r="M86" s="243">
        <f>IF(Table334[[#This Row],[Category]]="Troop Dues",Table334[[#This Row],[Account Deposit Amount]]-Table334[[#This Row],[Account Withdrawl Amount]], )</f>
        <v>0</v>
      </c>
      <c r="N86" s="243">
        <f>IF(Table334[[#This Row],[Category]]="Other Income",Table334[[#This Row],[Account Deposit Amount]]-Table334[[#This Row],[Account Withdrawl Amount]], )</f>
        <v>0</v>
      </c>
      <c r="O86" s="243">
        <f>IF(Table334[[#This Row],[Category]]="Registration",Table334[[#This Row],[Account Deposit Amount]]-Table334[[#This Row],[Account Withdrawl Amount]], )</f>
        <v>0</v>
      </c>
      <c r="P86" s="243">
        <f>IF(Table334[[#This Row],[Category]]="Insignia",Table334[[#This Row],[Account Deposit Amount]]-Table334[[#This Row],[Account Withdrawl Amount]], )</f>
        <v>0</v>
      </c>
      <c r="Q86" s="243">
        <f>IF(Table334[[#This Row],[Category]]="Activities/Program",Table334[[#This Row],[Account Deposit Amount]]-Table334[[#This Row],[Account Withdrawl Amount]], )</f>
        <v>-78.09</v>
      </c>
      <c r="R86" s="243">
        <f>IF(Table334[[#This Row],[Category]]="Travel",Table334[[#This Row],[Account Deposit Amount]]-Table334[[#This Row],[Account Withdrawl Amount]], )</f>
        <v>0</v>
      </c>
      <c r="S86" s="243">
        <f>IF(Table334[[#This Row],[Category]]="Parties Food &amp; Beverages",Table334[[#This Row],[Account Deposit Amount]]-Table334[[#This Row],[Account Withdrawl Amount]], )</f>
        <v>0</v>
      </c>
      <c r="T86" s="243">
        <f>IF(Table334[[#This Row],[Category]]="Service Projects Donation",Table334[[#This Row],[Account Deposit Amount]]-Table334[[#This Row],[Account Withdrawl Amount]], )</f>
        <v>0</v>
      </c>
      <c r="U86" s="243">
        <f>IF(Table334[[#This Row],[Category]]="Cookie Debt",Table334[[#This Row],[Account Deposit Amount]]-Table334[[#This Row],[Account Withdrawl Amount]], )</f>
        <v>0</v>
      </c>
      <c r="V86" s="243">
        <f>IF(Table334[[#This Row],[Category]]="Other Expense",Table334[[#This Row],[Account Deposit Amount]]-Table334[[#This Row],[Account Withdrawl Amount]], )</f>
        <v>0</v>
      </c>
    </row>
    <row r="87" spans="1:22">
      <c r="A87" s="261" t="s">
        <v>513</v>
      </c>
      <c r="B87" s="249">
        <v>45724</v>
      </c>
      <c r="C87" s="247" t="s">
        <v>624</v>
      </c>
      <c r="D87" s="247" t="s">
        <v>620</v>
      </c>
      <c r="E87" s="250">
        <v>4640</v>
      </c>
      <c r="F87" s="251"/>
      <c r="G87" s="243">
        <f t="shared" si="3"/>
        <v>17743.159999999996</v>
      </c>
      <c r="H87" s="247" t="s">
        <v>132</v>
      </c>
      <c r="I87" s="243">
        <f>IF(Table334[[#This Row],[Category]]="Fall Product",Table334[[#This Row],[Account Deposit Amount]]-Table334[[#This Row],[Account Withdrawl Amount]], )</f>
        <v>0</v>
      </c>
      <c r="J87" s="243">
        <f>IF(Table334[[#This Row],[Category]]="Cookies",Table334[[#This Row],[Account Deposit Amount]]-Table334[[#This Row],[Account Withdrawl Amount]], )</f>
        <v>4640</v>
      </c>
      <c r="K87" s="243">
        <f>IF(Table334[[#This Row],[Category]]="Additional Money Earning Activities",Table334[[#This Row],[Account Deposit Amount]]-Table334[[#This Row],[Account Withdrawl Amount]], )</f>
        <v>0</v>
      </c>
      <c r="L87" s="243">
        <f>IF(Table334[[#This Row],[Category]]="Sponsorships",Table334[[#This Row],[Account Deposit Amount]]-Table334[[#This Row],[Account Withdrawl Amount]], )</f>
        <v>0</v>
      </c>
      <c r="M87" s="243">
        <f>IF(Table334[[#This Row],[Category]]="Troop Dues",Table334[[#This Row],[Account Deposit Amount]]-Table334[[#This Row],[Account Withdrawl Amount]], )</f>
        <v>0</v>
      </c>
      <c r="N87" s="243">
        <f>IF(Table334[[#This Row],[Category]]="Other Income",Table334[[#This Row],[Account Deposit Amount]]-Table334[[#This Row],[Account Withdrawl Amount]], )</f>
        <v>0</v>
      </c>
      <c r="O87" s="243">
        <f>IF(Table334[[#This Row],[Category]]="Registration",Table334[[#This Row],[Account Deposit Amount]]-Table334[[#This Row],[Account Withdrawl Amount]], )</f>
        <v>0</v>
      </c>
      <c r="P87" s="243">
        <f>IF(Table334[[#This Row],[Category]]="Insignia",Table334[[#This Row],[Account Deposit Amount]]-Table334[[#This Row],[Account Withdrawl Amount]], )</f>
        <v>0</v>
      </c>
      <c r="Q87" s="243">
        <f>IF(Table334[[#This Row],[Category]]="Activities/Program",Table334[[#This Row],[Account Deposit Amount]]-Table334[[#This Row],[Account Withdrawl Amount]], )</f>
        <v>0</v>
      </c>
      <c r="R87" s="243">
        <f>IF(Table334[[#This Row],[Category]]="Travel",Table334[[#This Row],[Account Deposit Amount]]-Table334[[#This Row],[Account Withdrawl Amount]], )</f>
        <v>0</v>
      </c>
      <c r="S87" s="243">
        <f>IF(Table334[[#This Row],[Category]]="Parties Food &amp; Beverages",Table334[[#This Row],[Account Deposit Amount]]-Table334[[#This Row],[Account Withdrawl Amount]], )</f>
        <v>0</v>
      </c>
      <c r="T87" s="243">
        <f>IF(Table334[[#This Row],[Category]]="Service Projects Donation",Table334[[#This Row],[Account Deposit Amount]]-Table334[[#This Row],[Account Withdrawl Amount]], )</f>
        <v>0</v>
      </c>
      <c r="U87" s="243">
        <f>IF(Table334[[#This Row],[Category]]="Cookie Debt",Table334[[#This Row],[Account Deposit Amount]]-Table334[[#This Row],[Account Withdrawl Amount]], )</f>
        <v>0</v>
      </c>
      <c r="V87" s="243">
        <f>IF(Table334[[#This Row],[Category]]="Other Expense",Table334[[#This Row],[Account Deposit Amount]]-Table334[[#This Row],[Account Withdrawl Amount]], )</f>
        <v>0</v>
      </c>
    </row>
    <row r="88" spans="1:22">
      <c r="A88" s="245" t="s">
        <v>513</v>
      </c>
      <c r="B88" s="263">
        <v>45727</v>
      </c>
      <c r="C88" s="264" t="s">
        <v>631</v>
      </c>
      <c r="D88" s="265" t="s">
        <v>632</v>
      </c>
      <c r="E88" s="264"/>
      <c r="F88" s="264">
        <v>44.79</v>
      </c>
      <c r="G88" s="243">
        <f t="shared" si="3"/>
        <v>17698.369999999995</v>
      </c>
      <c r="H88" s="224" t="s">
        <v>136</v>
      </c>
      <c r="I88" s="243">
        <f>IF(Table334[[#This Row],[Category]]="Fall Product",Table334[[#This Row],[Account Deposit Amount]]-Table334[[#This Row],[Account Withdrawl Amount]], )</f>
        <v>0</v>
      </c>
      <c r="J88" s="243">
        <f>IF(Table334[[#This Row],[Category]]="Cookies",Table334[[#This Row],[Account Deposit Amount]]-Table334[[#This Row],[Account Withdrawl Amount]], )</f>
        <v>0</v>
      </c>
      <c r="K88" s="243">
        <f>IF(Table334[[#This Row],[Category]]="Additional Money Earning Activities",Table334[[#This Row],[Account Deposit Amount]]-Table334[[#This Row],[Account Withdrawl Amount]], )</f>
        <v>0</v>
      </c>
      <c r="L88" s="243">
        <f>IF(Table334[[#This Row],[Category]]="Sponsorships",Table334[[#This Row],[Account Deposit Amount]]-Table334[[#This Row],[Account Withdrawl Amount]], )</f>
        <v>0</v>
      </c>
      <c r="M88" s="243">
        <f>IF(Table334[[#This Row],[Category]]="Troop Dues",Table334[[#This Row],[Account Deposit Amount]]-Table334[[#This Row],[Account Withdrawl Amount]], )</f>
        <v>0</v>
      </c>
      <c r="N88" s="243">
        <f>IF(Table334[[#This Row],[Category]]="Other Income",Table334[[#This Row],[Account Deposit Amount]]-Table334[[#This Row],[Account Withdrawl Amount]], )</f>
        <v>0</v>
      </c>
      <c r="O88" s="243">
        <f>IF(Table334[[#This Row],[Category]]="Registration",Table334[[#This Row],[Account Deposit Amount]]-Table334[[#This Row],[Account Withdrawl Amount]], )</f>
        <v>0</v>
      </c>
      <c r="P88" s="243">
        <f>IF(Table334[[#This Row],[Category]]="Insignia",Table334[[#This Row],[Account Deposit Amount]]-Table334[[#This Row],[Account Withdrawl Amount]], )</f>
        <v>0</v>
      </c>
      <c r="Q88" s="243">
        <f>IF(Table334[[#This Row],[Category]]="Activities/Program",Table334[[#This Row],[Account Deposit Amount]]-Table334[[#This Row],[Account Withdrawl Amount]], )</f>
        <v>-44.79</v>
      </c>
      <c r="R88" s="243">
        <f>IF(Table334[[#This Row],[Category]]="Travel",Table334[[#This Row],[Account Deposit Amount]]-Table334[[#This Row],[Account Withdrawl Amount]], )</f>
        <v>0</v>
      </c>
      <c r="S88" s="243">
        <f>IF(Table334[[#This Row],[Category]]="Parties Food &amp; Beverages",Table334[[#This Row],[Account Deposit Amount]]-Table334[[#This Row],[Account Withdrawl Amount]], )</f>
        <v>0</v>
      </c>
      <c r="T88" s="243">
        <f>IF(Table334[[#This Row],[Category]]="Service Projects Donation",Table334[[#This Row],[Account Deposit Amount]]-Table334[[#This Row],[Account Withdrawl Amount]], )</f>
        <v>0</v>
      </c>
      <c r="U88" s="243">
        <f>IF(Table334[[#This Row],[Category]]="Cookie Debt",Table334[[#This Row],[Account Deposit Amount]]-Table334[[#This Row],[Account Withdrawl Amount]], )</f>
        <v>0</v>
      </c>
      <c r="V88" s="243">
        <f>IF(Table334[[#This Row],[Category]]="Other Expense",Table334[[#This Row],[Account Deposit Amount]]-Table334[[#This Row],[Account Withdrawl Amount]], )</f>
        <v>0</v>
      </c>
    </row>
    <row r="89" spans="1:22">
      <c r="A89" s="261" t="s">
        <v>513</v>
      </c>
      <c r="B89" s="249">
        <v>45734</v>
      </c>
      <c r="C89" s="247" t="s">
        <v>633</v>
      </c>
      <c r="D89" s="247" t="s">
        <v>634</v>
      </c>
      <c r="E89" s="250">
        <v>5731.6</v>
      </c>
      <c r="F89" s="251"/>
      <c r="G89" s="243">
        <f t="shared" si="3"/>
        <v>23429.969999999994</v>
      </c>
      <c r="H89" s="247" t="s">
        <v>132</v>
      </c>
      <c r="I89" s="243">
        <f>IF(Table334[[#This Row],[Category]]="Fall Product",Table334[[#This Row],[Account Deposit Amount]]-Table334[[#This Row],[Account Withdrawl Amount]], )</f>
        <v>0</v>
      </c>
      <c r="J89" s="243">
        <f>IF(Table334[[#This Row],[Category]]="Cookies",Table334[[#This Row],[Account Deposit Amount]]-Table334[[#This Row],[Account Withdrawl Amount]], )</f>
        <v>5731.6</v>
      </c>
      <c r="K89" s="243">
        <f>IF(Table334[[#This Row],[Category]]="Additional Money Earning Activities",Table334[[#This Row],[Account Deposit Amount]]-Table334[[#This Row],[Account Withdrawl Amount]], )</f>
        <v>0</v>
      </c>
      <c r="L89" s="243">
        <f>IF(Table334[[#This Row],[Category]]="Sponsorships",Table334[[#This Row],[Account Deposit Amount]]-Table334[[#This Row],[Account Withdrawl Amount]], )</f>
        <v>0</v>
      </c>
      <c r="M89" s="243">
        <f>IF(Table334[[#This Row],[Category]]="Troop Dues",Table334[[#This Row],[Account Deposit Amount]]-Table334[[#This Row],[Account Withdrawl Amount]], )</f>
        <v>0</v>
      </c>
      <c r="N89" s="243">
        <f>IF(Table334[[#This Row],[Category]]="Other Income",Table334[[#This Row],[Account Deposit Amount]]-Table334[[#This Row],[Account Withdrawl Amount]], )</f>
        <v>0</v>
      </c>
      <c r="O89" s="243">
        <f>IF(Table334[[#This Row],[Category]]="Registration",Table334[[#This Row],[Account Deposit Amount]]-Table334[[#This Row],[Account Withdrawl Amount]], )</f>
        <v>0</v>
      </c>
      <c r="P89" s="243">
        <f>IF(Table334[[#This Row],[Category]]="Insignia",Table334[[#This Row],[Account Deposit Amount]]-Table334[[#This Row],[Account Withdrawl Amount]], )</f>
        <v>0</v>
      </c>
      <c r="Q89" s="243">
        <f>IF(Table334[[#This Row],[Category]]="Activities/Program",Table334[[#This Row],[Account Deposit Amount]]-Table334[[#This Row],[Account Withdrawl Amount]], )</f>
        <v>0</v>
      </c>
      <c r="R89" s="243">
        <f>IF(Table334[[#This Row],[Category]]="Travel",Table334[[#This Row],[Account Deposit Amount]]-Table334[[#This Row],[Account Withdrawl Amount]], )</f>
        <v>0</v>
      </c>
      <c r="S89" s="243">
        <f>IF(Table334[[#This Row],[Category]]="Parties Food &amp; Beverages",Table334[[#This Row],[Account Deposit Amount]]-Table334[[#This Row],[Account Withdrawl Amount]], )</f>
        <v>0</v>
      </c>
      <c r="T89" s="243">
        <f>IF(Table334[[#This Row],[Category]]="Service Projects Donation",Table334[[#This Row],[Account Deposit Amount]]-Table334[[#This Row],[Account Withdrawl Amount]], )</f>
        <v>0</v>
      </c>
      <c r="U89" s="243">
        <f>IF(Table334[[#This Row],[Category]]="Cookie Debt",Table334[[#This Row],[Account Deposit Amount]]-Table334[[#This Row],[Account Withdrawl Amount]], )</f>
        <v>0</v>
      </c>
      <c r="V89" s="243">
        <f>IF(Table334[[#This Row],[Category]]="Other Expense",Table334[[#This Row],[Account Deposit Amount]]-Table334[[#This Row],[Account Withdrawl Amount]], )</f>
        <v>0</v>
      </c>
    </row>
    <row r="90" spans="1:22">
      <c r="A90" s="245" t="s">
        <v>513</v>
      </c>
      <c r="B90" s="263">
        <v>45734</v>
      </c>
      <c r="C90" s="264" t="s">
        <v>633</v>
      </c>
      <c r="D90" s="265" t="s">
        <v>634</v>
      </c>
      <c r="E90" s="264">
        <v>30</v>
      </c>
      <c r="F90" s="264"/>
      <c r="G90" s="243">
        <f t="shared" si="3"/>
        <v>23459.969999999994</v>
      </c>
      <c r="H90" s="224" t="s">
        <v>132</v>
      </c>
      <c r="I90" s="243">
        <f>IF(Table334[[#This Row],[Category]]="Fall Product",Table334[[#This Row],[Account Deposit Amount]]-Table334[[#This Row],[Account Withdrawl Amount]], )</f>
        <v>0</v>
      </c>
      <c r="J90" s="243">
        <f>IF(Table334[[#This Row],[Category]]="Cookies",Table334[[#This Row],[Account Deposit Amount]]-Table334[[#This Row],[Account Withdrawl Amount]], )</f>
        <v>30</v>
      </c>
      <c r="K90" s="243">
        <f>IF(Table334[[#This Row],[Category]]="Additional Money Earning Activities",Table334[[#This Row],[Account Deposit Amount]]-Table334[[#This Row],[Account Withdrawl Amount]], )</f>
        <v>0</v>
      </c>
      <c r="L90" s="243">
        <f>IF(Table334[[#This Row],[Category]]="Sponsorships",Table334[[#This Row],[Account Deposit Amount]]-Table334[[#This Row],[Account Withdrawl Amount]], )</f>
        <v>0</v>
      </c>
      <c r="M90" s="243">
        <f>IF(Table334[[#This Row],[Category]]="Troop Dues",Table334[[#This Row],[Account Deposit Amount]]-Table334[[#This Row],[Account Withdrawl Amount]], )</f>
        <v>0</v>
      </c>
      <c r="N90" s="243">
        <f>IF(Table334[[#This Row],[Category]]="Other Income",Table334[[#This Row],[Account Deposit Amount]]-Table334[[#This Row],[Account Withdrawl Amount]], )</f>
        <v>0</v>
      </c>
      <c r="O90" s="243">
        <f>IF(Table334[[#This Row],[Category]]="Registration",Table334[[#This Row],[Account Deposit Amount]]-Table334[[#This Row],[Account Withdrawl Amount]], )</f>
        <v>0</v>
      </c>
      <c r="P90" s="243">
        <f>IF(Table334[[#This Row],[Category]]="Insignia",Table334[[#This Row],[Account Deposit Amount]]-Table334[[#This Row],[Account Withdrawl Amount]], )</f>
        <v>0</v>
      </c>
      <c r="Q90" s="243">
        <f>IF(Table334[[#This Row],[Category]]="Activities/Program",Table334[[#This Row],[Account Deposit Amount]]-Table334[[#This Row],[Account Withdrawl Amount]], )</f>
        <v>0</v>
      </c>
      <c r="R90" s="243">
        <f>IF(Table334[[#This Row],[Category]]="Travel",Table334[[#This Row],[Account Deposit Amount]]-Table334[[#This Row],[Account Withdrawl Amount]], )</f>
        <v>0</v>
      </c>
      <c r="S90" s="243">
        <f>IF(Table334[[#This Row],[Category]]="Parties Food &amp; Beverages",Table334[[#This Row],[Account Deposit Amount]]-Table334[[#This Row],[Account Withdrawl Amount]], )</f>
        <v>0</v>
      </c>
      <c r="T90" s="243">
        <f>IF(Table334[[#This Row],[Category]]="Service Projects Donation",Table334[[#This Row],[Account Deposit Amount]]-Table334[[#This Row],[Account Withdrawl Amount]], )</f>
        <v>0</v>
      </c>
      <c r="U90" s="243">
        <f>IF(Table334[[#This Row],[Category]]="Cookie Debt",Table334[[#This Row],[Account Deposit Amount]]-Table334[[#This Row],[Account Withdrawl Amount]], )</f>
        <v>0</v>
      </c>
      <c r="V90" s="243">
        <f>IF(Table334[[#This Row],[Category]]="Other Expense",Table334[[#This Row],[Account Deposit Amount]]-Table334[[#This Row],[Account Withdrawl Amount]], )</f>
        <v>0</v>
      </c>
    </row>
    <row r="91" spans="1:22">
      <c r="A91" s="261" t="s">
        <v>513</v>
      </c>
      <c r="B91" s="249">
        <v>45736</v>
      </c>
      <c r="C91" s="247" t="s">
        <v>635</v>
      </c>
      <c r="D91" s="247" t="s">
        <v>636</v>
      </c>
      <c r="E91" s="250"/>
      <c r="F91" s="251">
        <v>25</v>
      </c>
      <c r="G91" s="243">
        <f t="shared" si="3"/>
        <v>23434.969999999994</v>
      </c>
      <c r="H91" s="247" t="s">
        <v>136</v>
      </c>
      <c r="I91" s="243">
        <f>IF(Table334[[#This Row],[Category]]="Fall Product",Table334[[#This Row],[Account Deposit Amount]]-Table334[[#This Row],[Account Withdrawl Amount]], )</f>
        <v>0</v>
      </c>
      <c r="J91" s="243">
        <f>IF(Table334[[#This Row],[Category]]="Cookies",Table334[[#This Row],[Account Deposit Amount]]-Table334[[#This Row],[Account Withdrawl Amount]], )</f>
        <v>0</v>
      </c>
      <c r="K91" s="243">
        <f>IF(Table334[[#This Row],[Category]]="Additional Money Earning Activities",Table334[[#This Row],[Account Deposit Amount]]-Table334[[#This Row],[Account Withdrawl Amount]], )</f>
        <v>0</v>
      </c>
      <c r="L91" s="243">
        <f>IF(Table334[[#This Row],[Category]]="Sponsorships",Table334[[#This Row],[Account Deposit Amount]]-Table334[[#This Row],[Account Withdrawl Amount]], )</f>
        <v>0</v>
      </c>
      <c r="M91" s="243">
        <f>IF(Table334[[#This Row],[Category]]="Troop Dues",Table334[[#This Row],[Account Deposit Amount]]-Table334[[#This Row],[Account Withdrawl Amount]], )</f>
        <v>0</v>
      </c>
      <c r="N91" s="243">
        <f>IF(Table334[[#This Row],[Category]]="Other Income",Table334[[#This Row],[Account Deposit Amount]]-Table334[[#This Row],[Account Withdrawl Amount]], )</f>
        <v>0</v>
      </c>
      <c r="O91" s="243">
        <f>IF(Table334[[#This Row],[Category]]="Registration",Table334[[#This Row],[Account Deposit Amount]]-Table334[[#This Row],[Account Withdrawl Amount]], )</f>
        <v>0</v>
      </c>
      <c r="P91" s="243">
        <f>IF(Table334[[#This Row],[Category]]="Insignia",Table334[[#This Row],[Account Deposit Amount]]-Table334[[#This Row],[Account Withdrawl Amount]], )</f>
        <v>0</v>
      </c>
      <c r="Q91" s="243">
        <f>IF(Table334[[#This Row],[Category]]="Activities/Program",Table334[[#This Row],[Account Deposit Amount]]-Table334[[#This Row],[Account Withdrawl Amount]], )</f>
        <v>-25</v>
      </c>
      <c r="R91" s="243">
        <f>IF(Table334[[#This Row],[Category]]="Travel",Table334[[#This Row],[Account Deposit Amount]]-Table334[[#This Row],[Account Withdrawl Amount]], )</f>
        <v>0</v>
      </c>
      <c r="S91" s="243">
        <f>IF(Table334[[#This Row],[Category]]="Parties Food &amp; Beverages",Table334[[#This Row],[Account Deposit Amount]]-Table334[[#This Row],[Account Withdrawl Amount]], )</f>
        <v>0</v>
      </c>
      <c r="T91" s="243">
        <f>IF(Table334[[#This Row],[Category]]="Service Projects Donation",Table334[[#This Row],[Account Deposit Amount]]-Table334[[#This Row],[Account Withdrawl Amount]], )</f>
        <v>0</v>
      </c>
      <c r="U91" s="243">
        <f>IF(Table334[[#This Row],[Category]]="Cookie Debt",Table334[[#This Row],[Account Deposit Amount]]-Table334[[#This Row],[Account Withdrawl Amount]], )</f>
        <v>0</v>
      </c>
      <c r="V91" s="243">
        <f>IF(Table334[[#This Row],[Category]]="Other Expense",Table334[[#This Row],[Account Deposit Amount]]-Table334[[#This Row],[Account Withdrawl Amount]], )</f>
        <v>0</v>
      </c>
    </row>
    <row r="92" spans="1:22">
      <c r="A92" s="245" t="s">
        <v>513</v>
      </c>
      <c r="B92" s="263">
        <v>45743</v>
      </c>
      <c r="C92" s="264" t="s">
        <v>637</v>
      </c>
      <c r="D92" s="265" t="s">
        <v>638</v>
      </c>
      <c r="E92" s="264">
        <v>84</v>
      </c>
      <c r="F92" s="264"/>
      <c r="G92" s="243">
        <f t="shared" si="3"/>
        <v>23518.969999999994</v>
      </c>
      <c r="H92" s="224" t="s">
        <v>132</v>
      </c>
      <c r="I92" s="243">
        <f>IF(Table334[[#This Row],[Category]]="Fall Product",Table334[[#This Row],[Account Deposit Amount]]-Table334[[#This Row],[Account Withdrawl Amount]], )</f>
        <v>0</v>
      </c>
      <c r="J92" s="243">
        <f>IF(Table334[[#This Row],[Category]]="Cookies",Table334[[#This Row],[Account Deposit Amount]]-Table334[[#This Row],[Account Withdrawl Amount]], )</f>
        <v>84</v>
      </c>
      <c r="K92" s="243">
        <f>IF(Table334[[#This Row],[Category]]="Additional Money Earning Activities",Table334[[#This Row],[Account Deposit Amount]]-Table334[[#This Row],[Account Withdrawl Amount]], )</f>
        <v>0</v>
      </c>
      <c r="L92" s="243">
        <f>IF(Table334[[#This Row],[Category]]="Sponsorships",Table334[[#This Row],[Account Deposit Amount]]-Table334[[#This Row],[Account Withdrawl Amount]], )</f>
        <v>0</v>
      </c>
      <c r="M92" s="243">
        <f>IF(Table334[[#This Row],[Category]]="Troop Dues",Table334[[#This Row],[Account Deposit Amount]]-Table334[[#This Row],[Account Withdrawl Amount]], )</f>
        <v>0</v>
      </c>
      <c r="N92" s="243">
        <f>IF(Table334[[#This Row],[Category]]="Other Income",Table334[[#This Row],[Account Deposit Amount]]-Table334[[#This Row],[Account Withdrawl Amount]], )</f>
        <v>0</v>
      </c>
      <c r="O92" s="243">
        <f>IF(Table334[[#This Row],[Category]]="Registration",Table334[[#This Row],[Account Deposit Amount]]-Table334[[#This Row],[Account Withdrawl Amount]], )</f>
        <v>0</v>
      </c>
      <c r="P92" s="243">
        <f>IF(Table334[[#This Row],[Category]]="Insignia",Table334[[#This Row],[Account Deposit Amount]]-Table334[[#This Row],[Account Withdrawl Amount]], )</f>
        <v>0</v>
      </c>
      <c r="Q92" s="243">
        <f>IF(Table334[[#This Row],[Category]]="Activities/Program",Table334[[#This Row],[Account Deposit Amount]]-Table334[[#This Row],[Account Withdrawl Amount]], )</f>
        <v>0</v>
      </c>
      <c r="R92" s="243">
        <f>IF(Table334[[#This Row],[Category]]="Travel",Table334[[#This Row],[Account Deposit Amount]]-Table334[[#This Row],[Account Withdrawl Amount]], )</f>
        <v>0</v>
      </c>
      <c r="S92" s="243">
        <f>IF(Table334[[#This Row],[Category]]="Parties Food &amp; Beverages",Table334[[#This Row],[Account Deposit Amount]]-Table334[[#This Row],[Account Withdrawl Amount]], )</f>
        <v>0</v>
      </c>
      <c r="T92" s="243">
        <f>IF(Table334[[#This Row],[Category]]="Service Projects Donation",Table334[[#This Row],[Account Deposit Amount]]-Table334[[#This Row],[Account Withdrawl Amount]], )</f>
        <v>0</v>
      </c>
      <c r="U92" s="243">
        <f>IF(Table334[[#This Row],[Category]]="Cookie Debt",Table334[[#This Row],[Account Deposit Amount]]-Table334[[#This Row],[Account Withdrawl Amount]], )</f>
        <v>0</v>
      </c>
      <c r="V92" s="243">
        <f>IF(Table334[[#This Row],[Category]]="Other Expense",Table334[[#This Row],[Account Deposit Amount]]-Table334[[#This Row],[Account Withdrawl Amount]], )</f>
        <v>0</v>
      </c>
    </row>
    <row r="93" spans="1:22">
      <c r="A93" s="261"/>
      <c r="B93" s="249">
        <v>45755</v>
      </c>
      <c r="C93" s="247" t="s">
        <v>639</v>
      </c>
      <c r="D93" s="247" t="s">
        <v>640</v>
      </c>
      <c r="E93" s="250"/>
      <c r="F93" s="251">
        <v>21000</v>
      </c>
      <c r="G93" s="243">
        <f t="shared" si="3"/>
        <v>2518.9699999999939</v>
      </c>
      <c r="H93" s="247" t="s">
        <v>132</v>
      </c>
      <c r="I93" s="243">
        <f>IF(Table334[[#This Row],[Category]]="Fall Product",Table334[[#This Row],[Account Deposit Amount]]-Table334[[#This Row],[Account Withdrawl Amount]], )</f>
        <v>0</v>
      </c>
      <c r="J93" s="243">
        <f>IF(Table334[[#This Row],[Category]]="Cookies",Table334[[#This Row],[Account Deposit Amount]]-Table334[[#This Row],[Account Withdrawl Amount]], )</f>
        <v>-21000</v>
      </c>
      <c r="K93" s="243">
        <f>IF(Table334[[#This Row],[Category]]="Additional Money Earning Activities",Table334[[#This Row],[Account Deposit Amount]]-Table334[[#This Row],[Account Withdrawl Amount]], )</f>
        <v>0</v>
      </c>
      <c r="L93" s="243">
        <f>IF(Table334[[#This Row],[Category]]="Sponsorships",Table334[[#This Row],[Account Deposit Amount]]-Table334[[#This Row],[Account Withdrawl Amount]], )</f>
        <v>0</v>
      </c>
      <c r="M93" s="243">
        <f>IF(Table334[[#This Row],[Category]]="Troop Dues",Table334[[#This Row],[Account Deposit Amount]]-Table334[[#This Row],[Account Withdrawl Amount]], )</f>
        <v>0</v>
      </c>
      <c r="N93" s="243">
        <f>IF(Table334[[#This Row],[Category]]="Other Income",Table334[[#This Row],[Account Deposit Amount]]-Table334[[#This Row],[Account Withdrawl Amount]], )</f>
        <v>0</v>
      </c>
      <c r="O93" s="243">
        <f>IF(Table334[[#This Row],[Category]]="Registration",Table334[[#This Row],[Account Deposit Amount]]-Table334[[#This Row],[Account Withdrawl Amount]], )</f>
        <v>0</v>
      </c>
      <c r="P93" s="243">
        <f>IF(Table334[[#This Row],[Category]]="Insignia",Table334[[#This Row],[Account Deposit Amount]]-Table334[[#This Row],[Account Withdrawl Amount]], )</f>
        <v>0</v>
      </c>
      <c r="Q93" s="243">
        <f>IF(Table334[[#This Row],[Category]]="Activities/Program",Table334[[#This Row],[Account Deposit Amount]]-Table334[[#This Row],[Account Withdrawl Amount]], )</f>
        <v>0</v>
      </c>
      <c r="R93" s="243">
        <f>IF(Table334[[#This Row],[Category]]="Travel",Table334[[#This Row],[Account Deposit Amount]]-Table334[[#This Row],[Account Withdrawl Amount]], )</f>
        <v>0</v>
      </c>
      <c r="S93" s="243">
        <f>IF(Table334[[#This Row],[Category]]="Parties Food &amp; Beverages",Table334[[#This Row],[Account Deposit Amount]]-Table334[[#This Row],[Account Withdrawl Amount]], )</f>
        <v>0</v>
      </c>
      <c r="T93" s="243">
        <f>IF(Table334[[#This Row],[Category]]="Service Projects Donation",Table334[[#This Row],[Account Deposit Amount]]-Table334[[#This Row],[Account Withdrawl Amount]], )</f>
        <v>0</v>
      </c>
      <c r="U93" s="243">
        <f>IF(Table334[[#This Row],[Category]]="Cookie Debt",Table334[[#This Row],[Account Deposit Amount]]-Table334[[#This Row],[Account Withdrawl Amount]], )</f>
        <v>0</v>
      </c>
      <c r="V93" s="243">
        <f>IF(Table334[[#This Row],[Category]]="Other Expense",Table334[[#This Row],[Account Deposit Amount]]-Table334[[#This Row],[Account Withdrawl Amount]], )</f>
        <v>0</v>
      </c>
    </row>
    <row r="94" spans="1:22">
      <c r="A94" s="245"/>
      <c r="B94" s="263"/>
      <c r="C94" s="264"/>
      <c r="D94" s="265"/>
      <c r="E94" s="264"/>
      <c r="F94" s="264"/>
      <c r="G94" s="243">
        <f t="shared" si="3"/>
        <v>2518.9699999999939</v>
      </c>
      <c r="H94" s="224"/>
      <c r="I94" s="243">
        <f>IF(Table334[[#This Row],[Category]]="Fall Product",Table334[[#This Row],[Account Deposit Amount]]-Table334[[#This Row],[Account Withdrawl Amount]], )</f>
        <v>0</v>
      </c>
      <c r="J94" s="243">
        <f>IF(Table334[[#This Row],[Category]]="Cookies",Table334[[#This Row],[Account Deposit Amount]]-Table334[[#This Row],[Account Withdrawl Amount]], )</f>
        <v>0</v>
      </c>
      <c r="K94" s="243">
        <f>IF(Table334[[#This Row],[Category]]="Additional Money Earning Activities",Table334[[#This Row],[Account Deposit Amount]]-Table334[[#This Row],[Account Withdrawl Amount]], )</f>
        <v>0</v>
      </c>
      <c r="L94" s="243">
        <f>IF(Table334[[#This Row],[Category]]="Sponsorships",Table334[[#This Row],[Account Deposit Amount]]-Table334[[#This Row],[Account Withdrawl Amount]], )</f>
        <v>0</v>
      </c>
      <c r="M94" s="243">
        <f>IF(Table334[[#This Row],[Category]]="Troop Dues",Table334[[#This Row],[Account Deposit Amount]]-Table334[[#This Row],[Account Withdrawl Amount]], )</f>
        <v>0</v>
      </c>
      <c r="N94" s="243">
        <f>IF(Table334[[#This Row],[Category]]="Other Income",Table334[[#This Row],[Account Deposit Amount]]-Table334[[#This Row],[Account Withdrawl Amount]], )</f>
        <v>0</v>
      </c>
      <c r="O94" s="243">
        <f>IF(Table334[[#This Row],[Category]]="Registration",Table334[[#This Row],[Account Deposit Amount]]-Table334[[#This Row],[Account Withdrawl Amount]], )</f>
        <v>0</v>
      </c>
      <c r="P94" s="243">
        <f>IF(Table334[[#This Row],[Category]]="Insignia",Table334[[#This Row],[Account Deposit Amount]]-Table334[[#This Row],[Account Withdrawl Amount]], )</f>
        <v>0</v>
      </c>
      <c r="Q94" s="243">
        <f>IF(Table334[[#This Row],[Category]]="Activities/Program",Table334[[#This Row],[Account Deposit Amount]]-Table334[[#This Row],[Account Withdrawl Amount]], )</f>
        <v>0</v>
      </c>
      <c r="R94" s="243">
        <f>IF(Table334[[#This Row],[Category]]="Travel",Table334[[#This Row],[Account Deposit Amount]]-Table334[[#This Row],[Account Withdrawl Amount]], )</f>
        <v>0</v>
      </c>
      <c r="S94" s="243">
        <f>IF(Table334[[#This Row],[Category]]="Parties Food &amp; Beverages",Table334[[#This Row],[Account Deposit Amount]]-Table334[[#This Row],[Account Withdrawl Amount]], )</f>
        <v>0</v>
      </c>
      <c r="T94" s="243">
        <f>IF(Table334[[#This Row],[Category]]="Service Projects Donation",Table334[[#This Row],[Account Deposit Amount]]-Table334[[#This Row],[Account Withdrawl Amount]], )</f>
        <v>0</v>
      </c>
      <c r="U94" s="243">
        <f>IF(Table334[[#This Row],[Category]]="Cookie Debt",Table334[[#This Row],[Account Deposit Amount]]-Table334[[#This Row],[Account Withdrawl Amount]], )</f>
        <v>0</v>
      </c>
      <c r="V94" s="243">
        <f>IF(Table334[[#This Row],[Category]]="Other Expense",Table334[[#This Row],[Account Deposit Amount]]-Table334[[#This Row],[Account Withdrawl Amount]], )</f>
        <v>0</v>
      </c>
    </row>
    <row r="95" spans="1:22">
      <c r="A95" s="225"/>
      <c r="B95" s="241"/>
      <c r="C95" s="244"/>
      <c r="D95" s="225"/>
      <c r="E95" s="242"/>
      <c r="F95" s="242"/>
      <c r="G95" s="243">
        <f t="shared" si="3"/>
        <v>2518.9699999999939</v>
      </c>
      <c r="H95" s="247"/>
      <c r="I95" s="243">
        <f>IF(Table334[[#This Row],[Category]]="Fall Product",Table334[[#This Row],[Account Deposit Amount]]-Table334[[#This Row],[Account Withdrawl Amount]], )</f>
        <v>0</v>
      </c>
      <c r="J95" s="243">
        <f>IF(Table334[[#This Row],[Category]]="Cookies",Table334[[#This Row],[Account Deposit Amount]]-Table334[[#This Row],[Account Withdrawl Amount]], )</f>
        <v>0</v>
      </c>
      <c r="K95" s="243">
        <f>IF(Table334[[#This Row],[Category]]="Additional Money Earning Activities",Table334[[#This Row],[Account Deposit Amount]]-Table334[[#This Row],[Account Withdrawl Amount]], )</f>
        <v>0</v>
      </c>
      <c r="L95" s="243">
        <f>IF(Table334[[#This Row],[Category]]="Sponsorships",Table334[[#This Row],[Account Deposit Amount]]-Table334[[#This Row],[Account Withdrawl Amount]], )</f>
        <v>0</v>
      </c>
      <c r="M95" s="243">
        <f>IF(Table334[[#This Row],[Category]]="Troop Dues",Table334[[#This Row],[Account Deposit Amount]]-Table334[[#This Row],[Account Withdrawl Amount]], )</f>
        <v>0</v>
      </c>
      <c r="N95" s="243">
        <f>IF(Table334[[#This Row],[Category]]="Other Income",Table334[[#This Row],[Account Deposit Amount]]-Table334[[#This Row],[Account Withdrawl Amount]], )</f>
        <v>0</v>
      </c>
      <c r="O95" s="243">
        <f>IF(Table334[[#This Row],[Category]]="Registration",Table334[[#This Row],[Account Deposit Amount]]-Table334[[#This Row],[Account Withdrawl Amount]], )</f>
        <v>0</v>
      </c>
      <c r="P95" s="243">
        <f>IF(Table334[[#This Row],[Category]]="Insignia",Table334[[#This Row],[Account Deposit Amount]]-Table334[[#This Row],[Account Withdrawl Amount]], )</f>
        <v>0</v>
      </c>
      <c r="Q95" s="243">
        <f>IF(Table334[[#This Row],[Category]]="Activities/Program",Table334[[#This Row],[Account Deposit Amount]]-Table334[[#This Row],[Account Withdrawl Amount]], )</f>
        <v>0</v>
      </c>
      <c r="R95" s="243">
        <f>IF(Table334[[#This Row],[Category]]="Travel",Table334[[#This Row],[Account Deposit Amount]]-Table334[[#This Row],[Account Withdrawl Amount]], )</f>
        <v>0</v>
      </c>
      <c r="S95" s="243">
        <f>IF(Table334[[#This Row],[Category]]="Parties Food &amp; Beverages",Table334[[#This Row],[Account Deposit Amount]]-Table334[[#This Row],[Account Withdrawl Amount]], )</f>
        <v>0</v>
      </c>
      <c r="T95" s="243">
        <f>IF(Table334[[#This Row],[Category]]="Service Projects Donation",Table334[[#This Row],[Account Deposit Amount]]-Table334[[#This Row],[Account Withdrawl Amount]], )</f>
        <v>0</v>
      </c>
      <c r="U95" s="243">
        <f>IF(Table334[[#This Row],[Category]]="Cookie Debt",Table334[[#This Row],[Account Deposit Amount]]-Table334[[#This Row],[Account Withdrawl Amount]], )</f>
        <v>0</v>
      </c>
      <c r="V95" s="243">
        <f>IF(Table334[[#This Row],[Category]]="Other Expense",Table334[[#This Row],[Account Deposit Amount]]-Table334[[#This Row],[Account Withdrawl Amount]], )</f>
        <v>0</v>
      </c>
    </row>
    <row r="96" spans="1:22">
      <c r="A96" s="225"/>
      <c r="B96" s="241"/>
      <c r="C96" s="244"/>
      <c r="D96" s="225"/>
      <c r="E96" s="242"/>
      <c r="F96" s="242"/>
      <c r="G96" s="243">
        <f t="shared" si="3"/>
        <v>2518.9699999999939</v>
      </c>
      <c r="H96" s="224"/>
      <c r="I96" s="243">
        <f>IF(Table334[[#This Row],[Category]]="Fall Product",Table334[[#This Row],[Account Deposit Amount]]-Table334[[#This Row],[Account Withdrawl Amount]], )</f>
        <v>0</v>
      </c>
      <c r="J96" s="243">
        <f>IF(Table334[[#This Row],[Category]]="Cookies",Table334[[#This Row],[Account Deposit Amount]]-Table334[[#This Row],[Account Withdrawl Amount]], )</f>
        <v>0</v>
      </c>
      <c r="K96" s="243">
        <f>IF(Table334[[#This Row],[Category]]="Additional Money Earning Activities",Table334[[#This Row],[Account Deposit Amount]]-Table334[[#This Row],[Account Withdrawl Amount]], )</f>
        <v>0</v>
      </c>
      <c r="L96" s="243">
        <f>IF(Table334[[#This Row],[Category]]="Sponsorships",Table334[[#This Row],[Account Deposit Amount]]-Table334[[#This Row],[Account Withdrawl Amount]], )</f>
        <v>0</v>
      </c>
      <c r="M96" s="243">
        <f>IF(Table334[[#This Row],[Category]]="Troop Dues",Table334[[#This Row],[Account Deposit Amount]]-Table334[[#This Row],[Account Withdrawl Amount]], )</f>
        <v>0</v>
      </c>
      <c r="N96" s="243">
        <f>IF(Table334[[#This Row],[Category]]="Other Income",Table334[[#This Row],[Account Deposit Amount]]-Table334[[#This Row],[Account Withdrawl Amount]], )</f>
        <v>0</v>
      </c>
      <c r="O96" s="243">
        <f>IF(Table334[[#This Row],[Category]]="Registration",Table334[[#This Row],[Account Deposit Amount]]-Table334[[#This Row],[Account Withdrawl Amount]], )</f>
        <v>0</v>
      </c>
      <c r="P96" s="243">
        <f>IF(Table334[[#This Row],[Category]]="Insignia",Table334[[#This Row],[Account Deposit Amount]]-Table334[[#This Row],[Account Withdrawl Amount]], )</f>
        <v>0</v>
      </c>
      <c r="Q96" s="243">
        <f>IF(Table334[[#This Row],[Category]]="Activities/Program",Table334[[#This Row],[Account Deposit Amount]]-Table334[[#This Row],[Account Withdrawl Amount]], )</f>
        <v>0</v>
      </c>
      <c r="R96" s="243">
        <f>IF(Table334[[#This Row],[Category]]="Travel",Table334[[#This Row],[Account Deposit Amount]]-Table334[[#This Row],[Account Withdrawl Amount]], )</f>
        <v>0</v>
      </c>
      <c r="S96" s="243">
        <f>IF(Table334[[#This Row],[Category]]="Parties Food &amp; Beverages",Table334[[#This Row],[Account Deposit Amount]]-Table334[[#This Row],[Account Withdrawl Amount]], )</f>
        <v>0</v>
      </c>
      <c r="T96" s="243">
        <f>IF(Table334[[#This Row],[Category]]="Service Projects Donation",Table334[[#This Row],[Account Deposit Amount]]-Table334[[#This Row],[Account Withdrawl Amount]], )</f>
        <v>0</v>
      </c>
      <c r="U96" s="243">
        <f>IF(Table334[[#This Row],[Category]]="Cookie Debt",Table334[[#This Row],[Account Deposit Amount]]-Table334[[#This Row],[Account Withdrawl Amount]], )</f>
        <v>0</v>
      </c>
      <c r="V96" s="243">
        <f>IF(Table334[[#This Row],[Category]]="Other Expense",Table334[[#This Row],[Account Deposit Amount]]-Table334[[#This Row],[Account Withdrawl Amount]], )</f>
        <v>0</v>
      </c>
    </row>
    <row r="97" spans="1:22">
      <c r="A97" s="225"/>
      <c r="B97" s="241"/>
      <c r="C97" s="244"/>
      <c r="D97" s="225"/>
      <c r="E97" s="242"/>
      <c r="F97" s="242"/>
      <c r="G97" s="243">
        <f t="shared" si="3"/>
        <v>2518.9699999999939</v>
      </c>
      <c r="H97" s="247"/>
      <c r="I97" s="243">
        <f>IF(Table334[[#This Row],[Category]]="Fall Product",Table334[[#This Row],[Account Deposit Amount]]-Table334[[#This Row],[Account Withdrawl Amount]], )</f>
        <v>0</v>
      </c>
      <c r="J97" s="243">
        <f>IF(Table334[[#This Row],[Category]]="Cookies",Table334[[#This Row],[Account Deposit Amount]]-Table334[[#This Row],[Account Withdrawl Amount]], )</f>
        <v>0</v>
      </c>
      <c r="K97" s="243">
        <f>IF(Table334[[#This Row],[Category]]="Additional Money Earning Activities",Table334[[#This Row],[Account Deposit Amount]]-Table334[[#This Row],[Account Withdrawl Amount]], )</f>
        <v>0</v>
      </c>
      <c r="L97" s="243">
        <f>IF(Table334[[#This Row],[Category]]="Sponsorships",Table334[[#This Row],[Account Deposit Amount]]-Table334[[#This Row],[Account Withdrawl Amount]], )</f>
        <v>0</v>
      </c>
      <c r="M97" s="243">
        <f>IF(Table334[[#This Row],[Category]]="Troop Dues",Table334[[#This Row],[Account Deposit Amount]]-Table334[[#This Row],[Account Withdrawl Amount]], )</f>
        <v>0</v>
      </c>
      <c r="N97" s="243">
        <f>IF(Table334[[#This Row],[Category]]="Other Income",Table334[[#This Row],[Account Deposit Amount]]-Table334[[#This Row],[Account Withdrawl Amount]], )</f>
        <v>0</v>
      </c>
      <c r="O97" s="243">
        <f>IF(Table334[[#This Row],[Category]]="Registration",Table334[[#This Row],[Account Deposit Amount]]-Table334[[#This Row],[Account Withdrawl Amount]], )</f>
        <v>0</v>
      </c>
      <c r="P97" s="243">
        <f>IF(Table334[[#This Row],[Category]]="Insignia",Table334[[#This Row],[Account Deposit Amount]]-Table334[[#This Row],[Account Withdrawl Amount]], )</f>
        <v>0</v>
      </c>
      <c r="Q97" s="243">
        <f>IF(Table334[[#This Row],[Category]]="Activities/Program",Table334[[#This Row],[Account Deposit Amount]]-Table334[[#This Row],[Account Withdrawl Amount]], )</f>
        <v>0</v>
      </c>
      <c r="R97" s="243">
        <f>IF(Table334[[#This Row],[Category]]="Travel",Table334[[#This Row],[Account Deposit Amount]]-Table334[[#This Row],[Account Withdrawl Amount]], )</f>
        <v>0</v>
      </c>
      <c r="S97" s="243">
        <f>IF(Table334[[#This Row],[Category]]="Parties Food &amp; Beverages",Table334[[#This Row],[Account Deposit Amount]]-Table334[[#This Row],[Account Withdrawl Amount]], )</f>
        <v>0</v>
      </c>
      <c r="T97" s="243">
        <f>IF(Table334[[#This Row],[Category]]="Service Projects Donation",Table334[[#This Row],[Account Deposit Amount]]-Table334[[#This Row],[Account Withdrawl Amount]], )</f>
        <v>0</v>
      </c>
      <c r="U97" s="243">
        <f>IF(Table334[[#This Row],[Category]]="Cookie Debt",Table334[[#This Row],[Account Deposit Amount]]-Table334[[#This Row],[Account Withdrawl Amount]], )</f>
        <v>0</v>
      </c>
      <c r="V97" s="243">
        <f>IF(Table334[[#This Row],[Category]]="Other Expense",Table334[[#This Row],[Account Deposit Amount]]-Table334[[#This Row],[Account Withdrawl Amount]], )</f>
        <v>0</v>
      </c>
    </row>
    <row r="98" spans="1:22">
      <c r="A98" s="225"/>
      <c r="B98" s="241"/>
      <c r="C98" s="244"/>
      <c r="D98" s="225"/>
      <c r="E98" s="242"/>
      <c r="F98" s="242"/>
      <c r="G98" s="243">
        <f t="shared" si="3"/>
        <v>2518.9699999999939</v>
      </c>
      <c r="H98" s="224"/>
      <c r="I98" s="243">
        <f>IF(Table334[[#This Row],[Category]]="Fall Product",Table334[[#This Row],[Account Deposit Amount]]-Table334[[#This Row],[Account Withdrawl Amount]], )</f>
        <v>0</v>
      </c>
      <c r="J98" s="243">
        <f>IF(Table334[[#This Row],[Category]]="Cookies",Table334[[#This Row],[Account Deposit Amount]]-Table334[[#This Row],[Account Withdrawl Amount]], )</f>
        <v>0</v>
      </c>
      <c r="K98" s="243">
        <f>IF(Table334[[#This Row],[Category]]="Additional Money Earning Activities",Table334[[#This Row],[Account Deposit Amount]]-Table334[[#This Row],[Account Withdrawl Amount]], )</f>
        <v>0</v>
      </c>
      <c r="L98" s="243">
        <f>IF(Table334[[#This Row],[Category]]="Sponsorships",Table334[[#This Row],[Account Deposit Amount]]-Table334[[#This Row],[Account Withdrawl Amount]], )</f>
        <v>0</v>
      </c>
      <c r="M98" s="243">
        <f>IF(Table334[[#This Row],[Category]]="Troop Dues",Table334[[#This Row],[Account Deposit Amount]]-Table334[[#This Row],[Account Withdrawl Amount]], )</f>
        <v>0</v>
      </c>
      <c r="N98" s="243">
        <f>IF(Table334[[#This Row],[Category]]="Other Income",Table334[[#This Row],[Account Deposit Amount]]-Table334[[#This Row],[Account Withdrawl Amount]], )</f>
        <v>0</v>
      </c>
      <c r="O98" s="243">
        <f>IF(Table334[[#This Row],[Category]]="Registration",Table334[[#This Row],[Account Deposit Amount]]-Table334[[#This Row],[Account Withdrawl Amount]], )</f>
        <v>0</v>
      </c>
      <c r="P98" s="243">
        <f>IF(Table334[[#This Row],[Category]]="Insignia",Table334[[#This Row],[Account Deposit Amount]]-Table334[[#This Row],[Account Withdrawl Amount]], )</f>
        <v>0</v>
      </c>
      <c r="Q98" s="243">
        <f>IF(Table334[[#This Row],[Category]]="Activities/Program",Table334[[#This Row],[Account Deposit Amount]]-Table334[[#This Row],[Account Withdrawl Amount]], )</f>
        <v>0</v>
      </c>
      <c r="R98" s="243">
        <f>IF(Table334[[#This Row],[Category]]="Travel",Table334[[#This Row],[Account Deposit Amount]]-Table334[[#This Row],[Account Withdrawl Amount]], )</f>
        <v>0</v>
      </c>
      <c r="S98" s="243">
        <f>IF(Table334[[#This Row],[Category]]="Parties Food &amp; Beverages",Table334[[#This Row],[Account Deposit Amount]]-Table334[[#This Row],[Account Withdrawl Amount]], )</f>
        <v>0</v>
      </c>
      <c r="T98" s="243">
        <f>IF(Table334[[#This Row],[Category]]="Service Projects Donation",Table334[[#This Row],[Account Deposit Amount]]-Table334[[#This Row],[Account Withdrawl Amount]], )</f>
        <v>0</v>
      </c>
      <c r="U98" s="243">
        <f>IF(Table334[[#This Row],[Category]]="Cookie Debt",Table334[[#This Row],[Account Deposit Amount]]-Table334[[#This Row],[Account Withdrawl Amount]], )</f>
        <v>0</v>
      </c>
      <c r="V98" s="243">
        <f>IF(Table334[[#This Row],[Category]]="Other Expense",Table334[[#This Row],[Account Deposit Amount]]-Table334[[#This Row],[Account Withdrawl Amount]], )</f>
        <v>0</v>
      </c>
    </row>
    <row r="99" spans="1:22">
      <c r="A99" s="225"/>
      <c r="B99" s="241"/>
      <c r="C99" s="244"/>
      <c r="D99" s="225"/>
      <c r="E99" s="242"/>
      <c r="F99" s="242"/>
      <c r="G99" s="243">
        <f t="shared" si="3"/>
        <v>2518.9699999999939</v>
      </c>
      <c r="H99" s="247"/>
      <c r="I99" s="243">
        <f>IF(Table334[[#This Row],[Category]]="Fall Product",Table334[[#This Row],[Account Deposit Amount]]-Table334[[#This Row],[Account Withdrawl Amount]], )</f>
        <v>0</v>
      </c>
      <c r="J99" s="243">
        <f>IF(Table334[[#This Row],[Category]]="Cookies",Table334[[#This Row],[Account Deposit Amount]]-Table334[[#This Row],[Account Withdrawl Amount]], )</f>
        <v>0</v>
      </c>
      <c r="K99" s="243">
        <f>IF(Table334[[#This Row],[Category]]="Additional Money Earning Activities",Table334[[#This Row],[Account Deposit Amount]]-Table334[[#This Row],[Account Withdrawl Amount]], )</f>
        <v>0</v>
      </c>
      <c r="L99" s="243">
        <f>IF(Table334[[#This Row],[Category]]="Sponsorships",Table334[[#This Row],[Account Deposit Amount]]-Table334[[#This Row],[Account Withdrawl Amount]], )</f>
        <v>0</v>
      </c>
      <c r="M99" s="243">
        <f>IF(Table334[[#This Row],[Category]]="Troop Dues",Table334[[#This Row],[Account Deposit Amount]]-Table334[[#This Row],[Account Withdrawl Amount]], )</f>
        <v>0</v>
      </c>
      <c r="N99" s="243">
        <f>IF(Table334[[#This Row],[Category]]="Other Income",Table334[[#This Row],[Account Deposit Amount]]-Table334[[#This Row],[Account Withdrawl Amount]], )</f>
        <v>0</v>
      </c>
      <c r="O99" s="243">
        <f>IF(Table334[[#This Row],[Category]]="Registration",Table334[[#This Row],[Account Deposit Amount]]-Table334[[#This Row],[Account Withdrawl Amount]], )</f>
        <v>0</v>
      </c>
      <c r="P99" s="243">
        <f>IF(Table334[[#This Row],[Category]]="Insignia",Table334[[#This Row],[Account Deposit Amount]]-Table334[[#This Row],[Account Withdrawl Amount]], )</f>
        <v>0</v>
      </c>
      <c r="Q99" s="243">
        <f>IF(Table334[[#This Row],[Category]]="Activities/Program",Table334[[#This Row],[Account Deposit Amount]]-Table334[[#This Row],[Account Withdrawl Amount]], )</f>
        <v>0</v>
      </c>
      <c r="R99" s="243">
        <f>IF(Table334[[#This Row],[Category]]="Travel",Table334[[#This Row],[Account Deposit Amount]]-Table334[[#This Row],[Account Withdrawl Amount]], )</f>
        <v>0</v>
      </c>
      <c r="S99" s="243">
        <f>IF(Table334[[#This Row],[Category]]="Parties Food &amp; Beverages",Table334[[#This Row],[Account Deposit Amount]]-Table334[[#This Row],[Account Withdrawl Amount]], )</f>
        <v>0</v>
      </c>
      <c r="T99" s="243">
        <f>IF(Table334[[#This Row],[Category]]="Service Projects Donation",Table334[[#This Row],[Account Deposit Amount]]-Table334[[#This Row],[Account Withdrawl Amount]], )</f>
        <v>0</v>
      </c>
      <c r="U99" s="243">
        <f>IF(Table334[[#This Row],[Category]]="Cookie Debt",Table334[[#This Row],[Account Deposit Amount]]-Table334[[#This Row],[Account Withdrawl Amount]], )</f>
        <v>0</v>
      </c>
      <c r="V99" s="243">
        <f>IF(Table334[[#This Row],[Category]]="Other Expense",Table334[[#This Row],[Account Deposit Amount]]-Table334[[#This Row],[Account Withdrawl Amount]], )</f>
        <v>0</v>
      </c>
    </row>
    <row r="100" spans="1:22">
      <c r="A100" s="225"/>
      <c r="B100" s="241"/>
      <c r="C100" s="244"/>
      <c r="D100" s="225"/>
      <c r="E100" s="242"/>
      <c r="F100" s="242"/>
      <c r="G100" s="243">
        <f t="shared" si="3"/>
        <v>2518.9699999999939</v>
      </c>
      <c r="H100" s="224"/>
      <c r="I100" s="243">
        <f>IF(Table334[[#This Row],[Category]]="Fall Product",Table334[[#This Row],[Account Deposit Amount]]-Table334[[#This Row],[Account Withdrawl Amount]], )</f>
        <v>0</v>
      </c>
      <c r="J100" s="243">
        <f>IF(Table334[[#This Row],[Category]]="Cookies",Table334[[#This Row],[Account Deposit Amount]]-Table334[[#This Row],[Account Withdrawl Amount]], )</f>
        <v>0</v>
      </c>
      <c r="K100" s="243">
        <f>IF(Table334[[#This Row],[Category]]="Additional Money Earning Activities",Table334[[#This Row],[Account Deposit Amount]]-Table334[[#This Row],[Account Withdrawl Amount]], )</f>
        <v>0</v>
      </c>
      <c r="L100" s="243">
        <f>IF(Table334[[#This Row],[Category]]="Sponsorships",Table334[[#This Row],[Account Deposit Amount]]-Table334[[#This Row],[Account Withdrawl Amount]], )</f>
        <v>0</v>
      </c>
      <c r="M100" s="243">
        <f>IF(Table334[[#This Row],[Category]]="Troop Dues",Table334[[#This Row],[Account Deposit Amount]]-Table334[[#This Row],[Account Withdrawl Amount]], )</f>
        <v>0</v>
      </c>
      <c r="N100" s="243">
        <f>IF(Table334[[#This Row],[Category]]="Other Income",Table334[[#This Row],[Account Deposit Amount]]-Table334[[#This Row],[Account Withdrawl Amount]], )</f>
        <v>0</v>
      </c>
      <c r="O100" s="243">
        <f>IF(Table334[[#This Row],[Category]]="Registration",Table334[[#This Row],[Account Deposit Amount]]-Table334[[#This Row],[Account Withdrawl Amount]], )</f>
        <v>0</v>
      </c>
      <c r="P100" s="243">
        <f>IF(Table334[[#This Row],[Category]]="Insignia",Table334[[#This Row],[Account Deposit Amount]]-Table334[[#This Row],[Account Withdrawl Amount]], )</f>
        <v>0</v>
      </c>
      <c r="Q100" s="243">
        <f>IF(Table334[[#This Row],[Category]]="Activities/Program",Table334[[#This Row],[Account Deposit Amount]]-Table334[[#This Row],[Account Withdrawl Amount]], )</f>
        <v>0</v>
      </c>
      <c r="R100" s="243">
        <f>IF(Table334[[#This Row],[Category]]="Travel",Table334[[#This Row],[Account Deposit Amount]]-Table334[[#This Row],[Account Withdrawl Amount]], )</f>
        <v>0</v>
      </c>
      <c r="S100" s="243">
        <f>IF(Table334[[#This Row],[Category]]="Parties Food &amp; Beverages",Table334[[#This Row],[Account Deposit Amount]]-Table334[[#This Row],[Account Withdrawl Amount]], )</f>
        <v>0</v>
      </c>
      <c r="T100" s="243">
        <f>IF(Table334[[#This Row],[Category]]="Service Projects Donation",Table334[[#This Row],[Account Deposit Amount]]-Table334[[#This Row],[Account Withdrawl Amount]], )</f>
        <v>0</v>
      </c>
      <c r="U100" s="243">
        <f>IF(Table334[[#This Row],[Category]]="Cookie Debt",Table334[[#This Row],[Account Deposit Amount]]-Table334[[#This Row],[Account Withdrawl Amount]], )</f>
        <v>0</v>
      </c>
      <c r="V100" s="243">
        <f>IF(Table334[[#This Row],[Category]]="Other Expense",Table334[[#This Row],[Account Deposit Amount]]-Table334[[#This Row],[Account Withdrawl Amount]], )</f>
        <v>0</v>
      </c>
    </row>
    <row r="101" spans="1:22">
      <c r="A101" s="225"/>
      <c r="B101" s="241"/>
      <c r="C101" s="244"/>
      <c r="D101" s="225"/>
      <c r="E101" s="242"/>
      <c r="F101" s="242"/>
      <c r="G101" s="243">
        <f t="shared" si="3"/>
        <v>2518.9699999999939</v>
      </c>
      <c r="H101" s="247"/>
      <c r="I101" s="243">
        <f>IF(Table334[[#This Row],[Category]]="Fall Product",Table334[[#This Row],[Account Deposit Amount]]-Table334[[#This Row],[Account Withdrawl Amount]], )</f>
        <v>0</v>
      </c>
      <c r="J101" s="243">
        <f>IF(Table334[[#This Row],[Category]]="Cookies",Table334[[#This Row],[Account Deposit Amount]]-Table334[[#This Row],[Account Withdrawl Amount]], )</f>
        <v>0</v>
      </c>
      <c r="K101" s="243">
        <f>IF(Table334[[#This Row],[Category]]="Additional Money Earning Activities",Table334[[#This Row],[Account Deposit Amount]]-Table334[[#This Row],[Account Withdrawl Amount]], )</f>
        <v>0</v>
      </c>
      <c r="L101" s="243">
        <f>IF(Table334[[#This Row],[Category]]="Sponsorships",Table334[[#This Row],[Account Deposit Amount]]-Table334[[#This Row],[Account Withdrawl Amount]], )</f>
        <v>0</v>
      </c>
      <c r="M101" s="243">
        <f>IF(Table334[[#This Row],[Category]]="Troop Dues",Table334[[#This Row],[Account Deposit Amount]]-Table334[[#This Row],[Account Withdrawl Amount]], )</f>
        <v>0</v>
      </c>
      <c r="N101" s="243">
        <f>IF(Table334[[#This Row],[Category]]="Other Income",Table334[[#This Row],[Account Deposit Amount]]-Table334[[#This Row],[Account Withdrawl Amount]], )</f>
        <v>0</v>
      </c>
      <c r="O101" s="243">
        <f>IF(Table334[[#This Row],[Category]]="Registration",Table334[[#This Row],[Account Deposit Amount]]-Table334[[#This Row],[Account Withdrawl Amount]], )</f>
        <v>0</v>
      </c>
      <c r="P101" s="243">
        <f>IF(Table334[[#This Row],[Category]]="Insignia",Table334[[#This Row],[Account Deposit Amount]]-Table334[[#This Row],[Account Withdrawl Amount]], )</f>
        <v>0</v>
      </c>
      <c r="Q101" s="243">
        <f>IF(Table334[[#This Row],[Category]]="Activities/Program",Table334[[#This Row],[Account Deposit Amount]]-Table334[[#This Row],[Account Withdrawl Amount]], )</f>
        <v>0</v>
      </c>
      <c r="R101" s="243">
        <f>IF(Table334[[#This Row],[Category]]="Travel",Table334[[#This Row],[Account Deposit Amount]]-Table334[[#This Row],[Account Withdrawl Amount]], )</f>
        <v>0</v>
      </c>
      <c r="S101" s="243">
        <f>IF(Table334[[#This Row],[Category]]="Parties Food &amp; Beverages",Table334[[#This Row],[Account Deposit Amount]]-Table334[[#This Row],[Account Withdrawl Amount]], )</f>
        <v>0</v>
      </c>
      <c r="T101" s="243">
        <f>IF(Table334[[#This Row],[Category]]="Service Projects Donation",Table334[[#This Row],[Account Deposit Amount]]-Table334[[#This Row],[Account Withdrawl Amount]], )</f>
        <v>0</v>
      </c>
      <c r="U101" s="243">
        <f>IF(Table334[[#This Row],[Category]]="Cookie Debt",Table334[[#This Row],[Account Deposit Amount]]-Table334[[#This Row],[Account Withdrawl Amount]], )</f>
        <v>0</v>
      </c>
      <c r="V101" s="243">
        <f>IF(Table334[[#This Row],[Category]]="Other Expense",Table334[[#This Row],[Account Deposit Amount]]-Table334[[#This Row],[Account Withdrawl Amount]], )</f>
        <v>0</v>
      </c>
    </row>
    <row r="102" spans="1:22">
      <c r="A102" s="225"/>
      <c r="B102" s="241"/>
      <c r="C102" s="244"/>
      <c r="D102" s="225"/>
      <c r="E102" s="242"/>
      <c r="F102" s="242"/>
      <c r="G102" s="243">
        <f t="shared" si="3"/>
        <v>2518.9699999999939</v>
      </c>
      <c r="H102" s="224"/>
      <c r="I102" s="243">
        <f>IF(Table334[[#This Row],[Category]]="Fall Product",Table334[[#This Row],[Account Deposit Amount]]-Table334[[#This Row],[Account Withdrawl Amount]], )</f>
        <v>0</v>
      </c>
      <c r="J102" s="243">
        <f>IF(Table334[[#This Row],[Category]]="Cookies",Table334[[#This Row],[Account Deposit Amount]]-Table334[[#This Row],[Account Withdrawl Amount]], )</f>
        <v>0</v>
      </c>
      <c r="K102" s="243">
        <f>IF(Table334[[#This Row],[Category]]="Additional Money Earning Activities",Table334[[#This Row],[Account Deposit Amount]]-Table334[[#This Row],[Account Withdrawl Amount]], )</f>
        <v>0</v>
      </c>
      <c r="L102" s="243">
        <f>IF(Table334[[#This Row],[Category]]="Sponsorships",Table334[[#This Row],[Account Deposit Amount]]-Table334[[#This Row],[Account Withdrawl Amount]], )</f>
        <v>0</v>
      </c>
      <c r="M102" s="243">
        <f>IF(Table334[[#This Row],[Category]]="Troop Dues",Table334[[#This Row],[Account Deposit Amount]]-Table334[[#This Row],[Account Withdrawl Amount]], )</f>
        <v>0</v>
      </c>
      <c r="N102" s="243">
        <f>IF(Table334[[#This Row],[Category]]="Other Income",Table334[[#This Row],[Account Deposit Amount]]-Table334[[#This Row],[Account Withdrawl Amount]], )</f>
        <v>0</v>
      </c>
      <c r="O102" s="243">
        <f>IF(Table334[[#This Row],[Category]]="Registration",Table334[[#This Row],[Account Deposit Amount]]-Table334[[#This Row],[Account Withdrawl Amount]], )</f>
        <v>0</v>
      </c>
      <c r="P102" s="243">
        <f>IF(Table334[[#This Row],[Category]]="Insignia",Table334[[#This Row],[Account Deposit Amount]]-Table334[[#This Row],[Account Withdrawl Amount]], )</f>
        <v>0</v>
      </c>
      <c r="Q102" s="243">
        <f>IF(Table334[[#This Row],[Category]]="Activities/Program",Table334[[#This Row],[Account Deposit Amount]]-Table334[[#This Row],[Account Withdrawl Amount]], )</f>
        <v>0</v>
      </c>
      <c r="R102" s="243">
        <f>IF(Table334[[#This Row],[Category]]="Travel",Table334[[#This Row],[Account Deposit Amount]]-Table334[[#This Row],[Account Withdrawl Amount]], )</f>
        <v>0</v>
      </c>
      <c r="S102" s="243">
        <f>IF(Table334[[#This Row],[Category]]="Parties Food &amp; Beverages",Table334[[#This Row],[Account Deposit Amount]]-Table334[[#This Row],[Account Withdrawl Amount]], )</f>
        <v>0</v>
      </c>
      <c r="T102" s="243">
        <f>IF(Table334[[#This Row],[Category]]="Service Projects Donation",Table334[[#This Row],[Account Deposit Amount]]-Table334[[#This Row],[Account Withdrawl Amount]], )</f>
        <v>0</v>
      </c>
      <c r="U102" s="243">
        <f>IF(Table334[[#This Row],[Category]]="Cookie Debt",Table334[[#This Row],[Account Deposit Amount]]-Table334[[#This Row],[Account Withdrawl Amount]], )</f>
        <v>0</v>
      </c>
      <c r="V102" s="243">
        <f>IF(Table334[[#This Row],[Category]]="Other Expense",Table334[[#This Row],[Account Deposit Amount]]-Table334[[#This Row],[Account Withdrawl Amount]], )</f>
        <v>0</v>
      </c>
    </row>
    <row r="103" spans="1:22">
      <c r="A103" s="225"/>
      <c r="B103" s="241"/>
      <c r="C103" s="244"/>
      <c r="D103" s="225"/>
      <c r="E103" s="242"/>
      <c r="F103" s="242"/>
      <c r="G103" s="243">
        <f t="shared" si="3"/>
        <v>2518.9699999999939</v>
      </c>
      <c r="H103" s="247"/>
      <c r="I103" s="243">
        <f>IF(Table334[[#This Row],[Category]]="Fall Product",Table334[[#This Row],[Account Deposit Amount]]-Table334[[#This Row],[Account Withdrawl Amount]], )</f>
        <v>0</v>
      </c>
      <c r="J103" s="243">
        <f>IF(Table334[[#This Row],[Category]]="Cookies",Table334[[#This Row],[Account Deposit Amount]]-Table334[[#This Row],[Account Withdrawl Amount]], )</f>
        <v>0</v>
      </c>
      <c r="K103" s="243">
        <f>IF(Table334[[#This Row],[Category]]="Additional Money Earning Activities",Table334[[#This Row],[Account Deposit Amount]]-Table334[[#This Row],[Account Withdrawl Amount]], )</f>
        <v>0</v>
      </c>
      <c r="L103" s="243">
        <f>IF(Table334[[#This Row],[Category]]="Sponsorships",Table334[[#This Row],[Account Deposit Amount]]-Table334[[#This Row],[Account Withdrawl Amount]], )</f>
        <v>0</v>
      </c>
      <c r="M103" s="243">
        <f>IF(Table334[[#This Row],[Category]]="Troop Dues",Table334[[#This Row],[Account Deposit Amount]]-Table334[[#This Row],[Account Withdrawl Amount]], )</f>
        <v>0</v>
      </c>
      <c r="N103" s="243">
        <f>IF(Table334[[#This Row],[Category]]="Other Income",Table334[[#This Row],[Account Deposit Amount]]-Table334[[#This Row],[Account Withdrawl Amount]], )</f>
        <v>0</v>
      </c>
      <c r="O103" s="243">
        <f>IF(Table334[[#This Row],[Category]]="Registration",Table334[[#This Row],[Account Deposit Amount]]-Table334[[#This Row],[Account Withdrawl Amount]], )</f>
        <v>0</v>
      </c>
      <c r="P103" s="243">
        <f>IF(Table334[[#This Row],[Category]]="Insignia",Table334[[#This Row],[Account Deposit Amount]]-Table334[[#This Row],[Account Withdrawl Amount]], )</f>
        <v>0</v>
      </c>
      <c r="Q103" s="243">
        <f>IF(Table334[[#This Row],[Category]]="Activities/Program",Table334[[#This Row],[Account Deposit Amount]]-Table334[[#This Row],[Account Withdrawl Amount]], )</f>
        <v>0</v>
      </c>
      <c r="R103" s="243">
        <f>IF(Table334[[#This Row],[Category]]="Travel",Table334[[#This Row],[Account Deposit Amount]]-Table334[[#This Row],[Account Withdrawl Amount]], )</f>
        <v>0</v>
      </c>
      <c r="S103" s="243">
        <f>IF(Table334[[#This Row],[Category]]="Parties Food &amp; Beverages",Table334[[#This Row],[Account Deposit Amount]]-Table334[[#This Row],[Account Withdrawl Amount]], )</f>
        <v>0</v>
      </c>
      <c r="T103" s="243">
        <f>IF(Table334[[#This Row],[Category]]="Service Projects Donation",Table334[[#This Row],[Account Deposit Amount]]-Table334[[#This Row],[Account Withdrawl Amount]], )</f>
        <v>0</v>
      </c>
      <c r="U103" s="243">
        <f>IF(Table334[[#This Row],[Category]]="Cookie Debt",Table334[[#This Row],[Account Deposit Amount]]-Table334[[#This Row],[Account Withdrawl Amount]], )</f>
        <v>0</v>
      </c>
      <c r="V103" s="243">
        <f>IF(Table334[[#This Row],[Category]]="Other Expense",Table334[[#This Row],[Account Deposit Amount]]-Table334[[#This Row],[Account Withdrawl Amount]], )</f>
        <v>0</v>
      </c>
    </row>
    <row r="104" spans="1:22">
      <c r="A104" s="225"/>
      <c r="B104" s="241"/>
      <c r="C104" s="244"/>
      <c r="D104" s="225"/>
      <c r="E104" s="242"/>
      <c r="F104" s="242"/>
      <c r="G104" s="243">
        <f t="shared" si="3"/>
        <v>2518.9699999999939</v>
      </c>
      <c r="H104" s="224"/>
      <c r="I104" s="243">
        <f>IF(Table334[[#This Row],[Category]]="Fall Product",Table334[[#This Row],[Account Deposit Amount]]-Table334[[#This Row],[Account Withdrawl Amount]], )</f>
        <v>0</v>
      </c>
      <c r="J104" s="243">
        <f>IF(Table334[[#This Row],[Category]]="Cookies",Table334[[#This Row],[Account Deposit Amount]]-Table334[[#This Row],[Account Withdrawl Amount]], )</f>
        <v>0</v>
      </c>
      <c r="K104" s="243">
        <f>IF(Table334[[#This Row],[Category]]="Additional Money Earning Activities",Table334[[#This Row],[Account Deposit Amount]]-Table334[[#This Row],[Account Withdrawl Amount]], )</f>
        <v>0</v>
      </c>
      <c r="L104" s="243">
        <f>IF(Table334[[#This Row],[Category]]="Sponsorships",Table334[[#This Row],[Account Deposit Amount]]-Table334[[#This Row],[Account Withdrawl Amount]], )</f>
        <v>0</v>
      </c>
      <c r="M104" s="243">
        <f>IF(Table334[[#This Row],[Category]]="Troop Dues",Table334[[#This Row],[Account Deposit Amount]]-Table334[[#This Row],[Account Withdrawl Amount]], )</f>
        <v>0</v>
      </c>
      <c r="N104" s="243">
        <f>IF(Table334[[#This Row],[Category]]="Other Income",Table334[[#This Row],[Account Deposit Amount]]-Table334[[#This Row],[Account Withdrawl Amount]], )</f>
        <v>0</v>
      </c>
      <c r="O104" s="243">
        <f>IF(Table334[[#This Row],[Category]]="Registration",Table334[[#This Row],[Account Deposit Amount]]-Table334[[#This Row],[Account Withdrawl Amount]], )</f>
        <v>0</v>
      </c>
      <c r="P104" s="243">
        <f>IF(Table334[[#This Row],[Category]]="Insignia",Table334[[#This Row],[Account Deposit Amount]]-Table334[[#This Row],[Account Withdrawl Amount]], )</f>
        <v>0</v>
      </c>
      <c r="Q104" s="243">
        <f>IF(Table334[[#This Row],[Category]]="Activities/Program",Table334[[#This Row],[Account Deposit Amount]]-Table334[[#This Row],[Account Withdrawl Amount]], )</f>
        <v>0</v>
      </c>
      <c r="R104" s="243">
        <f>IF(Table334[[#This Row],[Category]]="Travel",Table334[[#This Row],[Account Deposit Amount]]-Table334[[#This Row],[Account Withdrawl Amount]], )</f>
        <v>0</v>
      </c>
      <c r="S104" s="243">
        <f>IF(Table334[[#This Row],[Category]]="Parties Food &amp; Beverages",Table334[[#This Row],[Account Deposit Amount]]-Table334[[#This Row],[Account Withdrawl Amount]], )</f>
        <v>0</v>
      </c>
      <c r="T104" s="243">
        <f>IF(Table334[[#This Row],[Category]]="Service Projects Donation",Table334[[#This Row],[Account Deposit Amount]]-Table334[[#This Row],[Account Withdrawl Amount]], )</f>
        <v>0</v>
      </c>
      <c r="U104" s="243">
        <f>IF(Table334[[#This Row],[Category]]="Cookie Debt",Table334[[#This Row],[Account Deposit Amount]]-Table334[[#This Row],[Account Withdrawl Amount]], )</f>
        <v>0</v>
      </c>
      <c r="V104" s="243">
        <f>IF(Table334[[#This Row],[Category]]="Other Expense",Table334[[#This Row],[Account Deposit Amount]]-Table334[[#This Row],[Account Withdrawl Amount]], )</f>
        <v>0</v>
      </c>
    </row>
    <row r="105" spans="1:22">
      <c r="A105" s="225"/>
      <c r="B105" s="241"/>
      <c r="C105" s="244"/>
      <c r="D105" s="225"/>
      <c r="E105" s="242"/>
      <c r="F105" s="242"/>
      <c r="G105" s="243">
        <f t="shared" si="3"/>
        <v>2518.9699999999939</v>
      </c>
      <c r="H105" s="247"/>
      <c r="I105" s="243">
        <f>IF(Table334[[#This Row],[Category]]="Fall Product",Table334[[#This Row],[Account Deposit Amount]]-Table334[[#This Row],[Account Withdrawl Amount]], )</f>
        <v>0</v>
      </c>
      <c r="J105" s="243">
        <f>IF(Table334[[#This Row],[Category]]="Cookies",Table334[[#This Row],[Account Deposit Amount]]-Table334[[#This Row],[Account Withdrawl Amount]], )</f>
        <v>0</v>
      </c>
      <c r="K105" s="243">
        <f>IF(Table334[[#This Row],[Category]]="Additional Money Earning Activities",Table334[[#This Row],[Account Deposit Amount]]-Table334[[#This Row],[Account Withdrawl Amount]], )</f>
        <v>0</v>
      </c>
      <c r="L105" s="243">
        <f>IF(Table334[[#This Row],[Category]]="Sponsorships",Table334[[#This Row],[Account Deposit Amount]]-Table334[[#This Row],[Account Withdrawl Amount]], )</f>
        <v>0</v>
      </c>
      <c r="M105" s="243">
        <f>IF(Table334[[#This Row],[Category]]="Troop Dues",Table334[[#This Row],[Account Deposit Amount]]-Table334[[#This Row],[Account Withdrawl Amount]], )</f>
        <v>0</v>
      </c>
      <c r="N105" s="243">
        <f>IF(Table334[[#This Row],[Category]]="Other Income",Table334[[#This Row],[Account Deposit Amount]]-Table334[[#This Row],[Account Withdrawl Amount]], )</f>
        <v>0</v>
      </c>
      <c r="O105" s="243">
        <f>IF(Table334[[#This Row],[Category]]="Registration",Table334[[#This Row],[Account Deposit Amount]]-Table334[[#This Row],[Account Withdrawl Amount]], )</f>
        <v>0</v>
      </c>
      <c r="P105" s="243">
        <f>IF(Table334[[#This Row],[Category]]="Insignia",Table334[[#This Row],[Account Deposit Amount]]-Table334[[#This Row],[Account Withdrawl Amount]], )</f>
        <v>0</v>
      </c>
      <c r="Q105" s="243">
        <f>IF(Table334[[#This Row],[Category]]="Activities/Program",Table334[[#This Row],[Account Deposit Amount]]-Table334[[#This Row],[Account Withdrawl Amount]], )</f>
        <v>0</v>
      </c>
      <c r="R105" s="243">
        <f>IF(Table334[[#This Row],[Category]]="Travel",Table334[[#This Row],[Account Deposit Amount]]-Table334[[#This Row],[Account Withdrawl Amount]], )</f>
        <v>0</v>
      </c>
      <c r="S105" s="243">
        <f>IF(Table334[[#This Row],[Category]]="Parties Food &amp; Beverages",Table334[[#This Row],[Account Deposit Amount]]-Table334[[#This Row],[Account Withdrawl Amount]], )</f>
        <v>0</v>
      </c>
      <c r="T105" s="243">
        <f>IF(Table334[[#This Row],[Category]]="Service Projects Donation",Table334[[#This Row],[Account Deposit Amount]]-Table334[[#This Row],[Account Withdrawl Amount]], )</f>
        <v>0</v>
      </c>
      <c r="U105" s="243">
        <f>IF(Table334[[#This Row],[Category]]="Cookie Debt",Table334[[#This Row],[Account Deposit Amount]]-Table334[[#This Row],[Account Withdrawl Amount]], )</f>
        <v>0</v>
      </c>
      <c r="V105" s="243">
        <f>IF(Table334[[#This Row],[Category]]="Other Expense",Table334[[#This Row],[Account Deposit Amount]]-Table334[[#This Row],[Account Withdrawl Amount]], )</f>
        <v>0</v>
      </c>
    </row>
    <row r="106" spans="1:22">
      <c r="A106" s="225"/>
      <c r="B106" s="241"/>
      <c r="C106" s="244"/>
      <c r="D106" s="225"/>
      <c r="E106" s="242"/>
      <c r="F106" s="242"/>
      <c r="G106" s="243">
        <f t="shared" si="3"/>
        <v>2518.9699999999939</v>
      </c>
      <c r="H106" s="224"/>
      <c r="I106" s="243">
        <f>IF(Table334[[#This Row],[Category]]="Fall Product",Table334[[#This Row],[Account Deposit Amount]]-Table334[[#This Row],[Account Withdrawl Amount]], )</f>
        <v>0</v>
      </c>
      <c r="J106" s="243">
        <f>IF(Table334[[#This Row],[Category]]="Cookies",Table334[[#This Row],[Account Deposit Amount]]-Table334[[#This Row],[Account Withdrawl Amount]], )</f>
        <v>0</v>
      </c>
      <c r="K106" s="243">
        <f>IF(Table334[[#This Row],[Category]]="Additional Money Earning Activities",Table334[[#This Row],[Account Deposit Amount]]-Table334[[#This Row],[Account Withdrawl Amount]], )</f>
        <v>0</v>
      </c>
      <c r="L106" s="243">
        <f>IF(Table334[[#This Row],[Category]]="Sponsorships",Table334[[#This Row],[Account Deposit Amount]]-Table334[[#This Row],[Account Withdrawl Amount]], )</f>
        <v>0</v>
      </c>
      <c r="M106" s="243">
        <f>IF(Table334[[#This Row],[Category]]="Troop Dues",Table334[[#This Row],[Account Deposit Amount]]-Table334[[#This Row],[Account Withdrawl Amount]], )</f>
        <v>0</v>
      </c>
      <c r="N106" s="243">
        <f>IF(Table334[[#This Row],[Category]]="Other Income",Table334[[#This Row],[Account Deposit Amount]]-Table334[[#This Row],[Account Withdrawl Amount]], )</f>
        <v>0</v>
      </c>
      <c r="O106" s="243">
        <f>IF(Table334[[#This Row],[Category]]="Registration",Table334[[#This Row],[Account Deposit Amount]]-Table334[[#This Row],[Account Withdrawl Amount]], )</f>
        <v>0</v>
      </c>
      <c r="P106" s="243">
        <f>IF(Table334[[#This Row],[Category]]="Insignia",Table334[[#This Row],[Account Deposit Amount]]-Table334[[#This Row],[Account Withdrawl Amount]], )</f>
        <v>0</v>
      </c>
      <c r="Q106" s="243">
        <f>IF(Table334[[#This Row],[Category]]="Activities/Program",Table334[[#This Row],[Account Deposit Amount]]-Table334[[#This Row],[Account Withdrawl Amount]], )</f>
        <v>0</v>
      </c>
      <c r="R106" s="243">
        <f>IF(Table334[[#This Row],[Category]]="Travel",Table334[[#This Row],[Account Deposit Amount]]-Table334[[#This Row],[Account Withdrawl Amount]], )</f>
        <v>0</v>
      </c>
      <c r="S106" s="243">
        <f>IF(Table334[[#This Row],[Category]]="Parties Food &amp; Beverages",Table334[[#This Row],[Account Deposit Amount]]-Table334[[#This Row],[Account Withdrawl Amount]], )</f>
        <v>0</v>
      </c>
      <c r="T106" s="243">
        <f>IF(Table334[[#This Row],[Category]]="Service Projects Donation",Table334[[#This Row],[Account Deposit Amount]]-Table334[[#This Row],[Account Withdrawl Amount]], )</f>
        <v>0</v>
      </c>
      <c r="U106" s="243">
        <f>IF(Table334[[#This Row],[Category]]="Cookie Debt",Table334[[#This Row],[Account Deposit Amount]]-Table334[[#This Row],[Account Withdrawl Amount]], )</f>
        <v>0</v>
      </c>
      <c r="V106" s="243">
        <f>IF(Table334[[#This Row],[Category]]="Other Expense",Table334[[#This Row],[Account Deposit Amount]]-Table334[[#This Row],[Account Withdrawl Amount]], )</f>
        <v>0</v>
      </c>
    </row>
    <row r="107" spans="1:22">
      <c r="A107" s="225"/>
      <c r="B107" s="241"/>
      <c r="C107" s="244"/>
      <c r="D107" s="225"/>
      <c r="E107" s="242"/>
      <c r="F107" s="242"/>
      <c r="G107" s="243">
        <f t="shared" si="3"/>
        <v>2518.9699999999939</v>
      </c>
      <c r="H107" s="247"/>
      <c r="I107" s="243">
        <f>IF(Table334[[#This Row],[Category]]="Fall Product",Table334[[#This Row],[Account Deposit Amount]]-Table334[[#This Row],[Account Withdrawl Amount]], )</f>
        <v>0</v>
      </c>
      <c r="J107" s="243">
        <f>IF(Table334[[#This Row],[Category]]="Cookies",Table334[[#This Row],[Account Deposit Amount]]-Table334[[#This Row],[Account Withdrawl Amount]], )</f>
        <v>0</v>
      </c>
      <c r="K107" s="243">
        <f>IF(Table334[[#This Row],[Category]]="Additional Money Earning Activities",Table334[[#This Row],[Account Deposit Amount]]-Table334[[#This Row],[Account Withdrawl Amount]], )</f>
        <v>0</v>
      </c>
      <c r="L107" s="243">
        <f>IF(Table334[[#This Row],[Category]]="Sponsorships",Table334[[#This Row],[Account Deposit Amount]]-Table334[[#This Row],[Account Withdrawl Amount]], )</f>
        <v>0</v>
      </c>
      <c r="M107" s="243">
        <f>IF(Table334[[#This Row],[Category]]="Troop Dues",Table334[[#This Row],[Account Deposit Amount]]-Table334[[#This Row],[Account Withdrawl Amount]], )</f>
        <v>0</v>
      </c>
      <c r="N107" s="243">
        <f>IF(Table334[[#This Row],[Category]]="Other Income",Table334[[#This Row],[Account Deposit Amount]]-Table334[[#This Row],[Account Withdrawl Amount]], )</f>
        <v>0</v>
      </c>
      <c r="O107" s="243">
        <f>IF(Table334[[#This Row],[Category]]="Registration",Table334[[#This Row],[Account Deposit Amount]]-Table334[[#This Row],[Account Withdrawl Amount]], )</f>
        <v>0</v>
      </c>
      <c r="P107" s="243">
        <f>IF(Table334[[#This Row],[Category]]="Insignia",Table334[[#This Row],[Account Deposit Amount]]-Table334[[#This Row],[Account Withdrawl Amount]], )</f>
        <v>0</v>
      </c>
      <c r="Q107" s="243">
        <f>IF(Table334[[#This Row],[Category]]="Activities/Program",Table334[[#This Row],[Account Deposit Amount]]-Table334[[#This Row],[Account Withdrawl Amount]], )</f>
        <v>0</v>
      </c>
      <c r="R107" s="243">
        <f>IF(Table334[[#This Row],[Category]]="Travel",Table334[[#This Row],[Account Deposit Amount]]-Table334[[#This Row],[Account Withdrawl Amount]], )</f>
        <v>0</v>
      </c>
      <c r="S107" s="243">
        <f>IF(Table334[[#This Row],[Category]]="Parties Food &amp; Beverages",Table334[[#This Row],[Account Deposit Amount]]-Table334[[#This Row],[Account Withdrawl Amount]], )</f>
        <v>0</v>
      </c>
      <c r="T107" s="243">
        <f>IF(Table334[[#This Row],[Category]]="Service Projects Donation",Table334[[#This Row],[Account Deposit Amount]]-Table334[[#This Row],[Account Withdrawl Amount]], )</f>
        <v>0</v>
      </c>
      <c r="U107" s="243">
        <f>IF(Table334[[#This Row],[Category]]="Cookie Debt",Table334[[#This Row],[Account Deposit Amount]]-Table334[[#This Row],[Account Withdrawl Amount]], )</f>
        <v>0</v>
      </c>
      <c r="V107" s="243">
        <f>IF(Table334[[#This Row],[Category]]="Other Expense",Table334[[#This Row],[Account Deposit Amount]]-Table334[[#This Row],[Account Withdrawl Amount]], )</f>
        <v>0</v>
      </c>
    </row>
    <row r="108" spans="1:22">
      <c r="A108" s="225"/>
      <c r="B108" s="241"/>
      <c r="C108" s="244"/>
      <c r="D108" s="225"/>
      <c r="E108" s="242"/>
      <c r="F108" s="242"/>
      <c r="G108" s="243">
        <f t="shared" si="3"/>
        <v>2518.9699999999939</v>
      </c>
      <c r="H108" s="224"/>
      <c r="I108" s="243">
        <f>IF(Table334[[#This Row],[Category]]="Fall Product",Table334[[#This Row],[Account Deposit Amount]]-Table334[[#This Row],[Account Withdrawl Amount]], )</f>
        <v>0</v>
      </c>
      <c r="J108" s="243">
        <f>IF(Table334[[#This Row],[Category]]="Cookies",Table334[[#This Row],[Account Deposit Amount]]-Table334[[#This Row],[Account Withdrawl Amount]], )</f>
        <v>0</v>
      </c>
      <c r="K108" s="243">
        <f>IF(Table334[[#This Row],[Category]]="Additional Money Earning Activities",Table334[[#This Row],[Account Deposit Amount]]-Table334[[#This Row],[Account Withdrawl Amount]], )</f>
        <v>0</v>
      </c>
      <c r="L108" s="243">
        <f>IF(Table334[[#This Row],[Category]]="Sponsorships",Table334[[#This Row],[Account Deposit Amount]]-Table334[[#This Row],[Account Withdrawl Amount]], )</f>
        <v>0</v>
      </c>
      <c r="M108" s="243">
        <f>IF(Table334[[#This Row],[Category]]="Troop Dues",Table334[[#This Row],[Account Deposit Amount]]-Table334[[#This Row],[Account Withdrawl Amount]], )</f>
        <v>0</v>
      </c>
      <c r="N108" s="243">
        <f>IF(Table334[[#This Row],[Category]]="Other Income",Table334[[#This Row],[Account Deposit Amount]]-Table334[[#This Row],[Account Withdrawl Amount]], )</f>
        <v>0</v>
      </c>
      <c r="O108" s="243">
        <f>IF(Table334[[#This Row],[Category]]="Registration",Table334[[#This Row],[Account Deposit Amount]]-Table334[[#This Row],[Account Withdrawl Amount]], )</f>
        <v>0</v>
      </c>
      <c r="P108" s="243">
        <f>IF(Table334[[#This Row],[Category]]="Insignia",Table334[[#This Row],[Account Deposit Amount]]-Table334[[#This Row],[Account Withdrawl Amount]], )</f>
        <v>0</v>
      </c>
      <c r="Q108" s="243">
        <f>IF(Table334[[#This Row],[Category]]="Activities/Program",Table334[[#This Row],[Account Deposit Amount]]-Table334[[#This Row],[Account Withdrawl Amount]], )</f>
        <v>0</v>
      </c>
      <c r="R108" s="243">
        <f>IF(Table334[[#This Row],[Category]]="Travel",Table334[[#This Row],[Account Deposit Amount]]-Table334[[#This Row],[Account Withdrawl Amount]], )</f>
        <v>0</v>
      </c>
      <c r="S108" s="243">
        <f>IF(Table334[[#This Row],[Category]]="Parties Food &amp; Beverages",Table334[[#This Row],[Account Deposit Amount]]-Table334[[#This Row],[Account Withdrawl Amount]], )</f>
        <v>0</v>
      </c>
      <c r="T108" s="243">
        <f>IF(Table334[[#This Row],[Category]]="Service Projects Donation",Table334[[#This Row],[Account Deposit Amount]]-Table334[[#This Row],[Account Withdrawl Amount]], )</f>
        <v>0</v>
      </c>
      <c r="U108" s="243">
        <f>IF(Table334[[#This Row],[Category]]="Cookie Debt",Table334[[#This Row],[Account Deposit Amount]]-Table334[[#This Row],[Account Withdrawl Amount]], )</f>
        <v>0</v>
      </c>
      <c r="V108" s="243">
        <f>IF(Table334[[#This Row],[Category]]="Other Expense",Table334[[#This Row],[Account Deposit Amount]]-Table334[[#This Row],[Account Withdrawl Amount]], )</f>
        <v>0</v>
      </c>
    </row>
    <row r="109" spans="1:22">
      <c r="A109" s="225"/>
      <c r="B109" s="241"/>
      <c r="C109" s="244"/>
      <c r="D109" s="225"/>
      <c r="E109" s="242"/>
      <c r="F109" s="242"/>
      <c r="G109" s="243">
        <f t="shared" si="3"/>
        <v>2518.9699999999939</v>
      </c>
      <c r="H109" s="247"/>
      <c r="I109" s="243">
        <f>IF(Table334[[#This Row],[Category]]="Fall Product",Table334[[#This Row],[Account Deposit Amount]]-Table334[[#This Row],[Account Withdrawl Amount]], )</f>
        <v>0</v>
      </c>
      <c r="J109" s="243">
        <f>IF(Table334[[#This Row],[Category]]="Cookies",Table334[[#This Row],[Account Deposit Amount]]-Table334[[#This Row],[Account Withdrawl Amount]], )</f>
        <v>0</v>
      </c>
      <c r="K109" s="243">
        <f>IF(Table334[[#This Row],[Category]]="Additional Money Earning Activities",Table334[[#This Row],[Account Deposit Amount]]-Table334[[#This Row],[Account Withdrawl Amount]], )</f>
        <v>0</v>
      </c>
      <c r="L109" s="243">
        <f>IF(Table334[[#This Row],[Category]]="Sponsorships",Table334[[#This Row],[Account Deposit Amount]]-Table334[[#This Row],[Account Withdrawl Amount]], )</f>
        <v>0</v>
      </c>
      <c r="M109" s="243">
        <f>IF(Table334[[#This Row],[Category]]="Troop Dues",Table334[[#This Row],[Account Deposit Amount]]-Table334[[#This Row],[Account Withdrawl Amount]], )</f>
        <v>0</v>
      </c>
      <c r="N109" s="243">
        <f>IF(Table334[[#This Row],[Category]]="Other Income",Table334[[#This Row],[Account Deposit Amount]]-Table334[[#This Row],[Account Withdrawl Amount]], )</f>
        <v>0</v>
      </c>
      <c r="O109" s="243">
        <f>IF(Table334[[#This Row],[Category]]="Registration",Table334[[#This Row],[Account Deposit Amount]]-Table334[[#This Row],[Account Withdrawl Amount]], )</f>
        <v>0</v>
      </c>
      <c r="P109" s="243">
        <f>IF(Table334[[#This Row],[Category]]="Insignia",Table334[[#This Row],[Account Deposit Amount]]-Table334[[#This Row],[Account Withdrawl Amount]], )</f>
        <v>0</v>
      </c>
      <c r="Q109" s="243">
        <f>IF(Table334[[#This Row],[Category]]="Activities/Program",Table334[[#This Row],[Account Deposit Amount]]-Table334[[#This Row],[Account Withdrawl Amount]], )</f>
        <v>0</v>
      </c>
      <c r="R109" s="243">
        <f>IF(Table334[[#This Row],[Category]]="Travel",Table334[[#This Row],[Account Deposit Amount]]-Table334[[#This Row],[Account Withdrawl Amount]], )</f>
        <v>0</v>
      </c>
      <c r="S109" s="243">
        <f>IF(Table334[[#This Row],[Category]]="Parties Food &amp; Beverages",Table334[[#This Row],[Account Deposit Amount]]-Table334[[#This Row],[Account Withdrawl Amount]], )</f>
        <v>0</v>
      </c>
      <c r="T109" s="243">
        <f>IF(Table334[[#This Row],[Category]]="Service Projects Donation",Table334[[#This Row],[Account Deposit Amount]]-Table334[[#This Row],[Account Withdrawl Amount]], )</f>
        <v>0</v>
      </c>
      <c r="U109" s="243">
        <f>IF(Table334[[#This Row],[Category]]="Cookie Debt",Table334[[#This Row],[Account Deposit Amount]]-Table334[[#This Row],[Account Withdrawl Amount]], )</f>
        <v>0</v>
      </c>
      <c r="V109" s="243">
        <f>IF(Table334[[#This Row],[Category]]="Other Expense",Table334[[#This Row],[Account Deposit Amount]]-Table334[[#This Row],[Account Withdrawl Amount]], )</f>
        <v>0</v>
      </c>
    </row>
    <row r="110" spans="1:22">
      <c r="A110" s="225"/>
      <c r="B110" s="241"/>
      <c r="C110" s="244"/>
      <c r="D110" s="224"/>
      <c r="E110" s="242"/>
      <c r="F110" s="242"/>
      <c r="G110" s="243">
        <f t="shared" ref="G110:G116" si="4">G109+E110-F110</f>
        <v>2518.9699999999939</v>
      </c>
      <c r="H110" s="224"/>
      <c r="I110" s="243">
        <f>IF(Table334[[#This Row],[Category]]="Fall Product",Table334[[#This Row],[Account Deposit Amount]]-Table334[[#This Row],[Account Withdrawl Amount]], )</f>
        <v>0</v>
      </c>
      <c r="J110" s="243">
        <f>IF(Table334[[#This Row],[Category]]="Cookies",Table334[[#This Row],[Account Deposit Amount]]-Table334[[#This Row],[Account Withdrawl Amount]], )</f>
        <v>0</v>
      </c>
      <c r="K110" s="243">
        <f>IF(Table334[[#This Row],[Category]]="Additional Money Earning Activities",Table334[[#This Row],[Account Deposit Amount]]-Table334[[#This Row],[Account Withdrawl Amount]], )</f>
        <v>0</v>
      </c>
      <c r="L110" s="243">
        <f>IF(Table334[[#This Row],[Category]]="Sponsorships",Table334[[#This Row],[Account Deposit Amount]]-Table334[[#This Row],[Account Withdrawl Amount]], )</f>
        <v>0</v>
      </c>
      <c r="M110" s="243">
        <f>IF(Table334[[#This Row],[Category]]="Troop Dues",Table334[[#This Row],[Account Deposit Amount]]-Table334[[#This Row],[Account Withdrawl Amount]], )</f>
        <v>0</v>
      </c>
      <c r="N110" s="243">
        <f>IF(Table334[[#This Row],[Category]]="Other Income",Table334[[#This Row],[Account Deposit Amount]]-Table334[[#This Row],[Account Withdrawl Amount]], )</f>
        <v>0</v>
      </c>
      <c r="O110" s="243">
        <f>IF(Table334[[#This Row],[Category]]="Registration",Table334[[#This Row],[Account Deposit Amount]]-Table334[[#This Row],[Account Withdrawl Amount]], )</f>
        <v>0</v>
      </c>
      <c r="P110" s="243">
        <f>IF(Table334[[#This Row],[Category]]="Insignia",Table334[[#This Row],[Account Deposit Amount]]-Table334[[#This Row],[Account Withdrawl Amount]], )</f>
        <v>0</v>
      </c>
      <c r="Q110" s="243">
        <f>IF(Table334[[#This Row],[Category]]="Activities/Program",Table334[[#This Row],[Account Deposit Amount]]-Table334[[#This Row],[Account Withdrawl Amount]], )</f>
        <v>0</v>
      </c>
      <c r="R110" s="243">
        <f>IF(Table334[[#This Row],[Category]]="Travel",Table334[[#This Row],[Account Deposit Amount]]-Table334[[#This Row],[Account Withdrawl Amount]], )</f>
        <v>0</v>
      </c>
      <c r="S110" s="243">
        <f>IF(Table334[[#This Row],[Category]]="Parties Food &amp; Beverages",Table334[[#This Row],[Account Deposit Amount]]-Table334[[#This Row],[Account Withdrawl Amount]], )</f>
        <v>0</v>
      </c>
      <c r="T110" s="243">
        <f>IF(Table334[[#This Row],[Category]]="Service Projects Donation",Table334[[#This Row],[Account Deposit Amount]]-Table334[[#This Row],[Account Withdrawl Amount]], )</f>
        <v>0</v>
      </c>
      <c r="U110" s="243">
        <f>IF(Table334[[#This Row],[Category]]="Cookie Debt",Table334[[#This Row],[Account Deposit Amount]]-Table334[[#This Row],[Account Withdrawl Amount]], )</f>
        <v>0</v>
      </c>
      <c r="V110" s="243">
        <f>IF(Table334[[#This Row],[Category]]="Other Expense",Table334[[#This Row],[Account Deposit Amount]]-Table334[[#This Row],[Account Withdrawl Amount]], )</f>
        <v>0</v>
      </c>
    </row>
    <row r="111" spans="1:22">
      <c r="A111" s="225"/>
      <c r="B111" s="241"/>
      <c r="C111" s="244"/>
      <c r="D111" s="225"/>
      <c r="E111" s="242"/>
      <c r="F111" s="242"/>
      <c r="G111" s="243">
        <f t="shared" si="4"/>
        <v>2518.9699999999939</v>
      </c>
      <c r="H111" s="247"/>
      <c r="I111" s="243">
        <f>IF(Table334[[#This Row],[Category]]="Fall Product",Table334[[#This Row],[Account Deposit Amount]]-Table334[[#This Row],[Account Withdrawl Amount]], )</f>
        <v>0</v>
      </c>
      <c r="J111" s="243">
        <f>IF(Table334[[#This Row],[Category]]="Cookies",Table334[[#This Row],[Account Deposit Amount]]-Table334[[#This Row],[Account Withdrawl Amount]], )</f>
        <v>0</v>
      </c>
      <c r="K111" s="243">
        <f>IF(Table334[[#This Row],[Category]]="Additional Money Earning Activities",Table334[[#This Row],[Account Deposit Amount]]-Table334[[#This Row],[Account Withdrawl Amount]], )</f>
        <v>0</v>
      </c>
      <c r="L111" s="243">
        <f>IF(Table334[[#This Row],[Category]]="Sponsorships",Table334[[#This Row],[Account Deposit Amount]]-Table334[[#This Row],[Account Withdrawl Amount]], )</f>
        <v>0</v>
      </c>
      <c r="M111" s="243">
        <f>IF(Table334[[#This Row],[Category]]="Troop Dues",Table334[[#This Row],[Account Deposit Amount]]-Table334[[#This Row],[Account Withdrawl Amount]], )</f>
        <v>0</v>
      </c>
      <c r="N111" s="243">
        <f>IF(Table334[[#This Row],[Category]]="Other Income",Table334[[#This Row],[Account Deposit Amount]]-Table334[[#This Row],[Account Withdrawl Amount]], )</f>
        <v>0</v>
      </c>
      <c r="O111" s="243">
        <f>IF(Table334[[#This Row],[Category]]="Registration",Table334[[#This Row],[Account Deposit Amount]]-Table334[[#This Row],[Account Withdrawl Amount]], )</f>
        <v>0</v>
      </c>
      <c r="P111" s="243">
        <f>IF(Table334[[#This Row],[Category]]="Insignia",Table334[[#This Row],[Account Deposit Amount]]-Table334[[#This Row],[Account Withdrawl Amount]], )</f>
        <v>0</v>
      </c>
      <c r="Q111" s="243">
        <f>IF(Table334[[#This Row],[Category]]="Activities/Program",Table334[[#This Row],[Account Deposit Amount]]-Table334[[#This Row],[Account Withdrawl Amount]], )</f>
        <v>0</v>
      </c>
      <c r="R111" s="243">
        <f>IF(Table334[[#This Row],[Category]]="Travel",Table334[[#This Row],[Account Deposit Amount]]-Table334[[#This Row],[Account Withdrawl Amount]], )</f>
        <v>0</v>
      </c>
      <c r="S111" s="243">
        <f>IF(Table334[[#This Row],[Category]]="Parties Food &amp; Beverages",Table334[[#This Row],[Account Deposit Amount]]-Table334[[#This Row],[Account Withdrawl Amount]], )</f>
        <v>0</v>
      </c>
      <c r="T111" s="243">
        <f>IF(Table334[[#This Row],[Category]]="Service Projects Donation",Table334[[#This Row],[Account Deposit Amount]]-Table334[[#This Row],[Account Withdrawl Amount]], )</f>
        <v>0</v>
      </c>
      <c r="U111" s="243">
        <f>IF(Table334[[#This Row],[Category]]="Cookie Debt",Table334[[#This Row],[Account Deposit Amount]]-Table334[[#This Row],[Account Withdrawl Amount]], )</f>
        <v>0</v>
      </c>
      <c r="V111" s="243">
        <f>IF(Table334[[#This Row],[Category]]="Other Expense",Table334[[#This Row],[Account Deposit Amount]]-Table334[[#This Row],[Account Withdrawl Amount]], )</f>
        <v>0</v>
      </c>
    </row>
    <row r="112" spans="1:22">
      <c r="A112" s="225"/>
      <c r="B112" s="241"/>
      <c r="C112" s="244"/>
      <c r="D112" s="225"/>
      <c r="E112" s="242"/>
      <c r="F112" s="242"/>
      <c r="G112" s="243">
        <f t="shared" si="4"/>
        <v>2518.9699999999939</v>
      </c>
      <c r="H112" s="224"/>
      <c r="I112" s="243">
        <f>IF(Table334[[#This Row],[Category]]="Fall Product",Table334[[#This Row],[Account Deposit Amount]]-Table334[[#This Row],[Account Withdrawl Amount]], )</f>
        <v>0</v>
      </c>
      <c r="J112" s="243">
        <f>IF(Table334[[#This Row],[Category]]="Cookies",Table334[[#This Row],[Account Deposit Amount]]-Table334[[#This Row],[Account Withdrawl Amount]], )</f>
        <v>0</v>
      </c>
      <c r="K112" s="243">
        <f>IF(Table334[[#This Row],[Category]]="Additional Money Earning Activities",Table334[[#This Row],[Account Deposit Amount]]-Table334[[#This Row],[Account Withdrawl Amount]], )</f>
        <v>0</v>
      </c>
      <c r="L112" s="243">
        <f>IF(Table334[[#This Row],[Category]]="Sponsorships",Table334[[#This Row],[Account Deposit Amount]]-Table334[[#This Row],[Account Withdrawl Amount]], )</f>
        <v>0</v>
      </c>
      <c r="M112" s="243">
        <f>IF(Table334[[#This Row],[Category]]="Troop Dues",Table334[[#This Row],[Account Deposit Amount]]-Table334[[#This Row],[Account Withdrawl Amount]], )</f>
        <v>0</v>
      </c>
      <c r="N112" s="243">
        <f>IF(Table334[[#This Row],[Category]]="Other Income",Table334[[#This Row],[Account Deposit Amount]]-Table334[[#This Row],[Account Withdrawl Amount]], )</f>
        <v>0</v>
      </c>
      <c r="O112" s="243">
        <f>IF(Table334[[#This Row],[Category]]="Registration",Table334[[#This Row],[Account Deposit Amount]]-Table334[[#This Row],[Account Withdrawl Amount]], )</f>
        <v>0</v>
      </c>
      <c r="P112" s="243">
        <f>IF(Table334[[#This Row],[Category]]="Insignia",Table334[[#This Row],[Account Deposit Amount]]-Table334[[#This Row],[Account Withdrawl Amount]], )</f>
        <v>0</v>
      </c>
      <c r="Q112" s="243">
        <f>IF(Table334[[#This Row],[Category]]="Activities/Program",Table334[[#This Row],[Account Deposit Amount]]-Table334[[#This Row],[Account Withdrawl Amount]], )</f>
        <v>0</v>
      </c>
      <c r="R112" s="243">
        <f>IF(Table334[[#This Row],[Category]]="Travel",Table334[[#This Row],[Account Deposit Amount]]-Table334[[#This Row],[Account Withdrawl Amount]], )</f>
        <v>0</v>
      </c>
      <c r="S112" s="243">
        <f>IF(Table334[[#This Row],[Category]]="Parties Food &amp; Beverages",Table334[[#This Row],[Account Deposit Amount]]-Table334[[#This Row],[Account Withdrawl Amount]], )</f>
        <v>0</v>
      </c>
      <c r="T112" s="243">
        <f>IF(Table334[[#This Row],[Category]]="Service Projects Donation",Table334[[#This Row],[Account Deposit Amount]]-Table334[[#This Row],[Account Withdrawl Amount]], )</f>
        <v>0</v>
      </c>
      <c r="U112" s="243">
        <f>IF(Table334[[#This Row],[Category]]="Cookie Debt",Table334[[#This Row],[Account Deposit Amount]]-Table334[[#This Row],[Account Withdrawl Amount]], )</f>
        <v>0</v>
      </c>
      <c r="V112" s="243">
        <f>IF(Table334[[#This Row],[Category]]="Other Expense",Table334[[#This Row],[Account Deposit Amount]]-Table334[[#This Row],[Account Withdrawl Amount]], )</f>
        <v>0</v>
      </c>
    </row>
    <row r="113" spans="1:22">
      <c r="A113" s="225"/>
      <c r="B113" s="241"/>
      <c r="C113" s="244"/>
      <c r="D113" s="225"/>
      <c r="E113" s="242"/>
      <c r="F113" s="242"/>
      <c r="G113" s="243">
        <f t="shared" si="4"/>
        <v>2518.9699999999939</v>
      </c>
      <c r="H113" s="247"/>
      <c r="I113" s="243">
        <f>IF(Table334[[#This Row],[Category]]="Fall Product",Table334[[#This Row],[Account Deposit Amount]]-Table334[[#This Row],[Account Withdrawl Amount]], )</f>
        <v>0</v>
      </c>
      <c r="J113" s="243">
        <f>IF(Table334[[#This Row],[Category]]="Cookies",Table334[[#This Row],[Account Deposit Amount]]-Table334[[#This Row],[Account Withdrawl Amount]], )</f>
        <v>0</v>
      </c>
      <c r="K113" s="243">
        <f>IF(Table334[[#This Row],[Category]]="Additional Money Earning Activities",Table334[[#This Row],[Account Deposit Amount]]-Table334[[#This Row],[Account Withdrawl Amount]], )</f>
        <v>0</v>
      </c>
      <c r="L113" s="243">
        <f>IF(Table334[[#This Row],[Category]]="Sponsorships",Table334[[#This Row],[Account Deposit Amount]]-Table334[[#This Row],[Account Withdrawl Amount]], )</f>
        <v>0</v>
      </c>
      <c r="M113" s="243">
        <f>IF(Table334[[#This Row],[Category]]="Troop Dues",Table334[[#This Row],[Account Deposit Amount]]-Table334[[#This Row],[Account Withdrawl Amount]], )</f>
        <v>0</v>
      </c>
      <c r="N113" s="243">
        <f>IF(Table334[[#This Row],[Category]]="Other Income",Table334[[#This Row],[Account Deposit Amount]]-Table334[[#This Row],[Account Withdrawl Amount]], )</f>
        <v>0</v>
      </c>
      <c r="O113" s="243">
        <f>IF(Table334[[#This Row],[Category]]="Registration",Table334[[#This Row],[Account Deposit Amount]]-Table334[[#This Row],[Account Withdrawl Amount]], )</f>
        <v>0</v>
      </c>
      <c r="P113" s="243">
        <f>IF(Table334[[#This Row],[Category]]="Insignia",Table334[[#This Row],[Account Deposit Amount]]-Table334[[#This Row],[Account Withdrawl Amount]], )</f>
        <v>0</v>
      </c>
      <c r="Q113" s="243">
        <f>IF(Table334[[#This Row],[Category]]="Activities/Program",Table334[[#This Row],[Account Deposit Amount]]-Table334[[#This Row],[Account Withdrawl Amount]], )</f>
        <v>0</v>
      </c>
      <c r="R113" s="243">
        <f>IF(Table334[[#This Row],[Category]]="Travel",Table334[[#This Row],[Account Deposit Amount]]-Table334[[#This Row],[Account Withdrawl Amount]], )</f>
        <v>0</v>
      </c>
      <c r="S113" s="243">
        <f>IF(Table334[[#This Row],[Category]]="Parties Food &amp; Beverages",Table334[[#This Row],[Account Deposit Amount]]-Table334[[#This Row],[Account Withdrawl Amount]], )</f>
        <v>0</v>
      </c>
      <c r="T113" s="243">
        <f>IF(Table334[[#This Row],[Category]]="Service Projects Donation",Table334[[#This Row],[Account Deposit Amount]]-Table334[[#This Row],[Account Withdrawl Amount]], )</f>
        <v>0</v>
      </c>
      <c r="U113" s="243">
        <f>IF(Table334[[#This Row],[Category]]="Cookie Debt",Table334[[#This Row],[Account Deposit Amount]]-Table334[[#This Row],[Account Withdrawl Amount]], )</f>
        <v>0</v>
      </c>
      <c r="V113" s="243">
        <f>IF(Table334[[#This Row],[Category]]="Other Expense",Table334[[#This Row],[Account Deposit Amount]]-Table334[[#This Row],[Account Withdrawl Amount]], )</f>
        <v>0</v>
      </c>
    </row>
    <row r="114" spans="1:22">
      <c r="A114" s="225"/>
      <c r="B114" s="241"/>
      <c r="C114" s="244"/>
      <c r="D114" s="225"/>
      <c r="E114" s="242"/>
      <c r="F114" s="242"/>
      <c r="G114" s="243">
        <f t="shared" si="4"/>
        <v>2518.9699999999939</v>
      </c>
      <c r="H114" s="224"/>
      <c r="I114" s="243">
        <f>IF(Table334[[#This Row],[Category]]="Fall Product",Table334[[#This Row],[Account Deposit Amount]]-Table334[[#This Row],[Account Withdrawl Amount]], )</f>
        <v>0</v>
      </c>
      <c r="J114" s="243">
        <f>IF(Table334[[#This Row],[Category]]="Cookies",Table334[[#This Row],[Account Deposit Amount]]-Table334[[#This Row],[Account Withdrawl Amount]], )</f>
        <v>0</v>
      </c>
      <c r="K114" s="243">
        <f>IF(Table334[[#This Row],[Category]]="Additional Money Earning Activities",Table334[[#This Row],[Account Deposit Amount]]-Table334[[#This Row],[Account Withdrawl Amount]], )</f>
        <v>0</v>
      </c>
      <c r="L114" s="243">
        <f>IF(Table334[[#This Row],[Category]]="Sponsorships",Table334[[#This Row],[Account Deposit Amount]]-Table334[[#This Row],[Account Withdrawl Amount]], )</f>
        <v>0</v>
      </c>
      <c r="M114" s="243">
        <f>IF(Table334[[#This Row],[Category]]="Troop Dues",Table334[[#This Row],[Account Deposit Amount]]-Table334[[#This Row],[Account Withdrawl Amount]], )</f>
        <v>0</v>
      </c>
      <c r="N114" s="243">
        <f>IF(Table334[[#This Row],[Category]]="Other Income",Table334[[#This Row],[Account Deposit Amount]]-Table334[[#This Row],[Account Withdrawl Amount]], )</f>
        <v>0</v>
      </c>
      <c r="O114" s="243">
        <f>IF(Table334[[#This Row],[Category]]="Registration",Table334[[#This Row],[Account Deposit Amount]]-Table334[[#This Row],[Account Withdrawl Amount]], )</f>
        <v>0</v>
      </c>
      <c r="P114" s="243">
        <f>IF(Table334[[#This Row],[Category]]="Insignia",Table334[[#This Row],[Account Deposit Amount]]-Table334[[#This Row],[Account Withdrawl Amount]], )</f>
        <v>0</v>
      </c>
      <c r="Q114" s="243">
        <f>IF(Table334[[#This Row],[Category]]="Activities/Program",Table334[[#This Row],[Account Deposit Amount]]-Table334[[#This Row],[Account Withdrawl Amount]], )</f>
        <v>0</v>
      </c>
      <c r="R114" s="243">
        <f>IF(Table334[[#This Row],[Category]]="Travel",Table334[[#This Row],[Account Deposit Amount]]-Table334[[#This Row],[Account Withdrawl Amount]], )</f>
        <v>0</v>
      </c>
      <c r="S114" s="243">
        <f>IF(Table334[[#This Row],[Category]]="Parties Food &amp; Beverages",Table334[[#This Row],[Account Deposit Amount]]-Table334[[#This Row],[Account Withdrawl Amount]], )</f>
        <v>0</v>
      </c>
      <c r="T114" s="243">
        <f>IF(Table334[[#This Row],[Category]]="Service Projects Donation",Table334[[#This Row],[Account Deposit Amount]]-Table334[[#This Row],[Account Withdrawl Amount]], )</f>
        <v>0</v>
      </c>
      <c r="U114" s="243">
        <f>IF(Table334[[#This Row],[Category]]="Cookie Debt",Table334[[#This Row],[Account Deposit Amount]]-Table334[[#This Row],[Account Withdrawl Amount]], )</f>
        <v>0</v>
      </c>
      <c r="V114" s="243">
        <f>IF(Table334[[#This Row],[Category]]="Other Expense",Table334[[#This Row],[Account Deposit Amount]]-Table334[[#This Row],[Account Withdrawl Amount]], )</f>
        <v>0</v>
      </c>
    </row>
    <row r="115" spans="1:22">
      <c r="A115" s="225"/>
      <c r="B115" s="241"/>
      <c r="C115" s="244"/>
      <c r="D115" s="225"/>
      <c r="E115" s="242"/>
      <c r="F115" s="242"/>
      <c r="G115" s="243">
        <f t="shared" si="4"/>
        <v>2518.9699999999939</v>
      </c>
      <c r="H115" s="247"/>
      <c r="I115" s="243">
        <f>IF(Table334[[#This Row],[Category]]="Fall Product",Table334[[#This Row],[Account Deposit Amount]]-Table334[[#This Row],[Account Withdrawl Amount]], )</f>
        <v>0</v>
      </c>
      <c r="J115" s="243">
        <f>IF(Table334[[#This Row],[Category]]="Cookies",Table334[[#This Row],[Account Deposit Amount]]-Table334[[#This Row],[Account Withdrawl Amount]], )</f>
        <v>0</v>
      </c>
      <c r="K115" s="243">
        <f>IF(Table334[[#This Row],[Category]]="Additional Money Earning Activities",Table334[[#This Row],[Account Deposit Amount]]-Table334[[#This Row],[Account Withdrawl Amount]], )</f>
        <v>0</v>
      </c>
      <c r="L115" s="243">
        <f>IF(Table334[[#This Row],[Category]]="Sponsorships",Table334[[#This Row],[Account Deposit Amount]]-Table334[[#This Row],[Account Withdrawl Amount]], )</f>
        <v>0</v>
      </c>
      <c r="M115" s="243">
        <f>IF(Table334[[#This Row],[Category]]="Troop Dues",Table334[[#This Row],[Account Deposit Amount]]-Table334[[#This Row],[Account Withdrawl Amount]], )</f>
        <v>0</v>
      </c>
      <c r="N115" s="243">
        <f>IF(Table334[[#This Row],[Category]]="Other Income",Table334[[#This Row],[Account Deposit Amount]]-Table334[[#This Row],[Account Withdrawl Amount]], )</f>
        <v>0</v>
      </c>
      <c r="O115" s="243">
        <f>IF(Table334[[#This Row],[Category]]="Registration",Table334[[#This Row],[Account Deposit Amount]]-Table334[[#This Row],[Account Withdrawl Amount]], )</f>
        <v>0</v>
      </c>
      <c r="P115" s="243">
        <f>IF(Table334[[#This Row],[Category]]="Insignia",Table334[[#This Row],[Account Deposit Amount]]-Table334[[#This Row],[Account Withdrawl Amount]], )</f>
        <v>0</v>
      </c>
      <c r="Q115" s="243">
        <f>IF(Table334[[#This Row],[Category]]="Activities/Program",Table334[[#This Row],[Account Deposit Amount]]-Table334[[#This Row],[Account Withdrawl Amount]], )</f>
        <v>0</v>
      </c>
      <c r="R115" s="243">
        <f>IF(Table334[[#This Row],[Category]]="Travel",Table334[[#This Row],[Account Deposit Amount]]-Table334[[#This Row],[Account Withdrawl Amount]], )</f>
        <v>0</v>
      </c>
      <c r="S115" s="243">
        <f>IF(Table334[[#This Row],[Category]]="Parties Food &amp; Beverages",Table334[[#This Row],[Account Deposit Amount]]-Table334[[#This Row],[Account Withdrawl Amount]], )</f>
        <v>0</v>
      </c>
      <c r="T115" s="243">
        <f>IF(Table334[[#This Row],[Category]]="Service Projects Donation",Table334[[#This Row],[Account Deposit Amount]]-Table334[[#This Row],[Account Withdrawl Amount]], )</f>
        <v>0</v>
      </c>
      <c r="U115" s="243">
        <f>IF(Table334[[#This Row],[Category]]="Cookie Debt",Table334[[#This Row],[Account Deposit Amount]]-Table334[[#This Row],[Account Withdrawl Amount]], )</f>
        <v>0</v>
      </c>
      <c r="V115" s="243">
        <f>IF(Table334[[#This Row],[Category]]="Other Expense",Table334[[#This Row],[Account Deposit Amount]]-Table334[[#This Row],[Account Withdrawl Amount]], )</f>
        <v>0</v>
      </c>
    </row>
    <row r="116" spans="1:22">
      <c r="A116" s="225"/>
      <c r="B116" s="241"/>
      <c r="C116" s="244"/>
      <c r="D116" s="225"/>
      <c r="E116" s="242"/>
      <c r="F116" s="242"/>
      <c r="G116" s="243">
        <f t="shared" si="4"/>
        <v>2518.9699999999939</v>
      </c>
      <c r="H116" s="224"/>
      <c r="I116" s="243">
        <f>IF(Table334[[#This Row],[Category]]="Fall Product",Table334[[#This Row],[Account Deposit Amount]]-Table334[[#This Row],[Account Withdrawl Amount]], )</f>
        <v>0</v>
      </c>
      <c r="J116" s="243">
        <f>IF(Table334[[#This Row],[Category]]="Cookies",Table334[[#This Row],[Account Deposit Amount]]-Table334[[#This Row],[Account Withdrawl Amount]], )</f>
        <v>0</v>
      </c>
      <c r="K116" s="243">
        <f>IF(Table334[[#This Row],[Category]]="Additional Money Earning Activities",Table334[[#This Row],[Account Deposit Amount]]-Table334[[#This Row],[Account Withdrawl Amount]], )</f>
        <v>0</v>
      </c>
      <c r="L116" s="243">
        <f>IF(Table334[[#This Row],[Category]]="Sponsorships",Table334[[#This Row],[Account Deposit Amount]]-Table334[[#This Row],[Account Withdrawl Amount]], )</f>
        <v>0</v>
      </c>
      <c r="M116" s="243">
        <f>IF(Table334[[#This Row],[Category]]="Troop Dues",Table334[[#This Row],[Account Deposit Amount]]-Table334[[#This Row],[Account Withdrawl Amount]], )</f>
        <v>0</v>
      </c>
      <c r="N116" s="243">
        <f>IF(Table334[[#This Row],[Category]]="Other Income",Table334[[#This Row],[Account Deposit Amount]]-Table334[[#This Row],[Account Withdrawl Amount]], )</f>
        <v>0</v>
      </c>
      <c r="O116" s="243">
        <f>IF(Table334[[#This Row],[Category]]="Registration",Table334[[#This Row],[Account Deposit Amount]]-Table334[[#This Row],[Account Withdrawl Amount]], )</f>
        <v>0</v>
      </c>
      <c r="P116" s="243">
        <f>IF(Table334[[#This Row],[Category]]="Insignia",Table334[[#This Row],[Account Deposit Amount]]-Table334[[#This Row],[Account Withdrawl Amount]], )</f>
        <v>0</v>
      </c>
      <c r="Q116" s="243">
        <f>IF(Table334[[#This Row],[Category]]="Activities/Program",Table334[[#This Row],[Account Deposit Amount]]-Table334[[#This Row],[Account Withdrawl Amount]], )</f>
        <v>0</v>
      </c>
      <c r="R116" s="243">
        <f>IF(Table334[[#This Row],[Category]]="Travel",Table334[[#This Row],[Account Deposit Amount]]-Table334[[#This Row],[Account Withdrawl Amount]], )</f>
        <v>0</v>
      </c>
      <c r="S116" s="243">
        <f>IF(Table334[[#This Row],[Category]]="Parties Food &amp; Beverages",Table334[[#This Row],[Account Deposit Amount]]-Table334[[#This Row],[Account Withdrawl Amount]], )</f>
        <v>0</v>
      </c>
      <c r="T116" s="243">
        <f>IF(Table334[[#This Row],[Category]]="Service Projects Donation",Table334[[#This Row],[Account Deposit Amount]]-Table334[[#This Row],[Account Withdrawl Amount]], )</f>
        <v>0</v>
      </c>
      <c r="U116" s="243">
        <f>IF(Table334[[#This Row],[Category]]="Cookie Debt",Table334[[#This Row],[Account Deposit Amount]]-Table334[[#This Row],[Account Withdrawl Amount]], )</f>
        <v>0</v>
      </c>
      <c r="V116" s="243">
        <f>IF(Table334[[#This Row],[Category]]="Other Expense",Table334[[#This Row],[Account Deposit Amount]]-Table334[[#This Row],[Account Withdrawl Amount]], )</f>
        <v>0</v>
      </c>
    </row>
    <row r="117" spans="1:22">
      <c r="A117" s="225"/>
      <c r="B117" s="241"/>
      <c r="C117" s="244"/>
      <c r="D117" s="225"/>
      <c r="E117" s="242"/>
      <c r="F117" s="242"/>
      <c r="G117" s="243">
        <f t="shared" ref="G117:G180" si="5">G116+E117-F117</f>
        <v>2518.9699999999939</v>
      </c>
      <c r="H117" s="247"/>
      <c r="I117" s="243">
        <f>IF(Table334[[#This Row],[Category]]="Fall Product",Table334[[#This Row],[Account Deposit Amount]]-Table334[[#This Row],[Account Withdrawl Amount]], )</f>
        <v>0</v>
      </c>
      <c r="J117" s="243">
        <f>IF(Table334[[#This Row],[Category]]="Cookies",Table334[[#This Row],[Account Deposit Amount]]-Table334[[#This Row],[Account Withdrawl Amount]], )</f>
        <v>0</v>
      </c>
      <c r="K117" s="243">
        <f>IF(Table334[[#This Row],[Category]]="Additional Money Earning Activities",Table334[[#This Row],[Account Deposit Amount]]-Table334[[#This Row],[Account Withdrawl Amount]], )</f>
        <v>0</v>
      </c>
      <c r="L117" s="243">
        <f>IF(Table334[[#This Row],[Category]]="Sponsorships",Table334[[#This Row],[Account Deposit Amount]]-Table334[[#This Row],[Account Withdrawl Amount]], )</f>
        <v>0</v>
      </c>
      <c r="M117" s="243">
        <f>IF(Table334[[#This Row],[Category]]="Troop Dues",Table334[[#This Row],[Account Deposit Amount]]-Table334[[#This Row],[Account Withdrawl Amount]], )</f>
        <v>0</v>
      </c>
      <c r="N117" s="243">
        <f>IF(Table334[[#This Row],[Category]]="Other Income",Table334[[#This Row],[Account Deposit Amount]]-Table334[[#This Row],[Account Withdrawl Amount]], )</f>
        <v>0</v>
      </c>
      <c r="O117" s="243">
        <f>IF(Table334[[#This Row],[Category]]="Registration",Table334[[#This Row],[Account Deposit Amount]]-Table334[[#This Row],[Account Withdrawl Amount]], )</f>
        <v>0</v>
      </c>
      <c r="P117" s="243">
        <f>IF(Table334[[#This Row],[Category]]="Insignia",Table334[[#This Row],[Account Deposit Amount]]-Table334[[#This Row],[Account Withdrawl Amount]], )</f>
        <v>0</v>
      </c>
      <c r="Q117" s="243">
        <f>IF(Table334[[#This Row],[Category]]="Activities/Program",Table334[[#This Row],[Account Deposit Amount]]-Table334[[#This Row],[Account Withdrawl Amount]], )</f>
        <v>0</v>
      </c>
      <c r="R117" s="243">
        <f>IF(Table334[[#This Row],[Category]]="Travel",Table334[[#This Row],[Account Deposit Amount]]-Table334[[#This Row],[Account Withdrawl Amount]], )</f>
        <v>0</v>
      </c>
      <c r="S117" s="243">
        <f>IF(Table334[[#This Row],[Category]]="Parties Food &amp; Beverages",Table334[[#This Row],[Account Deposit Amount]]-Table334[[#This Row],[Account Withdrawl Amount]], )</f>
        <v>0</v>
      </c>
      <c r="T117" s="243">
        <f>IF(Table334[[#This Row],[Category]]="Service Projects Donation",Table334[[#This Row],[Account Deposit Amount]]-Table334[[#This Row],[Account Withdrawl Amount]], )</f>
        <v>0</v>
      </c>
      <c r="U117" s="243">
        <f>IF(Table334[[#This Row],[Category]]="Cookie Debt",Table334[[#This Row],[Account Deposit Amount]]-Table334[[#This Row],[Account Withdrawl Amount]], )</f>
        <v>0</v>
      </c>
      <c r="V117" s="243">
        <f>IF(Table334[[#This Row],[Category]]="Other Expense",Table334[[#This Row],[Account Deposit Amount]]-Table334[[#This Row],[Account Withdrawl Amount]], )</f>
        <v>0</v>
      </c>
    </row>
    <row r="118" spans="1:22">
      <c r="A118" s="225"/>
      <c r="B118" s="241"/>
      <c r="C118" s="244"/>
      <c r="D118" s="225"/>
      <c r="E118" s="242"/>
      <c r="F118" s="242"/>
      <c r="G118" s="243">
        <f t="shared" si="5"/>
        <v>2518.9699999999939</v>
      </c>
      <c r="H118" s="224"/>
      <c r="I118" s="243">
        <f>IF(Table334[[#This Row],[Category]]="Fall Product",Table334[[#This Row],[Account Deposit Amount]]-Table334[[#This Row],[Account Withdrawl Amount]], )</f>
        <v>0</v>
      </c>
      <c r="J118" s="243">
        <f>IF(Table334[[#This Row],[Category]]="Cookies",Table334[[#This Row],[Account Deposit Amount]]-Table334[[#This Row],[Account Withdrawl Amount]], )</f>
        <v>0</v>
      </c>
      <c r="K118" s="243">
        <f>IF(Table334[[#This Row],[Category]]="Additional Money Earning Activities",Table334[[#This Row],[Account Deposit Amount]]-Table334[[#This Row],[Account Withdrawl Amount]], )</f>
        <v>0</v>
      </c>
      <c r="L118" s="243">
        <f>IF(Table334[[#This Row],[Category]]="Sponsorships",Table334[[#This Row],[Account Deposit Amount]]-Table334[[#This Row],[Account Withdrawl Amount]], )</f>
        <v>0</v>
      </c>
      <c r="M118" s="243">
        <f>IF(Table334[[#This Row],[Category]]="Troop Dues",Table334[[#This Row],[Account Deposit Amount]]-Table334[[#This Row],[Account Withdrawl Amount]], )</f>
        <v>0</v>
      </c>
      <c r="N118" s="243">
        <f>IF(Table334[[#This Row],[Category]]="Other Income",Table334[[#This Row],[Account Deposit Amount]]-Table334[[#This Row],[Account Withdrawl Amount]], )</f>
        <v>0</v>
      </c>
      <c r="O118" s="243">
        <f>IF(Table334[[#This Row],[Category]]="Registration",Table334[[#This Row],[Account Deposit Amount]]-Table334[[#This Row],[Account Withdrawl Amount]], )</f>
        <v>0</v>
      </c>
      <c r="P118" s="243">
        <f>IF(Table334[[#This Row],[Category]]="Insignia",Table334[[#This Row],[Account Deposit Amount]]-Table334[[#This Row],[Account Withdrawl Amount]], )</f>
        <v>0</v>
      </c>
      <c r="Q118" s="243">
        <f>IF(Table334[[#This Row],[Category]]="Activities/Program",Table334[[#This Row],[Account Deposit Amount]]-Table334[[#This Row],[Account Withdrawl Amount]], )</f>
        <v>0</v>
      </c>
      <c r="R118" s="243">
        <f>IF(Table334[[#This Row],[Category]]="Travel",Table334[[#This Row],[Account Deposit Amount]]-Table334[[#This Row],[Account Withdrawl Amount]], )</f>
        <v>0</v>
      </c>
      <c r="S118" s="243">
        <f>IF(Table334[[#This Row],[Category]]="Parties Food &amp; Beverages",Table334[[#This Row],[Account Deposit Amount]]-Table334[[#This Row],[Account Withdrawl Amount]], )</f>
        <v>0</v>
      </c>
      <c r="T118" s="243">
        <f>IF(Table334[[#This Row],[Category]]="Service Projects Donation",Table334[[#This Row],[Account Deposit Amount]]-Table334[[#This Row],[Account Withdrawl Amount]], )</f>
        <v>0</v>
      </c>
      <c r="U118" s="243">
        <f>IF(Table334[[#This Row],[Category]]="Cookie Debt",Table334[[#This Row],[Account Deposit Amount]]-Table334[[#This Row],[Account Withdrawl Amount]], )</f>
        <v>0</v>
      </c>
      <c r="V118" s="243">
        <f>IF(Table334[[#This Row],[Category]]="Other Expense",Table334[[#This Row],[Account Deposit Amount]]-Table334[[#This Row],[Account Withdrawl Amount]], )</f>
        <v>0</v>
      </c>
    </row>
    <row r="119" spans="1:22">
      <c r="A119" s="225"/>
      <c r="B119" s="241"/>
      <c r="C119" s="244"/>
      <c r="D119" s="225"/>
      <c r="E119" s="242"/>
      <c r="F119" s="242"/>
      <c r="G119" s="243">
        <f t="shared" si="5"/>
        <v>2518.9699999999939</v>
      </c>
      <c r="H119" s="247"/>
      <c r="I119" s="243">
        <f>IF(Table334[[#This Row],[Category]]="Fall Product",Table334[[#This Row],[Account Deposit Amount]]-Table334[[#This Row],[Account Withdrawl Amount]], )</f>
        <v>0</v>
      </c>
      <c r="J119" s="243">
        <f>IF(Table334[[#This Row],[Category]]="Cookies",Table334[[#This Row],[Account Deposit Amount]]-Table334[[#This Row],[Account Withdrawl Amount]], )</f>
        <v>0</v>
      </c>
      <c r="K119" s="243">
        <f>IF(Table334[[#This Row],[Category]]="Additional Money Earning Activities",Table334[[#This Row],[Account Deposit Amount]]-Table334[[#This Row],[Account Withdrawl Amount]], )</f>
        <v>0</v>
      </c>
      <c r="L119" s="243">
        <f>IF(Table334[[#This Row],[Category]]="Sponsorships",Table334[[#This Row],[Account Deposit Amount]]-Table334[[#This Row],[Account Withdrawl Amount]], )</f>
        <v>0</v>
      </c>
      <c r="M119" s="243">
        <f>IF(Table334[[#This Row],[Category]]="Troop Dues",Table334[[#This Row],[Account Deposit Amount]]-Table334[[#This Row],[Account Withdrawl Amount]], )</f>
        <v>0</v>
      </c>
      <c r="N119" s="243">
        <f>IF(Table334[[#This Row],[Category]]="Other Income",Table334[[#This Row],[Account Deposit Amount]]-Table334[[#This Row],[Account Withdrawl Amount]], )</f>
        <v>0</v>
      </c>
      <c r="O119" s="243">
        <f>IF(Table334[[#This Row],[Category]]="Registration",Table334[[#This Row],[Account Deposit Amount]]-Table334[[#This Row],[Account Withdrawl Amount]], )</f>
        <v>0</v>
      </c>
      <c r="P119" s="243">
        <f>IF(Table334[[#This Row],[Category]]="Insignia",Table334[[#This Row],[Account Deposit Amount]]-Table334[[#This Row],[Account Withdrawl Amount]], )</f>
        <v>0</v>
      </c>
      <c r="Q119" s="243">
        <f>IF(Table334[[#This Row],[Category]]="Activities/Program",Table334[[#This Row],[Account Deposit Amount]]-Table334[[#This Row],[Account Withdrawl Amount]], )</f>
        <v>0</v>
      </c>
      <c r="R119" s="243">
        <f>IF(Table334[[#This Row],[Category]]="Travel",Table334[[#This Row],[Account Deposit Amount]]-Table334[[#This Row],[Account Withdrawl Amount]], )</f>
        <v>0</v>
      </c>
      <c r="S119" s="243">
        <f>IF(Table334[[#This Row],[Category]]="Parties Food &amp; Beverages",Table334[[#This Row],[Account Deposit Amount]]-Table334[[#This Row],[Account Withdrawl Amount]], )</f>
        <v>0</v>
      </c>
      <c r="T119" s="243">
        <f>IF(Table334[[#This Row],[Category]]="Service Projects Donation",Table334[[#This Row],[Account Deposit Amount]]-Table334[[#This Row],[Account Withdrawl Amount]], )</f>
        <v>0</v>
      </c>
      <c r="U119" s="243">
        <f>IF(Table334[[#This Row],[Category]]="Cookie Debt",Table334[[#This Row],[Account Deposit Amount]]-Table334[[#This Row],[Account Withdrawl Amount]], )</f>
        <v>0</v>
      </c>
      <c r="V119" s="243">
        <f>IF(Table334[[#This Row],[Category]]="Other Expense",Table334[[#This Row],[Account Deposit Amount]]-Table334[[#This Row],[Account Withdrawl Amount]], )</f>
        <v>0</v>
      </c>
    </row>
    <row r="120" spans="1:22">
      <c r="A120" s="225"/>
      <c r="B120" s="241"/>
      <c r="C120" s="244"/>
      <c r="D120" s="225"/>
      <c r="E120" s="242"/>
      <c r="F120" s="242"/>
      <c r="G120" s="243">
        <f t="shared" si="5"/>
        <v>2518.9699999999939</v>
      </c>
      <c r="H120" s="224"/>
      <c r="I120" s="243">
        <f>IF(Table334[[#This Row],[Category]]="Fall Product",Table334[[#This Row],[Account Deposit Amount]]-Table334[[#This Row],[Account Withdrawl Amount]], )</f>
        <v>0</v>
      </c>
      <c r="J120" s="243">
        <f>IF(Table334[[#This Row],[Category]]="Cookies",Table334[[#This Row],[Account Deposit Amount]]-Table334[[#This Row],[Account Withdrawl Amount]], )</f>
        <v>0</v>
      </c>
      <c r="K120" s="243">
        <f>IF(Table334[[#This Row],[Category]]="Additional Money Earning Activities",Table334[[#This Row],[Account Deposit Amount]]-Table334[[#This Row],[Account Withdrawl Amount]], )</f>
        <v>0</v>
      </c>
      <c r="L120" s="243">
        <f>IF(Table334[[#This Row],[Category]]="Sponsorships",Table334[[#This Row],[Account Deposit Amount]]-Table334[[#This Row],[Account Withdrawl Amount]], )</f>
        <v>0</v>
      </c>
      <c r="M120" s="243">
        <f>IF(Table334[[#This Row],[Category]]="Troop Dues",Table334[[#This Row],[Account Deposit Amount]]-Table334[[#This Row],[Account Withdrawl Amount]], )</f>
        <v>0</v>
      </c>
      <c r="N120" s="243">
        <f>IF(Table334[[#This Row],[Category]]="Other Income",Table334[[#This Row],[Account Deposit Amount]]-Table334[[#This Row],[Account Withdrawl Amount]], )</f>
        <v>0</v>
      </c>
      <c r="O120" s="243">
        <f>IF(Table334[[#This Row],[Category]]="Registration",Table334[[#This Row],[Account Deposit Amount]]-Table334[[#This Row],[Account Withdrawl Amount]], )</f>
        <v>0</v>
      </c>
      <c r="P120" s="243">
        <f>IF(Table334[[#This Row],[Category]]="Insignia",Table334[[#This Row],[Account Deposit Amount]]-Table334[[#This Row],[Account Withdrawl Amount]], )</f>
        <v>0</v>
      </c>
      <c r="Q120" s="243">
        <f>IF(Table334[[#This Row],[Category]]="Activities/Program",Table334[[#This Row],[Account Deposit Amount]]-Table334[[#This Row],[Account Withdrawl Amount]], )</f>
        <v>0</v>
      </c>
      <c r="R120" s="243">
        <f>IF(Table334[[#This Row],[Category]]="Travel",Table334[[#This Row],[Account Deposit Amount]]-Table334[[#This Row],[Account Withdrawl Amount]], )</f>
        <v>0</v>
      </c>
      <c r="S120" s="243">
        <f>IF(Table334[[#This Row],[Category]]="Parties Food &amp; Beverages",Table334[[#This Row],[Account Deposit Amount]]-Table334[[#This Row],[Account Withdrawl Amount]], )</f>
        <v>0</v>
      </c>
      <c r="T120" s="243">
        <f>IF(Table334[[#This Row],[Category]]="Service Projects Donation",Table334[[#This Row],[Account Deposit Amount]]-Table334[[#This Row],[Account Withdrawl Amount]], )</f>
        <v>0</v>
      </c>
      <c r="U120" s="243">
        <f>IF(Table334[[#This Row],[Category]]="Cookie Debt",Table334[[#This Row],[Account Deposit Amount]]-Table334[[#This Row],[Account Withdrawl Amount]], )</f>
        <v>0</v>
      </c>
      <c r="V120" s="243">
        <f>IF(Table334[[#This Row],[Category]]="Other Expense",Table334[[#This Row],[Account Deposit Amount]]-Table334[[#This Row],[Account Withdrawl Amount]], )</f>
        <v>0</v>
      </c>
    </row>
    <row r="121" spans="1:22">
      <c r="A121" s="225"/>
      <c r="B121" s="241"/>
      <c r="C121" s="244"/>
      <c r="D121" s="225"/>
      <c r="E121" s="242"/>
      <c r="F121" s="242"/>
      <c r="G121" s="243">
        <f t="shared" si="5"/>
        <v>2518.9699999999939</v>
      </c>
      <c r="H121" s="247"/>
      <c r="I121" s="243">
        <f>IF(Table334[[#This Row],[Category]]="Fall Product",Table334[[#This Row],[Account Deposit Amount]]-Table334[[#This Row],[Account Withdrawl Amount]], )</f>
        <v>0</v>
      </c>
      <c r="J121" s="243">
        <f>IF(Table334[[#This Row],[Category]]="Cookies",Table334[[#This Row],[Account Deposit Amount]]-Table334[[#This Row],[Account Withdrawl Amount]], )</f>
        <v>0</v>
      </c>
      <c r="K121" s="243">
        <f>IF(Table334[[#This Row],[Category]]="Additional Money Earning Activities",Table334[[#This Row],[Account Deposit Amount]]-Table334[[#This Row],[Account Withdrawl Amount]], )</f>
        <v>0</v>
      </c>
      <c r="L121" s="243">
        <f>IF(Table334[[#This Row],[Category]]="Sponsorships",Table334[[#This Row],[Account Deposit Amount]]-Table334[[#This Row],[Account Withdrawl Amount]], )</f>
        <v>0</v>
      </c>
      <c r="M121" s="243">
        <f>IF(Table334[[#This Row],[Category]]="Troop Dues",Table334[[#This Row],[Account Deposit Amount]]-Table334[[#This Row],[Account Withdrawl Amount]], )</f>
        <v>0</v>
      </c>
      <c r="N121" s="243">
        <f>IF(Table334[[#This Row],[Category]]="Other Income",Table334[[#This Row],[Account Deposit Amount]]-Table334[[#This Row],[Account Withdrawl Amount]], )</f>
        <v>0</v>
      </c>
      <c r="O121" s="243">
        <f>IF(Table334[[#This Row],[Category]]="Registration",Table334[[#This Row],[Account Deposit Amount]]-Table334[[#This Row],[Account Withdrawl Amount]], )</f>
        <v>0</v>
      </c>
      <c r="P121" s="243">
        <f>IF(Table334[[#This Row],[Category]]="Insignia",Table334[[#This Row],[Account Deposit Amount]]-Table334[[#This Row],[Account Withdrawl Amount]], )</f>
        <v>0</v>
      </c>
      <c r="Q121" s="243">
        <f>IF(Table334[[#This Row],[Category]]="Activities/Program",Table334[[#This Row],[Account Deposit Amount]]-Table334[[#This Row],[Account Withdrawl Amount]], )</f>
        <v>0</v>
      </c>
      <c r="R121" s="243">
        <f>IF(Table334[[#This Row],[Category]]="Travel",Table334[[#This Row],[Account Deposit Amount]]-Table334[[#This Row],[Account Withdrawl Amount]], )</f>
        <v>0</v>
      </c>
      <c r="S121" s="243">
        <f>IF(Table334[[#This Row],[Category]]="Parties Food &amp; Beverages",Table334[[#This Row],[Account Deposit Amount]]-Table334[[#This Row],[Account Withdrawl Amount]], )</f>
        <v>0</v>
      </c>
      <c r="T121" s="243">
        <f>IF(Table334[[#This Row],[Category]]="Service Projects Donation",Table334[[#This Row],[Account Deposit Amount]]-Table334[[#This Row],[Account Withdrawl Amount]], )</f>
        <v>0</v>
      </c>
      <c r="U121" s="243">
        <f>IF(Table334[[#This Row],[Category]]="Cookie Debt",Table334[[#This Row],[Account Deposit Amount]]-Table334[[#This Row],[Account Withdrawl Amount]], )</f>
        <v>0</v>
      </c>
      <c r="V121" s="243">
        <f>IF(Table334[[#This Row],[Category]]="Other Expense",Table334[[#This Row],[Account Deposit Amount]]-Table334[[#This Row],[Account Withdrawl Amount]], )</f>
        <v>0</v>
      </c>
    </row>
    <row r="122" spans="1:22">
      <c r="A122" s="225"/>
      <c r="B122" s="241"/>
      <c r="C122" s="244"/>
      <c r="D122" s="225"/>
      <c r="E122" s="242"/>
      <c r="F122" s="242"/>
      <c r="G122" s="243">
        <f t="shared" si="5"/>
        <v>2518.9699999999939</v>
      </c>
      <c r="H122" s="224"/>
      <c r="I122" s="243">
        <f>IF(Table334[[#This Row],[Category]]="Fall Product",Table334[[#This Row],[Account Deposit Amount]]-Table334[[#This Row],[Account Withdrawl Amount]], )</f>
        <v>0</v>
      </c>
      <c r="J122" s="243">
        <f>IF(Table334[[#This Row],[Category]]="Cookies",Table334[[#This Row],[Account Deposit Amount]]-Table334[[#This Row],[Account Withdrawl Amount]], )</f>
        <v>0</v>
      </c>
      <c r="K122" s="243">
        <f>IF(Table334[[#This Row],[Category]]="Additional Money Earning Activities",Table334[[#This Row],[Account Deposit Amount]]-Table334[[#This Row],[Account Withdrawl Amount]], )</f>
        <v>0</v>
      </c>
      <c r="L122" s="243">
        <f>IF(Table334[[#This Row],[Category]]="Sponsorships",Table334[[#This Row],[Account Deposit Amount]]-Table334[[#This Row],[Account Withdrawl Amount]], )</f>
        <v>0</v>
      </c>
      <c r="M122" s="243">
        <f>IF(Table334[[#This Row],[Category]]="Troop Dues",Table334[[#This Row],[Account Deposit Amount]]-Table334[[#This Row],[Account Withdrawl Amount]], )</f>
        <v>0</v>
      </c>
      <c r="N122" s="243">
        <f>IF(Table334[[#This Row],[Category]]="Other Income",Table334[[#This Row],[Account Deposit Amount]]-Table334[[#This Row],[Account Withdrawl Amount]], )</f>
        <v>0</v>
      </c>
      <c r="O122" s="243">
        <f>IF(Table334[[#This Row],[Category]]="Registration",Table334[[#This Row],[Account Deposit Amount]]-Table334[[#This Row],[Account Withdrawl Amount]], )</f>
        <v>0</v>
      </c>
      <c r="P122" s="243">
        <f>IF(Table334[[#This Row],[Category]]="Insignia",Table334[[#This Row],[Account Deposit Amount]]-Table334[[#This Row],[Account Withdrawl Amount]], )</f>
        <v>0</v>
      </c>
      <c r="Q122" s="243">
        <f>IF(Table334[[#This Row],[Category]]="Activities/Program",Table334[[#This Row],[Account Deposit Amount]]-Table334[[#This Row],[Account Withdrawl Amount]], )</f>
        <v>0</v>
      </c>
      <c r="R122" s="243">
        <f>IF(Table334[[#This Row],[Category]]="Travel",Table334[[#This Row],[Account Deposit Amount]]-Table334[[#This Row],[Account Withdrawl Amount]], )</f>
        <v>0</v>
      </c>
      <c r="S122" s="243">
        <f>IF(Table334[[#This Row],[Category]]="Parties Food &amp; Beverages",Table334[[#This Row],[Account Deposit Amount]]-Table334[[#This Row],[Account Withdrawl Amount]], )</f>
        <v>0</v>
      </c>
      <c r="T122" s="243">
        <f>IF(Table334[[#This Row],[Category]]="Service Projects Donation",Table334[[#This Row],[Account Deposit Amount]]-Table334[[#This Row],[Account Withdrawl Amount]], )</f>
        <v>0</v>
      </c>
      <c r="U122" s="243">
        <f>IF(Table334[[#This Row],[Category]]="Cookie Debt",Table334[[#This Row],[Account Deposit Amount]]-Table334[[#This Row],[Account Withdrawl Amount]], )</f>
        <v>0</v>
      </c>
      <c r="V122" s="243">
        <f>IF(Table334[[#This Row],[Category]]="Other Expense",Table334[[#This Row],[Account Deposit Amount]]-Table334[[#This Row],[Account Withdrawl Amount]], )</f>
        <v>0</v>
      </c>
    </row>
    <row r="123" spans="1:22">
      <c r="A123" s="225"/>
      <c r="B123" s="241"/>
      <c r="C123" s="244"/>
      <c r="D123" s="225"/>
      <c r="E123" s="242"/>
      <c r="F123" s="242"/>
      <c r="G123" s="243">
        <f t="shared" si="5"/>
        <v>2518.9699999999939</v>
      </c>
      <c r="H123" s="247"/>
      <c r="I123" s="243">
        <f>IF(Table334[[#This Row],[Category]]="Fall Product",Table334[[#This Row],[Account Deposit Amount]]-Table334[[#This Row],[Account Withdrawl Amount]], )</f>
        <v>0</v>
      </c>
      <c r="J123" s="243">
        <f>IF(Table334[[#This Row],[Category]]="Cookies",Table334[[#This Row],[Account Deposit Amount]]-Table334[[#This Row],[Account Withdrawl Amount]], )</f>
        <v>0</v>
      </c>
      <c r="K123" s="243">
        <f>IF(Table334[[#This Row],[Category]]="Additional Money Earning Activities",Table334[[#This Row],[Account Deposit Amount]]-Table334[[#This Row],[Account Withdrawl Amount]], )</f>
        <v>0</v>
      </c>
      <c r="L123" s="243">
        <f>IF(Table334[[#This Row],[Category]]="Sponsorships",Table334[[#This Row],[Account Deposit Amount]]-Table334[[#This Row],[Account Withdrawl Amount]], )</f>
        <v>0</v>
      </c>
      <c r="M123" s="243">
        <f>IF(Table334[[#This Row],[Category]]="Troop Dues",Table334[[#This Row],[Account Deposit Amount]]-Table334[[#This Row],[Account Withdrawl Amount]], )</f>
        <v>0</v>
      </c>
      <c r="N123" s="243">
        <f>IF(Table334[[#This Row],[Category]]="Other Income",Table334[[#This Row],[Account Deposit Amount]]-Table334[[#This Row],[Account Withdrawl Amount]], )</f>
        <v>0</v>
      </c>
      <c r="O123" s="243">
        <f>IF(Table334[[#This Row],[Category]]="Registration",Table334[[#This Row],[Account Deposit Amount]]-Table334[[#This Row],[Account Withdrawl Amount]], )</f>
        <v>0</v>
      </c>
      <c r="P123" s="243">
        <f>IF(Table334[[#This Row],[Category]]="Insignia",Table334[[#This Row],[Account Deposit Amount]]-Table334[[#This Row],[Account Withdrawl Amount]], )</f>
        <v>0</v>
      </c>
      <c r="Q123" s="243">
        <f>IF(Table334[[#This Row],[Category]]="Activities/Program",Table334[[#This Row],[Account Deposit Amount]]-Table334[[#This Row],[Account Withdrawl Amount]], )</f>
        <v>0</v>
      </c>
      <c r="R123" s="243">
        <f>IF(Table334[[#This Row],[Category]]="Travel",Table334[[#This Row],[Account Deposit Amount]]-Table334[[#This Row],[Account Withdrawl Amount]], )</f>
        <v>0</v>
      </c>
      <c r="S123" s="243">
        <f>IF(Table334[[#This Row],[Category]]="Parties Food &amp; Beverages",Table334[[#This Row],[Account Deposit Amount]]-Table334[[#This Row],[Account Withdrawl Amount]], )</f>
        <v>0</v>
      </c>
      <c r="T123" s="243">
        <f>IF(Table334[[#This Row],[Category]]="Service Projects Donation",Table334[[#This Row],[Account Deposit Amount]]-Table334[[#This Row],[Account Withdrawl Amount]], )</f>
        <v>0</v>
      </c>
      <c r="U123" s="243">
        <f>IF(Table334[[#This Row],[Category]]="Cookie Debt",Table334[[#This Row],[Account Deposit Amount]]-Table334[[#This Row],[Account Withdrawl Amount]], )</f>
        <v>0</v>
      </c>
      <c r="V123" s="243">
        <f>IF(Table334[[#This Row],[Category]]="Other Expense",Table334[[#This Row],[Account Deposit Amount]]-Table334[[#This Row],[Account Withdrawl Amount]], )</f>
        <v>0</v>
      </c>
    </row>
    <row r="124" spans="1:22">
      <c r="A124" s="225"/>
      <c r="B124" s="241"/>
      <c r="C124" s="244"/>
      <c r="D124" s="225"/>
      <c r="E124" s="242"/>
      <c r="F124" s="242"/>
      <c r="G124" s="243">
        <f t="shared" si="5"/>
        <v>2518.9699999999939</v>
      </c>
      <c r="H124" s="225"/>
      <c r="I124" s="243">
        <f>IF(Table334[[#This Row],[Category]]="Fall Product",Table334[[#This Row],[Account Deposit Amount]]-Table334[[#This Row],[Account Withdrawl Amount]], )</f>
        <v>0</v>
      </c>
      <c r="J124" s="243">
        <f>IF(Table334[[#This Row],[Category]]="Cookies",Table334[[#This Row],[Account Deposit Amount]]-Table334[[#This Row],[Account Withdrawl Amount]], )</f>
        <v>0</v>
      </c>
      <c r="K124" s="243">
        <f>IF(Table334[[#This Row],[Category]]="Additional Money Earning Activities",Table334[[#This Row],[Account Deposit Amount]]-Table334[[#This Row],[Account Withdrawl Amount]], )</f>
        <v>0</v>
      </c>
      <c r="L124" s="243">
        <f>IF(Table334[[#This Row],[Category]]="Sponsorships",Table334[[#This Row],[Account Deposit Amount]]-Table334[[#This Row],[Account Withdrawl Amount]], )</f>
        <v>0</v>
      </c>
      <c r="M124" s="243">
        <f>IF(Table334[[#This Row],[Category]]="Troop Dues",Table334[[#This Row],[Account Deposit Amount]]-Table334[[#This Row],[Account Withdrawl Amount]], )</f>
        <v>0</v>
      </c>
      <c r="N124" s="243">
        <f>IF(Table334[[#This Row],[Category]]="Other Income",Table334[[#This Row],[Account Deposit Amount]]-Table334[[#This Row],[Account Withdrawl Amount]], )</f>
        <v>0</v>
      </c>
      <c r="O124" s="243">
        <f>IF(Table334[[#This Row],[Category]]="Registration",Table334[[#This Row],[Account Deposit Amount]]-Table334[[#This Row],[Account Withdrawl Amount]], )</f>
        <v>0</v>
      </c>
      <c r="P124" s="243">
        <f>IF(Table334[[#This Row],[Category]]="Insignia",Table334[[#This Row],[Account Deposit Amount]]-Table334[[#This Row],[Account Withdrawl Amount]], )</f>
        <v>0</v>
      </c>
      <c r="Q124" s="243">
        <f>IF(Table334[[#This Row],[Category]]="Activities/Program",Table334[[#This Row],[Account Deposit Amount]]-Table334[[#This Row],[Account Withdrawl Amount]], )</f>
        <v>0</v>
      </c>
      <c r="R124" s="243">
        <f>IF(Table334[[#This Row],[Category]]="Travel",Table334[[#This Row],[Account Deposit Amount]]-Table334[[#This Row],[Account Withdrawl Amount]], )</f>
        <v>0</v>
      </c>
      <c r="S124" s="243">
        <f>IF(Table334[[#This Row],[Category]]="Parties Food &amp; Beverages",Table334[[#This Row],[Account Deposit Amount]]-Table334[[#This Row],[Account Withdrawl Amount]], )</f>
        <v>0</v>
      </c>
      <c r="T124" s="243">
        <f>IF(Table334[[#This Row],[Category]]="Service Projects Donation",Table334[[#This Row],[Account Deposit Amount]]-Table334[[#This Row],[Account Withdrawl Amount]], )</f>
        <v>0</v>
      </c>
      <c r="U124" s="243">
        <f>IF(Table334[[#This Row],[Category]]="Cookie Debt",Table334[[#This Row],[Account Deposit Amount]]-Table334[[#This Row],[Account Withdrawl Amount]], )</f>
        <v>0</v>
      </c>
      <c r="V124" s="243">
        <f>IF(Table334[[#This Row],[Category]]="Other Expense",Table334[[#This Row],[Account Deposit Amount]]-Table334[[#This Row],[Account Withdrawl Amount]], )</f>
        <v>0</v>
      </c>
    </row>
    <row r="125" spans="1:22">
      <c r="A125" s="225"/>
      <c r="B125" s="241"/>
      <c r="C125" s="244"/>
      <c r="D125" s="225"/>
      <c r="E125" s="242"/>
      <c r="F125" s="242"/>
      <c r="G125" s="243">
        <f t="shared" si="5"/>
        <v>2518.9699999999939</v>
      </c>
      <c r="H125" s="225"/>
      <c r="I125" s="243">
        <f>IF(Table334[[#This Row],[Category]]="Fall Product",Table334[[#This Row],[Account Deposit Amount]]-Table334[[#This Row],[Account Withdrawl Amount]], )</f>
        <v>0</v>
      </c>
      <c r="J125" s="243">
        <f>IF(Table334[[#This Row],[Category]]="Cookies",Table334[[#This Row],[Account Deposit Amount]]-Table334[[#This Row],[Account Withdrawl Amount]], )</f>
        <v>0</v>
      </c>
      <c r="K125" s="243">
        <f>IF(Table334[[#This Row],[Category]]="Additional Money Earning Activities",Table334[[#This Row],[Account Deposit Amount]]-Table334[[#This Row],[Account Withdrawl Amount]], )</f>
        <v>0</v>
      </c>
      <c r="L125" s="243">
        <f>IF(Table334[[#This Row],[Category]]="Sponsorships",Table334[[#This Row],[Account Deposit Amount]]-Table334[[#This Row],[Account Withdrawl Amount]], )</f>
        <v>0</v>
      </c>
      <c r="M125" s="243">
        <f>IF(Table334[[#This Row],[Category]]="Troop Dues",Table334[[#This Row],[Account Deposit Amount]]-Table334[[#This Row],[Account Withdrawl Amount]], )</f>
        <v>0</v>
      </c>
      <c r="N125" s="243">
        <f>IF(Table334[[#This Row],[Category]]="Other Income",Table334[[#This Row],[Account Deposit Amount]]-Table334[[#This Row],[Account Withdrawl Amount]], )</f>
        <v>0</v>
      </c>
      <c r="O125" s="243">
        <f>IF(Table334[[#This Row],[Category]]="Registration",Table334[[#This Row],[Account Deposit Amount]]-Table334[[#This Row],[Account Withdrawl Amount]], )</f>
        <v>0</v>
      </c>
      <c r="P125" s="243">
        <f>IF(Table334[[#This Row],[Category]]="Insignia",Table334[[#This Row],[Account Deposit Amount]]-Table334[[#This Row],[Account Withdrawl Amount]], )</f>
        <v>0</v>
      </c>
      <c r="Q125" s="243">
        <f>IF(Table334[[#This Row],[Category]]="Activities/Program",Table334[[#This Row],[Account Deposit Amount]]-Table334[[#This Row],[Account Withdrawl Amount]], )</f>
        <v>0</v>
      </c>
      <c r="R125" s="243">
        <f>IF(Table334[[#This Row],[Category]]="Travel",Table334[[#This Row],[Account Deposit Amount]]-Table334[[#This Row],[Account Withdrawl Amount]], )</f>
        <v>0</v>
      </c>
      <c r="S125" s="243">
        <f>IF(Table334[[#This Row],[Category]]="Parties Food &amp; Beverages",Table334[[#This Row],[Account Deposit Amount]]-Table334[[#This Row],[Account Withdrawl Amount]], )</f>
        <v>0</v>
      </c>
      <c r="T125" s="243">
        <f>IF(Table334[[#This Row],[Category]]="Service Projects Donation",Table334[[#This Row],[Account Deposit Amount]]-Table334[[#This Row],[Account Withdrawl Amount]], )</f>
        <v>0</v>
      </c>
      <c r="U125" s="243">
        <f>IF(Table334[[#This Row],[Category]]="Cookie Debt",Table334[[#This Row],[Account Deposit Amount]]-Table334[[#This Row],[Account Withdrawl Amount]], )</f>
        <v>0</v>
      </c>
      <c r="V125" s="243">
        <f>IF(Table334[[#This Row],[Category]]="Other Expense",Table334[[#This Row],[Account Deposit Amount]]-Table334[[#This Row],[Account Withdrawl Amount]], )</f>
        <v>0</v>
      </c>
    </row>
    <row r="126" spans="1:22">
      <c r="A126" s="225"/>
      <c r="B126" s="241"/>
      <c r="C126" s="244"/>
      <c r="D126" s="225"/>
      <c r="E126" s="242"/>
      <c r="F126" s="242"/>
      <c r="G126" s="243">
        <f t="shared" si="5"/>
        <v>2518.9699999999939</v>
      </c>
      <c r="H126" s="225"/>
      <c r="I126" s="243">
        <f>IF(Table334[[#This Row],[Category]]="Fall Product",Table334[[#This Row],[Account Deposit Amount]]-Table334[[#This Row],[Account Withdrawl Amount]], )</f>
        <v>0</v>
      </c>
      <c r="J126" s="243">
        <f>IF(Table334[[#This Row],[Category]]="Cookies",Table334[[#This Row],[Account Deposit Amount]]-Table334[[#This Row],[Account Withdrawl Amount]], )</f>
        <v>0</v>
      </c>
      <c r="K126" s="243">
        <f>IF(Table334[[#This Row],[Category]]="Additional Money Earning Activities",Table334[[#This Row],[Account Deposit Amount]]-Table334[[#This Row],[Account Withdrawl Amount]], )</f>
        <v>0</v>
      </c>
      <c r="L126" s="243">
        <f>IF(Table334[[#This Row],[Category]]="Sponsorships",Table334[[#This Row],[Account Deposit Amount]]-Table334[[#This Row],[Account Withdrawl Amount]], )</f>
        <v>0</v>
      </c>
      <c r="M126" s="243">
        <f>IF(Table334[[#This Row],[Category]]="Troop Dues",Table334[[#This Row],[Account Deposit Amount]]-Table334[[#This Row],[Account Withdrawl Amount]], )</f>
        <v>0</v>
      </c>
      <c r="N126" s="243">
        <f>IF(Table334[[#This Row],[Category]]="Other Income",Table334[[#This Row],[Account Deposit Amount]]-Table334[[#This Row],[Account Withdrawl Amount]], )</f>
        <v>0</v>
      </c>
      <c r="O126" s="243">
        <f>IF(Table334[[#This Row],[Category]]="Registration",Table334[[#This Row],[Account Deposit Amount]]-Table334[[#This Row],[Account Withdrawl Amount]], )</f>
        <v>0</v>
      </c>
      <c r="P126" s="243">
        <f>IF(Table334[[#This Row],[Category]]="Insignia",Table334[[#This Row],[Account Deposit Amount]]-Table334[[#This Row],[Account Withdrawl Amount]], )</f>
        <v>0</v>
      </c>
      <c r="Q126" s="243">
        <f>IF(Table334[[#This Row],[Category]]="Activities/Program",Table334[[#This Row],[Account Deposit Amount]]-Table334[[#This Row],[Account Withdrawl Amount]], )</f>
        <v>0</v>
      </c>
      <c r="R126" s="243">
        <f>IF(Table334[[#This Row],[Category]]="Travel",Table334[[#This Row],[Account Deposit Amount]]-Table334[[#This Row],[Account Withdrawl Amount]], )</f>
        <v>0</v>
      </c>
      <c r="S126" s="243">
        <f>IF(Table334[[#This Row],[Category]]="Parties Food &amp; Beverages",Table334[[#This Row],[Account Deposit Amount]]-Table334[[#This Row],[Account Withdrawl Amount]], )</f>
        <v>0</v>
      </c>
      <c r="T126" s="243">
        <f>IF(Table334[[#This Row],[Category]]="Service Projects Donation",Table334[[#This Row],[Account Deposit Amount]]-Table334[[#This Row],[Account Withdrawl Amount]], )</f>
        <v>0</v>
      </c>
      <c r="U126" s="243">
        <f>IF(Table334[[#This Row],[Category]]="Cookie Debt",Table334[[#This Row],[Account Deposit Amount]]-Table334[[#This Row],[Account Withdrawl Amount]], )</f>
        <v>0</v>
      </c>
      <c r="V126" s="243">
        <f>IF(Table334[[#This Row],[Category]]="Other Expense",Table334[[#This Row],[Account Deposit Amount]]-Table334[[#This Row],[Account Withdrawl Amount]], )</f>
        <v>0</v>
      </c>
    </row>
    <row r="127" spans="1:22">
      <c r="A127" s="225"/>
      <c r="B127" s="241"/>
      <c r="C127" s="244"/>
      <c r="D127" s="225"/>
      <c r="E127" s="242"/>
      <c r="F127" s="242"/>
      <c r="G127" s="243">
        <f t="shared" si="5"/>
        <v>2518.9699999999939</v>
      </c>
      <c r="H127" s="225"/>
      <c r="I127" s="243">
        <f>IF(Table334[[#This Row],[Category]]="Fall Product",Table334[[#This Row],[Account Deposit Amount]]-Table334[[#This Row],[Account Withdrawl Amount]], )</f>
        <v>0</v>
      </c>
      <c r="J127" s="243">
        <f>IF(Table334[[#This Row],[Category]]="Cookies",Table334[[#This Row],[Account Deposit Amount]]-Table334[[#This Row],[Account Withdrawl Amount]], )</f>
        <v>0</v>
      </c>
      <c r="K127" s="243">
        <f>IF(Table334[[#This Row],[Category]]="Additional Money Earning Activities",Table334[[#This Row],[Account Deposit Amount]]-Table334[[#This Row],[Account Withdrawl Amount]], )</f>
        <v>0</v>
      </c>
      <c r="L127" s="243">
        <f>IF(Table334[[#This Row],[Category]]="Sponsorships",Table334[[#This Row],[Account Deposit Amount]]-Table334[[#This Row],[Account Withdrawl Amount]], )</f>
        <v>0</v>
      </c>
      <c r="M127" s="243">
        <f>IF(Table334[[#This Row],[Category]]="Troop Dues",Table334[[#This Row],[Account Deposit Amount]]-Table334[[#This Row],[Account Withdrawl Amount]], )</f>
        <v>0</v>
      </c>
      <c r="N127" s="243">
        <f>IF(Table334[[#This Row],[Category]]="Other Income",Table334[[#This Row],[Account Deposit Amount]]-Table334[[#This Row],[Account Withdrawl Amount]], )</f>
        <v>0</v>
      </c>
      <c r="O127" s="243">
        <f>IF(Table334[[#This Row],[Category]]="Registration",Table334[[#This Row],[Account Deposit Amount]]-Table334[[#This Row],[Account Withdrawl Amount]], )</f>
        <v>0</v>
      </c>
      <c r="P127" s="243">
        <f>IF(Table334[[#This Row],[Category]]="Insignia",Table334[[#This Row],[Account Deposit Amount]]-Table334[[#This Row],[Account Withdrawl Amount]], )</f>
        <v>0</v>
      </c>
      <c r="Q127" s="243">
        <f>IF(Table334[[#This Row],[Category]]="Activities/Program",Table334[[#This Row],[Account Deposit Amount]]-Table334[[#This Row],[Account Withdrawl Amount]], )</f>
        <v>0</v>
      </c>
      <c r="R127" s="243">
        <f>IF(Table334[[#This Row],[Category]]="Travel",Table334[[#This Row],[Account Deposit Amount]]-Table334[[#This Row],[Account Withdrawl Amount]], )</f>
        <v>0</v>
      </c>
      <c r="S127" s="243">
        <f>IF(Table334[[#This Row],[Category]]="Parties Food &amp; Beverages",Table334[[#This Row],[Account Deposit Amount]]-Table334[[#This Row],[Account Withdrawl Amount]], )</f>
        <v>0</v>
      </c>
      <c r="T127" s="243">
        <f>IF(Table334[[#This Row],[Category]]="Service Projects Donation",Table334[[#This Row],[Account Deposit Amount]]-Table334[[#This Row],[Account Withdrawl Amount]], )</f>
        <v>0</v>
      </c>
      <c r="U127" s="243">
        <f>IF(Table334[[#This Row],[Category]]="Cookie Debt",Table334[[#This Row],[Account Deposit Amount]]-Table334[[#This Row],[Account Withdrawl Amount]], )</f>
        <v>0</v>
      </c>
      <c r="V127" s="243">
        <f>IF(Table334[[#This Row],[Category]]="Other Expense",Table334[[#This Row],[Account Deposit Amount]]-Table334[[#This Row],[Account Withdrawl Amount]], )</f>
        <v>0</v>
      </c>
    </row>
    <row r="128" spans="1:22">
      <c r="A128" s="225"/>
      <c r="B128" s="241"/>
      <c r="C128" s="244"/>
      <c r="D128" s="225"/>
      <c r="E128" s="242"/>
      <c r="F128" s="242"/>
      <c r="G128" s="243">
        <f t="shared" si="5"/>
        <v>2518.9699999999939</v>
      </c>
      <c r="H128" s="225"/>
      <c r="I128" s="243">
        <f>IF(Table334[[#This Row],[Category]]="Fall Product",Table334[[#This Row],[Account Deposit Amount]]-Table334[[#This Row],[Account Withdrawl Amount]], )</f>
        <v>0</v>
      </c>
      <c r="J128" s="243">
        <f>IF(Table334[[#This Row],[Category]]="Cookies",Table334[[#This Row],[Account Deposit Amount]]-Table334[[#This Row],[Account Withdrawl Amount]], )</f>
        <v>0</v>
      </c>
      <c r="K128" s="243">
        <f>IF(Table334[[#This Row],[Category]]="Additional Money Earning Activities",Table334[[#This Row],[Account Deposit Amount]]-Table334[[#This Row],[Account Withdrawl Amount]], )</f>
        <v>0</v>
      </c>
      <c r="L128" s="243">
        <f>IF(Table334[[#This Row],[Category]]="Sponsorships",Table334[[#This Row],[Account Deposit Amount]]-Table334[[#This Row],[Account Withdrawl Amount]], )</f>
        <v>0</v>
      </c>
      <c r="M128" s="243">
        <f>IF(Table334[[#This Row],[Category]]="Troop Dues",Table334[[#This Row],[Account Deposit Amount]]-Table334[[#This Row],[Account Withdrawl Amount]], )</f>
        <v>0</v>
      </c>
      <c r="N128" s="243">
        <f>IF(Table334[[#This Row],[Category]]="Other Income",Table334[[#This Row],[Account Deposit Amount]]-Table334[[#This Row],[Account Withdrawl Amount]], )</f>
        <v>0</v>
      </c>
      <c r="O128" s="243">
        <f>IF(Table334[[#This Row],[Category]]="Registration",Table334[[#This Row],[Account Deposit Amount]]-Table334[[#This Row],[Account Withdrawl Amount]], )</f>
        <v>0</v>
      </c>
      <c r="P128" s="243">
        <f>IF(Table334[[#This Row],[Category]]="Insignia",Table334[[#This Row],[Account Deposit Amount]]-Table334[[#This Row],[Account Withdrawl Amount]], )</f>
        <v>0</v>
      </c>
      <c r="Q128" s="243">
        <f>IF(Table334[[#This Row],[Category]]="Activities/Program",Table334[[#This Row],[Account Deposit Amount]]-Table334[[#This Row],[Account Withdrawl Amount]], )</f>
        <v>0</v>
      </c>
      <c r="R128" s="243">
        <f>IF(Table334[[#This Row],[Category]]="Travel",Table334[[#This Row],[Account Deposit Amount]]-Table334[[#This Row],[Account Withdrawl Amount]], )</f>
        <v>0</v>
      </c>
      <c r="S128" s="243">
        <f>IF(Table334[[#This Row],[Category]]="Parties Food &amp; Beverages",Table334[[#This Row],[Account Deposit Amount]]-Table334[[#This Row],[Account Withdrawl Amount]], )</f>
        <v>0</v>
      </c>
      <c r="T128" s="243">
        <f>IF(Table334[[#This Row],[Category]]="Service Projects Donation",Table334[[#This Row],[Account Deposit Amount]]-Table334[[#This Row],[Account Withdrawl Amount]], )</f>
        <v>0</v>
      </c>
      <c r="U128" s="243">
        <f>IF(Table334[[#This Row],[Category]]="Cookie Debt",Table334[[#This Row],[Account Deposit Amount]]-Table334[[#This Row],[Account Withdrawl Amount]], )</f>
        <v>0</v>
      </c>
      <c r="V128" s="243">
        <f>IF(Table334[[#This Row],[Category]]="Other Expense",Table334[[#This Row],[Account Deposit Amount]]-Table334[[#This Row],[Account Withdrawl Amount]], )</f>
        <v>0</v>
      </c>
    </row>
    <row r="129" spans="1:22">
      <c r="A129" s="225"/>
      <c r="B129" s="241"/>
      <c r="C129" s="244"/>
      <c r="D129" s="225"/>
      <c r="E129" s="242"/>
      <c r="F129" s="242"/>
      <c r="G129" s="243">
        <f t="shared" si="5"/>
        <v>2518.9699999999939</v>
      </c>
      <c r="H129" s="225"/>
      <c r="I129" s="243">
        <f>IF(Table334[[#This Row],[Category]]="Fall Product",Table334[[#This Row],[Account Deposit Amount]]-Table334[[#This Row],[Account Withdrawl Amount]], )</f>
        <v>0</v>
      </c>
      <c r="J129" s="243">
        <f>IF(Table334[[#This Row],[Category]]="Cookies",Table334[[#This Row],[Account Deposit Amount]]-Table334[[#This Row],[Account Withdrawl Amount]], )</f>
        <v>0</v>
      </c>
      <c r="K129" s="243">
        <f>IF(Table334[[#This Row],[Category]]="Additional Money Earning Activities",Table334[[#This Row],[Account Deposit Amount]]-Table334[[#This Row],[Account Withdrawl Amount]], )</f>
        <v>0</v>
      </c>
      <c r="L129" s="243">
        <f>IF(Table334[[#This Row],[Category]]="Sponsorships",Table334[[#This Row],[Account Deposit Amount]]-Table334[[#This Row],[Account Withdrawl Amount]], )</f>
        <v>0</v>
      </c>
      <c r="M129" s="243">
        <f>IF(Table334[[#This Row],[Category]]="Troop Dues",Table334[[#This Row],[Account Deposit Amount]]-Table334[[#This Row],[Account Withdrawl Amount]], )</f>
        <v>0</v>
      </c>
      <c r="N129" s="243">
        <f>IF(Table334[[#This Row],[Category]]="Other Income",Table334[[#This Row],[Account Deposit Amount]]-Table334[[#This Row],[Account Withdrawl Amount]], )</f>
        <v>0</v>
      </c>
      <c r="O129" s="243">
        <f>IF(Table334[[#This Row],[Category]]="Registration",Table334[[#This Row],[Account Deposit Amount]]-Table334[[#This Row],[Account Withdrawl Amount]], )</f>
        <v>0</v>
      </c>
      <c r="P129" s="243">
        <f>IF(Table334[[#This Row],[Category]]="Insignia",Table334[[#This Row],[Account Deposit Amount]]-Table334[[#This Row],[Account Withdrawl Amount]], )</f>
        <v>0</v>
      </c>
      <c r="Q129" s="243">
        <f>IF(Table334[[#This Row],[Category]]="Activities/Program",Table334[[#This Row],[Account Deposit Amount]]-Table334[[#This Row],[Account Withdrawl Amount]], )</f>
        <v>0</v>
      </c>
      <c r="R129" s="243">
        <f>IF(Table334[[#This Row],[Category]]="Travel",Table334[[#This Row],[Account Deposit Amount]]-Table334[[#This Row],[Account Withdrawl Amount]], )</f>
        <v>0</v>
      </c>
      <c r="S129" s="243">
        <f>IF(Table334[[#This Row],[Category]]="Parties Food &amp; Beverages",Table334[[#This Row],[Account Deposit Amount]]-Table334[[#This Row],[Account Withdrawl Amount]], )</f>
        <v>0</v>
      </c>
      <c r="T129" s="243">
        <f>IF(Table334[[#This Row],[Category]]="Service Projects Donation",Table334[[#This Row],[Account Deposit Amount]]-Table334[[#This Row],[Account Withdrawl Amount]], )</f>
        <v>0</v>
      </c>
      <c r="U129" s="243">
        <f>IF(Table334[[#This Row],[Category]]="Cookie Debt",Table334[[#This Row],[Account Deposit Amount]]-Table334[[#This Row],[Account Withdrawl Amount]], )</f>
        <v>0</v>
      </c>
      <c r="V129" s="243">
        <f>IF(Table334[[#This Row],[Category]]="Other Expense",Table334[[#This Row],[Account Deposit Amount]]-Table334[[#This Row],[Account Withdrawl Amount]], )</f>
        <v>0</v>
      </c>
    </row>
    <row r="130" spans="1:22">
      <c r="A130" s="225"/>
      <c r="B130" s="241"/>
      <c r="C130" s="244"/>
      <c r="D130" s="225"/>
      <c r="E130" s="242"/>
      <c r="F130" s="242"/>
      <c r="G130" s="243">
        <f t="shared" si="5"/>
        <v>2518.9699999999939</v>
      </c>
      <c r="H130" s="225"/>
      <c r="I130" s="243">
        <f>IF(Table334[[#This Row],[Category]]="Fall Product",Table334[[#This Row],[Account Deposit Amount]]-Table334[[#This Row],[Account Withdrawl Amount]], )</f>
        <v>0</v>
      </c>
      <c r="J130" s="243">
        <f>IF(Table334[[#This Row],[Category]]="Cookies",Table334[[#This Row],[Account Deposit Amount]]-Table334[[#This Row],[Account Withdrawl Amount]], )</f>
        <v>0</v>
      </c>
      <c r="K130" s="243">
        <f>IF(Table334[[#This Row],[Category]]="Additional Money Earning Activities",Table334[[#This Row],[Account Deposit Amount]]-Table334[[#This Row],[Account Withdrawl Amount]], )</f>
        <v>0</v>
      </c>
      <c r="L130" s="243">
        <f>IF(Table334[[#This Row],[Category]]="Sponsorships",Table334[[#This Row],[Account Deposit Amount]]-Table334[[#This Row],[Account Withdrawl Amount]], )</f>
        <v>0</v>
      </c>
      <c r="M130" s="243">
        <f>IF(Table334[[#This Row],[Category]]="Troop Dues",Table334[[#This Row],[Account Deposit Amount]]-Table334[[#This Row],[Account Withdrawl Amount]], )</f>
        <v>0</v>
      </c>
      <c r="N130" s="243">
        <f>IF(Table334[[#This Row],[Category]]="Other Income",Table334[[#This Row],[Account Deposit Amount]]-Table334[[#This Row],[Account Withdrawl Amount]], )</f>
        <v>0</v>
      </c>
      <c r="O130" s="243">
        <f>IF(Table334[[#This Row],[Category]]="Registration",Table334[[#This Row],[Account Deposit Amount]]-Table334[[#This Row],[Account Withdrawl Amount]], )</f>
        <v>0</v>
      </c>
      <c r="P130" s="243">
        <f>IF(Table334[[#This Row],[Category]]="Insignia",Table334[[#This Row],[Account Deposit Amount]]-Table334[[#This Row],[Account Withdrawl Amount]], )</f>
        <v>0</v>
      </c>
      <c r="Q130" s="243">
        <f>IF(Table334[[#This Row],[Category]]="Activities/Program",Table334[[#This Row],[Account Deposit Amount]]-Table334[[#This Row],[Account Withdrawl Amount]], )</f>
        <v>0</v>
      </c>
      <c r="R130" s="243">
        <f>IF(Table334[[#This Row],[Category]]="Travel",Table334[[#This Row],[Account Deposit Amount]]-Table334[[#This Row],[Account Withdrawl Amount]], )</f>
        <v>0</v>
      </c>
      <c r="S130" s="243">
        <f>IF(Table334[[#This Row],[Category]]="Parties Food &amp; Beverages",Table334[[#This Row],[Account Deposit Amount]]-Table334[[#This Row],[Account Withdrawl Amount]], )</f>
        <v>0</v>
      </c>
      <c r="T130" s="243">
        <f>IF(Table334[[#This Row],[Category]]="Service Projects Donation",Table334[[#This Row],[Account Deposit Amount]]-Table334[[#This Row],[Account Withdrawl Amount]], )</f>
        <v>0</v>
      </c>
      <c r="U130" s="243">
        <f>IF(Table334[[#This Row],[Category]]="Cookie Debt",Table334[[#This Row],[Account Deposit Amount]]-Table334[[#This Row],[Account Withdrawl Amount]], )</f>
        <v>0</v>
      </c>
      <c r="V130" s="243">
        <f>IF(Table334[[#This Row],[Category]]="Other Expense",Table334[[#This Row],[Account Deposit Amount]]-Table334[[#This Row],[Account Withdrawl Amount]], )</f>
        <v>0</v>
      </c>
    </row>
    <row r="131" spans="1:22">
      <c r="A131" s="225"/>
      <c r="B131" s="241"/>
      <c r="C131" s="244"/>
      <c r="D131" s="225"/>
      <c r="E131" s="242"/>
      <c r="F131" s="242"/>
      <c r="G131" s="243">
        <f t="shared" si="5"/>
        <v>2518.9699999999939</v>
      </c>
      <c r="H131" s="225"/>
      <c r="I131" s="243">
        <f>IF(Table334[[#This Row],[Category]]="Fall Product",Table334[[#This Row],[Account Deposit Amount]]-Table334[[#This Row],[Account Withdrawl Amount]], )</f>
        <v>0</v>
      </c>
      <c r="J131" s="243">
        <f>IF(Table334[[#This Row],[Category]]="Cookies",Table334[[#This Row],[Account Deposit Amount]]-Table334[[#This Row],[Account Withdrawl Amount]], )</f>
        <v>0</v>
      </c>
      <c r="K131" s="243">
        <f>IF(Table334[[#This Row],[Category]]="Additional Money Earning Activities",Table334[[#This Row],[Account Deposit Amount]]-Table334[[#This Row],[Account Withdrawl Amount]], )</f>
        <v>0</v>
      </c>
      <c r="L131" s="243">
        <f>IF(Table334[[#This Row],[Category]]="Sponsorships",Table334[[#This Row],[Account Deposit Amount]]-Table334[[#This Row],[Account Withdrawl Amount]], )</f>
        <v>0</v>
      </c>
      <c r="M131" s="243">
        <f>IF(Table334[[#This Row],[Category]]="Troop Dues",Table334[[#This Row],[Account Deposit Amount]]-Table334[[#This Row],[Account Withdrawl Amount]], )</f>
        <v>0</v>
      </c>
      <c r="N131" s="243">
        <f>IF(Table334[[#This Row],[Category]]="Other Income",Table334[[#This Row],[Account Deposit Amount]]-Table334[[#This Row],[Account Withdrawl Amount]], )</f>
        <v>0</v>
      </c>
      <c r="O131" s="243">
        <f>IF(Table334[[#This Row],[Category]]="Registration",Table334[[#This Row],[Account Deposit Amount]]-Table334[[#This Row],[Account Withdrawl Amount]], )</f>
        <v>0</v>
      </c>
      <c r="P131" s="243">
        <f>IF(Table334[[#This Row],[Category]]="Insignia",Table334[[#This Row],[Account Deposit Amount]]-Table334[[#This Row],[Account Withdrawl Amount]], )</f>
        <v>0</v>
      </c>
      <c r="Q131" s="243">
        <f>IF(Table334[[#This Row],[Category]]="Activities/Program",Table334[[#This Row],[Account Deposit Amount]]-Table334[[#This Row],[Account Withdrawl Amount]], )</f>
        <v>0</v>
      </c>
      <c r="R131" s="243">
        <f>IF(Table334[[#This Row],[Category]]="Travel",Table334[[#This Row],[Account Deposit Amount]]-Table334[[#This Row],[Account Withdrawl Amount]], )</f>
        <v>0</v>
      </c>
      <c r="S131" s="243">
        <f>IF(Table334[[#This Row],[Category]]="Parties Food &amp; Beverages",Table334[[#This Row],[Account Deposit Amount]]-Table334[[#This Row],[Account Withdrawl Amount]], )</f>
        <v>0</v>
      </c>
      <c r="T131" s="243">
        <f>IF(Table334[[#This Row],[Category]]="Service Projects Donation",Table334[[#This Row],[Account Deposit Amount]]-Table334[[#This Row],[Account Withdrawl Amount]], )</f>
        <v>0</v>
      </c>
      <c r="U131" s="243">
        <f>IF(Table334[[#This Row],[Category]]="Cookie Debt",Table334[[#This Row],[Account Deposit Amount]]-Table334[[#This Row],[Account Withdrawl Amount]], )</f>
        <v>0</v>
      </c>
      <c r="V131" s="243">
        <f>IF(Table334[[#This Row],[Category]]="Other Expense",Table334[[#This Row],[Account Deposit Amount]]-Table334[[#This Row],[Account Withdrawl Amount]], )</f>
        <v>0</v>
      </c>
    </row>
    <row r="132" spans="1:22">
      <c r="A132" s="225"/>
      <c r="B132" s="241"/>
      <c r="C132" s="244"/>
      <c r="D132" s="225"/>
      <c r="E132" s="242"/>
      <c r="F132" s="242"/>
      <c r="G132" s="243">
        <f t="shared" si="5"/>
        <v>2518.9699999999939</v>
      </c>
      <c r="H132" s="225"/>
      <c r="I132" s="243">
        <f>IF(Table334[[#This Row],[Category]]="Fall Product",Table334[[#This Row],[Account Deposit Amount]]-Table334[[#This Row],[Account Withdrawl Amount]], )</f>
        <v>0</v>
      </c>
      <c r="J132" s="243">
        <f>IF(Table334[[#This Row],[Category]]="Cookies",Table334[[#This Row],[Account Deposit Amount]]-Table334[[#This Row],[Account Withdrawl Amount]], )</f>
        <v>0</v>
      </c>
      <c r="K132" s="243">
        <f>IF(Table334[[#This Row],[Category]]="Additional Money Earning Activities",Table334[[#This Row],[Account Deposit Amount]]-Table334[[#This Row],[Account Withdrawl Amount]], )</f>
        <v>0</v>
      </c>
      <c r="L132" s="243">
        <f>IF(Table334[[#This Row],[Category]]="Sponsorships",Table334[[#This Row],[Account Deposit Amount]]-Table334[[#This Row],[Account Withdrawl Amount]], )</f>
        <v>0</v>
      </c>
      <c r="M132" s="243">
        <f>IF(Table334[[#This Row],[Category]]="Troop Dues",Table334[[#This Row],[Account Deposit Amount]]-Table334[[#This Row],[Account Withdrawl Amount]], )</f>
        <v>0</v>
      </c>
      <c r="N132" s="243">
        <f>IF(Table334[[#This Row],[Category]]="Other Income",Table334[[#This Row],[Account Deposit Amount]]-Table334[[#This Row],[Account Withdrawl Amount]], )</f>
        <v>0</v>
      </c>
      <c r="O132" s="243">
        <f>IF(Table334[[#This Row],[Category]]="Registration",Table334[[#This Row],[Account Deposit Amount]]-Table334[[#This Row],[Account Withdrawl Amount]], )</f>
        <v>0</v>
      </c>
      <c r="P132" s="243">
        <f>IF(Table334[[#This Row],[Category]]="Insignia",Table334[[#This Row],[Account Deposit Amount]]-Table334[[#This Row],[Account Withdrawl Amount]], )</f>
        <v>0</v>
      </c>
      <c r="Q132" s="243">
        <f>IF(Table334[[#This Row],[Category]]="Activities/Program",Table334[[#This Row],[Account Deposit Amount]]-Table334[[#This Row],[Account Withdrawl Amount]], )</f>
        <v>0</v>
      </c>
      <c r="R132" s="243">
        <f>IF(Table334[[#This Row],[Category]]="Travel",Table334[[#This Row],[Account Deposit Amount]]-Table334[[#This Row],[Account Withdrawl Amount]], )</f>
        <v>0</v>
      </c>
      <c r="S132" s="243">
        <f>IF(Table334[[#This Row],[Category]]="Parties Food &amp; Beverages",Table334[[#This Row],[Account Deposit Amount]]-Table334[[#This Row],[Account Withdrawl Amount]], )</f>
        <v>0</v>
      </c>
      <c r="T132" s="243">
        <f>IF(Table334[[#This Row],[Category]]="Service Projects Donation",Table334[[#This Row],[Account Deposit Amount]]-Table334[[#This Row],[Account Withdrawl Amount]], )</f>
        <v>0</v>
      </c>
      <c r="U132" s="243">
        <f>IF(Table334[[#This Row],[Category]]="Cookie Debt",Table334[[#This Row],[Account Deposit Amount]]-Table334[[#This Row],[Account Withdrawl Amount]], )</f>
        <v>0</v>
      </c>
      <c r="V132" s="243">
        <f>IF(Table334[[#This Row],[Category]]="Other Expense",Table334[[#This Row],[Account Deposit Amount]]-Table334[[#This Row],[Account Withdrawl Amount]], )</f>
        <v>0</v>
      </c>
    </row>
    <row r="133" spans="1:22">
      <c r="A133" s="225"/>
      <c r="B133" s="241"/>
      <c r="C133" s="244"/>
      <c r="D133" s="225"/>
      <c r="E133" s="242"/>
      <c r="F133" s="242"/>
      <c r="G133" s="243">
        <f t="shared" si="5"/>
        <v>2518.9699999999939</v>
      </c>
      <c r="H133" s="225"/>
      <c r="I133" s="243">
        <f>IF(Table334[[#This Row],[Category]]="Fall Product",Table334[[#This Row],[Account Deposit Amount]]-Table334[[#This Row],[Account Withdrawl Amount]], )</f>
        <v>0</v>
      </c>
      <c r="J133" s="243">
        <f>IF(Table334[[#This Row],[Category]]="Cookies",Table334[[#This Row],[Account Deposit Amount]]-Table334[[#This Row],[Account Withdrawl Amount]], )</f>
        <v>0</v>
      </c>
      <c r="K133" s="243">
        <f>IF(Table334[[#This Row],[Category]]="Additional Money Earning Activities",Table334[[#This Row],[Account Deposit Amount]]-Table334[[#This Row],[Account Withdrawl Amount]], )</f>
        <v>0</v>
      </c>
      <c r="L133" s="243">
        <f>IF(Table334[[#This Row],[Category]]="Sponsorships",Table334[[#This Row],[Account Deposit Amount]]-Table334[[#This Row],[Account Withdrawl Amount]], )</f>
        <v>0</v>
      </c>
      <c r="M133" s="243">
        <f>IF(Table334[[#This Row],[Category]]="Troop Dues",Table334[[#This Row],[Account Deposit Amount]]-Table334[[#This Row],[Account Withdrawl Amount]], )</f>
        <v>0</v>
      </c>
      <c r="N133" s="243">
        <f>IF(Table334[[#This Row],[Category]]="Other Income",Table334[[#This Row],[Account Deposit Amount]]-Table334[[#This Row],[Account Withdrawl Amount]], )</f>
        <v>0</v>
      </c>
      <c r="O133" s="243">
        <f>IF(Table334[[#This Row],[Category]]="Registration",Table334[[#This Row],[Account Deposit Amount]]-Table334[[#This Row],[Account Withdrawl Amount]], )</f>
        <v>0</v>
      </c>
      <c r="P133" s="243">
        <f>IF(Table334[[#This Row],[Category]]="Insignia",Table334[[#This Row],[Account Deposit Amount]]-Table334[[#This Row],[Account Withdrawl Amount]], )</f>
        <v>0</v>
      </c>
      <c r="Q133" s="243">
        <f>IF(Table334[[#This Row],[Category]]="Activities/Program",Table334[[#This Row],[Account Deposit Amount]]-Table334[[#This Row],[Account Withdrawl Amount]], )</f>
        <v>0</v>
      </c>
      <c r="R133" s="243">
        <f>IF(Table334[[#This Row],[Category]]="Travel",Table334[[#This Row],[Account Deposit Amount]]-Table334[[#This Row],[Account Withdrawl Amount]], )</f>
        <v>0</v>
      </c>
      <c r="S133" s="243">
        <f>IF(Table334[[#This Row],[Category]]="Parties Food &amp; Beverages",Table334[[#This Row],[Account Deposit Amount]]-Table334[[#This Row],[Account Withdrawl Amount]], )</f>
        <v>0</v>
      </c>
      <c r="T133" s="243">
        <f>IF(Table334[[#This Row],[Category]]="Service Projects Donation",Table334[[#This Row],[Account Deposit Amount]]-Table334[[#This Row],[Account Withdrawl Amount]], )</f>
        <v>0</v>
      </c>
      <c r="U133" s="243">
        <f>IF(Table334[[#This Row],[Category]]="Cookie Debt",Table334[[#This Row],[Account Deposit Amount]]-Table334[[#This Row],[Account Withdrawl Amount]], )</f>
        <v>0</v>
      </c>
      <c r="V133" s="243">
        <f>IF(Table334[[#This Row],[Category]]="Other Expense",Table334[[#This Row],[Account Deposit Amount]]-Table334[[#This Row],[Account Withdrawl Amount]], )</f>
        <v>0</v>
      </c>
    </row>
    <row r="134" spans="1:22">
      <c r="A134" s="225"/>
      <c r="B134" s="241"/>
      <c r="C134" s="244"/>
      <c r="D134" s="225"/>
      <c r="E134" s="242"/>
      <c r="F134" s="242"/>
      <c r="G134" s="243">
        <f t="shared" si="5"/>
        <v>2518.9699999999939</v>
      </c>
      <c r="H134" s="225"/>
      <c r="I134" s="243">
        <f>IF(Table334[[#This Row],[Category]]="Fall Product",Table334[[#This Row],[Account Deposit Amount]]-Table334[[#This Row],[Account Withdrawl Amount]], )</f>
        <v>0</v>
      </c>
      <c r="J134" s="243">
        <f>IF(Table334[[#This Row],[Category]]="Cookies",Table334[[#This Row],[Account Deposit Amount]]-Table334[[#This Row],[Account Withdrawl Amount]], )</f>
        <v>0</v>
      </c>
      <c r="K134" s="243">
        <f>IF(Table334[[#This Row],[Category]]="Additional Money Earning Activities",Table334[[#This Row],[Account Deposit Amount]]-Table334[[#This Row],[Account Withdrawl Amount]], )</f>
        <v>0</v>
      </c>
      <c r="L134" s="243">
        <f>IF(Table334[[#This Row],[Category]]="Sponsorships",Table334[[#This Row],[Account Deposit Amount]]-Table334[[#This Row],[Account Withdrawl Amount]], )</f>
        <v>0</v>
      </c>
      <c r="M134" s="243">
        <f>IF(Table334[[#This Row],[Category]]="Troop Dues",Table334[[#This Row],[Account Deposit Amount]]-Table334[[#This Row],[Account Withdrawl Amount]], )</f>
        <v>0</v>
      </c>
      <c r="N134" s="243">
        <f>IF(Table334[[#This Row],[Category]]="Other Income",Table334[[#This Row],[Account Deposit Amount]]-Table334[[#This Row],[Account Withdrawl Amount]], )</f>
        <v>0</v>
      </c>
      <c r="O134" s="243">
        <f>IF(Table334[[#This Row],[Category]]="Registration",Table334[[#This Row],[Account Deposit Amount]]-Table334[[#This Row],[Account Withdrawl Amount]], )</f>
        <v>0</v>
      </c>
      <c r="P134" s="243">
        <f>IF(Table334[[#This Row],[Category]]="Insignia",Table334[[#This Row],[Account Deposit Amount]]-Table334[[#This Row],[Account Withdrawl Amount]], )</f>
        <v>0</v>
      </c>
      <c r="Q134" s="243">
        <f>IF(Table334[[#This Row],[Category]]="Activities/Program",Table334[[#This Row],[Account Deposit Amount]]-Table334[[#This Row],[Account Withdrawl Amount]], )</f>
        <v>0</v>
      </c>
      <c r="R134" s="243">
        <f>IF(Table334[[#This Row],[Category]]="Travel",Table334[[#This Row],[Account Deposit Amount]]-Table334[[#This Row],[Account Withdrawl Amount]], )</f>
        <v>0</v>
      </c>
      <c r="S134" s="243">
        <f>IF(Table334[[#This Row],[Category]]="Parties Food &amp; Beverages",Table334[[#This Row],[Account Deposit Amount]]-Table334[[#This Row],[Account Withdrawl Amount]], )</f>
        <v>0</v>
      </c>
      <c r="T134" s="243">
        <f>IF(Table334[[#This Row],[Category]]="Service Projects Donation",Table334[[#This Row],[Account Deposit Amount]]-Table334[[#This Row],[Account Withdrawl Amount]], )</f>
        <v>0</v>
      </c>
      <c r="U134" s="243">
        <f>IF(Table334[[#This Row],[Category]]="Cookie Debt",Table334[[#This Row],[Account Deposit Amount]]-Table334[[#This Row],[Account Withdrawl Amount]], )</f>
        <v>0</v>
      </c>
      <c r="V134" s="243">
        <f>IF(Table334[[#This Row],[Category]]="Other Expense",Table334[[#This Row],[Account Deposit Amount]]-Table334[[#This Row],[Account Withdrawl Amount]], )</f>
        <v>0</v>
      </c>
    </row>
    <row r="135" spans="1:22">
      <c r="A135" s="225"/>
      <c r="B135" s="241"/>
      <c r="C135" s="244"/>
      <c r="D135" s="225"/>
      <c r="E135" s="242"/>
      <c r="F135" s="242"/>
      <c r="G135" s="243">
        <f t="shared" si="5"/>
        <v>2518.9699999999939</v>
      </c>
      <c r="H135" s="225"/>
      <c r="I135" s="243">
        <f>IF(Table334[[#This Row],[Category]]="Fall Product",Table334[[#This Row],[Account Deposit Amount]]-Table334[[#This Row],[Account Withdrawl Amount]], )</f>
        <v>0</v>
      </c>
      <c r="J135" s="243">
        <f>IF(Table334[[#This Row],[Category]]="Cookies",Table334[[#This Row],[Account Deposit Amount]]-Table334[[#This Row],[Account Withdrawl Amount]], )</f>
        <v>0</v>
      </c>
      <c r="K135" s="243">
        <f>IF(Table334[[#This Row],[Category]]="Additional Money Earning Activities",Table334[[#This Row],[Account Deposit Amount]]-Table334[[#This Row],[Account Withdrawl Amount]], )</f>
        <v>0</v>
      </c>
      <c r="L135" s="243">
        <f>IF(Table334[[#This Row],[Category]]="Sponsorships",Table334[[#This Row],[Account Deposit Amount]]-Table334[[#This Row],[Account Withdrawl Amount]], )</f>
        <v>0</v>
      </c>
      <c r="M135" s="243">
        <f>IF(Table334[[#This Row],[Category]]="Troop Dues",Table334[[#This Row],[Account Deposit Amount]]-Table334[[#This Row],[Account Withdrawl Amount]], )</f>
        <v>0</v>
      </c>
      <c r="N135" s="243">
        <f>IF(Table334[[#This Row],[Category]]="Other Income",Table334[[#This Row],[Account Deposit Amount]]-Table334[[#This Row],[Account Withdrawl Amount]], )</f>
        <v>0</v>
      </c>
      <c r="O135" s="243">
        <f>IF(Table334[[#This Row],[Category]]="Registration",Table334[[#This Row],[Account Deposit Amount]]-Table334[[#This Row],[Account Withdrawl Amount]], )</f>
        <v>0</v>
      </c>
      <c r="P135" s="243">
        <f>IF(Table334[[#This Row],[Category]]="Insignia",Table334[[#This Row],[Account Deposit Amount]]-Table334[[#This Row],[Account Withdrawl Amount]], )</f>
        <v>0</v>
      </c>
      <c r="Q135" s="243">
        <f>IF(Table334[[#This Row],[Category]]="Activities/Program",Table334[[#This Row],[Account Deposit Amount]]-Table334[[#This Row],[Account Withdrawl Amount]], )</f>
        <v>0</v>
      </c>
      <c r="R135" s="243">
        <f>IF(Table334[[#This Row],[Category]]="Travel",Table334[[#This Row],[Account Deposit Amount]]-Table334[[#This Row],[Account Withdrawl Amount]], )</f>
        <v>0</v>
      </c>
      <c r="S135" s="243">
        <f>IF(Table334[[#This Row],[Category]]="Parties Food &amp; Beverages",Table334[[#This Row],[Account Deposit Amount]]-Table334[[#This Row],[Account Withdrawl Amount]], )</f>
        <v>0</v>
      </c>
      <c r="T135" s="243">
        <f>IF(Table334[[#This Row],[Category]]="Service Projects Donation",Table334[[#This Row],[Account Deposit Amount]]-Table334[[#This Row],[Account Withdrawl Amount]], )</f>
        <v>0</v>
      </c>
      <c r="U135" s="243">
        <f>IF(Table334[[#This Row],[Category]]="Cookie Debt",Table334[[#This Row],[Account Deposit Amount]]-Table334[[#This Row],[Account Withdrawl Amount]], )</f>
        <v>0</v>
      </c>
      <c r="V135" s="243">
        <f>IF(Table334[[#This Row],[Category]]="Other Expense",Table334[[#This Row],[Account Deposit Amount]]-Table334[[#This Row],[Account Withdrawl Amount]], )</f>
        <v>0</v>
      </c>
    </row>
    <row r="136" spans="1:22">
      <c r="A136" s="225"/>
      <c r="B136" s="241"/>
      <c r="C136" s="244"/>
      <c r="D136" s="225"/>
      <c r="E136" s="242"/>
      <c r="F136" s="242"/>
      <c r="G136" s="243">
        <f t="shared" si="5"/>
        <v>2518.9699999999939</v>
      </c>
      <c r="H136" s="225"/>
      <c r="I136" s="243">
        <f>IF(Table334[[#This Row],[Category]]="Fall Product",Table334[[#This Row],[Account Deposit Amount]]-Table334[[#This Row],[Account Withdrawl Amount]], )</f>
        <v>0</v>
      </c>
      <c r="J136" s="243">
        <f>IF(Table334[[#This Row],[Category]]="Cookies",Table334[[#This Row],[Account Deposit Amount]]-Table334[[#This Row],[Account Withdrawl Amount]], )</f>
        <v>0</v>
      </c>
      <c r="K136" s="243">
        <f>IF(Table334[[#This Row],[Category]]="Additional Money Earning Activities",Table334[[#This Row],[Account Deposit Amount]]-Table334[[#This Row],[Account Withdrawl Amount]], )</f>
        <v>0</v>
      </c>
      <c r="L136" s="243">
        <f>IF(Table334[[#This Row],[Category]]="Sponsorships",Table334[[#This Row],[Account Deposit Amount]]-Table334[[#This Row],[Account Withdrawl Amount]], )</f>
        <v>0</v>
      </c>
      <c r="M136" s="243">
        <f>IF(Table334[[#This Row],[Category]]="Troop Dues",Table334[[#This Row],[Account Deposit Amount]]-Table334[[#This Row],[Account Withdrawl Amount]], )</f>
        <v>0</v>
      </c>
      <c r="N136" s="243">
        <f>IF(Table334[[#This Row],[Category]]="Other Income",Table334[[#This Row],[Account Deposit Amount]]-Table334[[#This Row],[Account Withdrawl Amount]], )</f>
        <v>0</v>
      </c>
      <c r="O136" s="243">
        <f>IF(Table334[[#This Row],[Category]]="Registration",Table334[[#This Row],[Account Deposit Amount]]-Table334[[#This Row],[Account Withdrawl Amount]], )</f>
        <v>0</v>
      </c>
      <c r="P136" s="243">
        <f>IF(Table334[[#This Row],[Category]]="Insignia",Table334[[#This Row],[Account Deposit Amount]]-Table334[[#This Row],[Account Withdrawl Amount]], )</f>
        <v>0</v>
      </c>
      <c r="Q136" s="243">
        <f>IF(Table334[[#This Row],[Category]]="Activities/Program",Table334[[#This Row],[Account Deposit Amount]]-Table334[[#This Row],[Account Withdrawl Amount]], )</f>
        <v>0</v>
      </c>
      <c r="R136" s="243">
        <f>IF(Table334[[#This Row],[Category]]="Travel",Table334[[#This Row],[Account Deposit Amount]]-Table334[[#This Row],[Account Withdrawl Amount]], )</f>
        <v>0</v>
      </c>
      <c r="S136" s="243">
        <f>IF(Table334[[#This Row],[Category]]="Parties Food &amp; Beverages",Table334[[#This Row],[Account Deposit Amount]]-Table334[[#This Row],[Account Withdrawl Amount]], )</f>
        <v>0</v>
      </c>
      <c r="T136" s="243">
        <f>IF(Table334[[#This Row],[Category]]="Service Projects Donation",Table334[[#This Row],[Account Deposit Amount]]-Table334[[#This Row],[Account Withdrawl Amount]], )</f>
        <v>0</v>
      </c>
      <c r="U136" s="243">
        <f>IF(Table334[[#This Row],[Category]]="Cookie Debt",Table334[[#This Row],[Account Deposit Amount]]-Table334[[#This Row],[Account Withdrawl Amount]], )</f>
        <v>0</v>
      </c>
      <c r="V136" s="243">
        <f>IF(Table334[[#This Row],[Category]]="Other Expense",Table334[[#This Row],[Account Deposit Amount]]-Table334[[#This Row],[Account Withdrawl Amount]], )</f>
        <v>0</v>
      </c>
    </row>
    <row r="137" spans="1:22">
      <c r="A137" s="225"/>
      <c r="B137" s="241"/>
      <c r="C137" s="244"/>
      <c r="D137" s="225"/>
      <c r="E137" s="242"/>
      <c r="F137" s="242"/>
      <c r="G137" s="243">
        <f t="shared" si="5"/>
        <v>2518.9699999999939</v>
      </c>
      <c r="H137" s="225"/>
      <c r="I137" s="243">
        <f>IF(Table334[[#This Row],[Category]]="Fall Product",Table334[[#This Row],[Account Deposit Amount]]-Table334[[#This Row],[Account Withdrawl Amount]], )</f>
        <v>0</v>
      </c>
      <c r="J137" s="243">
        <f>IF(Table334[[#This Row],[Category]]="Cookies",Table334[[#This Row],[Account Deposit Amount]]-Table334[[#This Row],[Account Withdrawl Amount]], )</f>
        <v>0</v>
      </c>
      <c r="K137" s="243">
        <f>IF(Table334[[#This Row],[Category]]="Additional Money Earning Activities",Table334[[#This Row],[Account Deposit Amount]]-Table334[[#This Row],[Account Withdrawl Amount]], )</f>
        <v>0</v>
      </c>
      <c r="L137" s="243">
        <f>IF(Table334[[#This Row],[Category]]="Sponsorships",Table334[[#This Row],[Account Deposit Amount]]-Table334[[#This Row],[Account Withdrawl Amount]], )</f>
        <v>0</v>
      </c>
      <c r="M137" s="243">
        <f>IF(Table334[[#This Row],[Category]]="Troop Dues",Table334[[#This Row],[Account Deposit Amount]]-Table334[[#This Row],[Account Withdrawl Amount]], )</f>
        <v>0</v>
      </c>
      <c r="N137" s="243">
        <f>IF(Table334[[#This Row],[Category]]="Other Income",Table334[[#This Row],[Account Deposit Amount]]-Table334[[#This Row],[Account Withdrawl Amount]], )</f>
        <v>0</v>
      </c>
      <c r="O137" s="243">
        <f>IF(Table334[[#This Row],[Category]]="Registration",Table334[[#This Row],[Account Deposit Amount]]-Table334[[#This Row],[Account Withdrawl Amount]], )</f>
        <v>0</v>
      </c>
      <c r="P137" s="243">
        <f>IF(Table334[[#This Row],[Category]]="Insignia",Table334[[#This Row],[Account Deposit Amount]]-Table334[[#This Row],[Account Withdrawl Amount]], )</f>
        <v>0</v>
      </c>
      <c r="Q137" s="243">
        <f>IF(Table334[[#This Row],[Category]]="Activities/Program",Table334[[#This Row],[Account Deposit Amount]]-Table334[[#This Row],[Account Withdrawl Amount]], )</f>
        <v>0</v>
      </c>
      <c r="R137" s="243">
        <f>IF(Table334[[#This Row],[Category]]="Travel",Table334[[#This Row],[Account Deposit Amount]]-Table334[[#This Row],[Account Withdrawl Amount]], )</f>
        <v>0</v>
      </c>
      <c r="S137" s="243">
        <f>IF(Table334[[#This Row],[Category]]="Parties Food &amp; Beverages",Table334[[#This Row],[Account Deposit Amount]]-Table334[[#This Row],[Account Withdrawl Amount]], )</f>
        <v>0</v>
      </c>
      <c r="T137" s="243">
        <f>IF(Table334[[#This Row],[Category]]="Service Projects Donation",Table334[[#This Row],[Account Deposit Amount]]-Table334[[#This Row],[Account Withdrawl Amount]], )</f>
        <v>0</v>
      </c>
      <c r="U137" s="243">
        <f>IF(Table334[[#This Row],[Category]]="Cookie Debt",Table334[[#This Row],[Account Deposit Amount]]-Table334[[#This Row],[Account Withdrawl Amount]], )</f>
        <v>0</v>
      </c>
      <c r="V137" s="243">
        <f>IF(Table334[[#This Row],[Category]]="Other Expense",Table334[[#This Row],[Account Deposit Amount]]-Table334[[#This Row],[Account Withdrawl Amount]], )</f>
        <v>0</v>
      </c>
    </row>
    <row r="138" spans="1:22">
      <c r="A138" s="225"/>
      <c r="B138" s="241"/>
      <c r="C138" s="244"/>
      <c r="D138" s="225"/>
      <c r="E138" s="242"/>
      <c r="F138" s="242"/>
      <c r="G138" s="243">
        <f t="shared" si="5"/>
        <v>2518.9699999999939</v>
      </c>
      <c r="H138" s="225"/>
      <c r="I138" s="243">
        <f>IF(Table334[[#This Row],[Category]]="Fall Product",Table334[[#This Row],[Account Deposit Amount]]-Table334[[#This Row],[Account Withdrawl Amount]], )</f>
        <v>0</v>
      </c>
      <c r="J138" s="243">
        <f>IF(Table334[[#This Row],[Category]]="Cookies",Table334[[#This Row],[Account Deposit Amount]]-Table334[[#This Row],[Account Withdrawl Amount]], )</f>
        <v>0</v>
      </c>
      <c r="K138" s="243">
        <f>IF(Table334[[#This Row],[Category]]="Additional Money Earning Activities",Table334[[#This Row],[Account Deposit Amount]]-Table334[[#This Row],[Account Withdrawl Amount]], )</f>
        <v>0</v>
      </c>
      <c r="L138" s="243">
        <f>IF(Table334[[#This Row],[Category]]="Sponsorships",Table334[[#This Row],[Account Deposit Amount]]-Table334[[#This Row],[Account Withdrawl Amount]], )</f>
        <v>0</v>
      </c>
      <c r="M138" s="243">
        <f>IF(Table334[[#This Row],[Category]]="Troop Dues",Table334[[#This Row],[Account Deposit Amount]]-Table334[[#This Row],[Account Withdrawl Amount]], )</f>
        <v>0</v>
      </c>
      <c r="N138" s="243">
        <f>IF(Table334[[#This Row],[Category]]="Other Income",Table334[[#This Row],[Account Deposit Amount]]-Table334[[#This Row],[Account Withdrawl Amount]], )</f>
        <v>0</v>
      </c>
      <c r="O138" s="243">
        <f>IF(Table334[[#This Row],[Category]]="Registration",Table334[[#This Row],[Account Deposit Amount]]-Table334[[#This Row],[Account Withdrawl Amount]], )</f>
        <v>0</v>
      </c>
      <c r="P138" s="243">
        <f>IF(Table334[[#This Row],[Category]]="Insignia",Table334[[#This Row],[Account Deposit Amount]]-Table334[[#This Row],[Account Withdrawl Amount]], )</f>
        <v>0</v>
      </c>
      <c r="Q138" s="243">
        <f>IF(Table334[[#This Row],[Category]]="Activities/Program",Table334[[#This Row],[Account Deposit Amount]]-Table334[[#This Row],[Account Withdrawl Amount]], )</f>
        <v>0</v>
      </c>
      <c r="R138" s="243">
        <f>IF(Table334[[#This Row],[Category]]="Travel",Table334[[#This Row],[Account Deposit Amount]]-Table334[[#This Row],[Account Withdrawl Amount]], )</f>
        <v>0</v>
      </c>
      <c r="S138" s="243">
        <f>IF(Table334[[#This Row],[Category]]="Parties Food &amp; Beverages",Table334[[#This Row],[Account Deposit Amount]]-Table334[[#This Row],[Account Withdrawl Amount]], )</f>
        <v>0</v>
      </c>
      <c r="T138" s="243">
        <f>IF(Table334[[#This Row],[Category]]="Service Projects Donation",Table334[[#This Row],[Account Deposit Amount]]-Table334[[#This Row],[Account Withdrawl Amount]], )</f>
        <v>0</v>
      </c>
      <c r="U138" s="243">
        <f>IF(Table334[[#This Row],[Category]]="Cookie Debt",Table334[[#This Row],[Account Deposit Amount]]-Table334[[#This Row],[Account Withdrawl Amount]], )</f>
        <v>0</v>
      </c>
      <c r="V138" s="243">
        <f>IF(Table334[[#This Row],[Category]]="Other Expense",Table334[[#This Row],[Account Deposit Amount]]-Table334[[#This Row],[Account Withdrawl Amount]], )</f>
        <v>0</v>
      </c>
    </row>
    <row r="139" spans="1:22">
      <c r="A139" s="225"/>
      <c r="B139" s="241"/>
      <c r="C139" s="244"/>
      <c r="D139" s="225"/>
      <c r="E139" s="242"/>
      <c r="F139" s="242"/>
      <c r="G139" s="243">
        <f t="shared" si="5"/>
        <v>2518.9699999999939</v>
      </c>
      <c r="H139" s="225"/>
      <c r="I139" s="243">
        <f>IF(Table334[[#This Row],[Category]]="Fall Product",Table334[[#This Row],[Account Deposit Amount]]-Table334[[#This Row],[Account Withdrawl Amount]], )</f>
        <v>0</v>
      </c>
      <c r="J139" s="243">
        <f>IF(Table334[[#This Row],[Category]]="Cookies",Table334[[#This Row],[Account Deposit Amount]]-Table334[[#This Row],[Account Withdrawl Amount]], )</f>
        <v>0</v>
      </c>
      <c r="K139" s="243">
        <f>IF(Table334[[#This Row],[Category]]="Additional Money Earning Activities",Table334[[#This Row],[Account Deposit Amount]]-Table334[[#This Row],[Account Withdrawl Amount]], )</f>
        <v>0</v>
      </c>
      <c r="L139" s="243">
        <f>IF(Table334[[#This Row],[Category]]="Sponsorships",Table334[[#This Row],[Account Deposit Amount]]-Table334[[#This Row],[Account Withdrawl Amount]], )</f>
        <v>0</v>
      </c>
      <c r="M139" s="243">
        <f>IF(Table334[[#This Row],[Category]]="Troop Dues",Table334[[#This Row],[Account Deposit Amount]]-Table334[[#This Row],[Account Withdrawl Amount]], )</f>
        <v>0</v>
      </c>
      <c r="N139" s="243">
        <f>IF(Table334[[#This Row],[Category]]="Other Income",Table334[[#This Row],[Account Deposit Amount]]-Table334[[#This Row],[Account Withdrawl Amount]], )</f>
        <v>0</v>
      </c>
      <c r="O139" s="243">
        <f>IF(Table334[[#This Row],[Category]]="Registration",Table334[[#This Row],[Account Deposit Amount]]-Table334[[#This Row],[Account Withdrawl Amount]], )</f>
        <v>0</v>
      </c>
      <c r="P139" s="243">
        <f>IF(Table334[[#This Row],[Category]]="Insignia",Table334[[#This Row],[Account Deposit Amount]]-Table334[[#This Row],[Account Withdrawl Amount]], )</f>
        <v>0</v>
      </c>
      <c r="Q139" s="243">
        <f>IF(Table334[[#This Row],[Category]]="Activities/Program",Table334[[#This Row],[Account Deposit Amount]]-Table334[[#This Row],[Account Withdrawl Amount]], )</f>
        <v>0</v>
      </c>
      <c r="R139" s="243">
        <f>IF(Table334[[#This Row],[Category]]="Travel",Table334[[#This Row],[Account Deposit Amount]]-Table334[[#This Row],[Account Withdrawl Amount]], )</f>
        <v>0</v>
      </c>
      <c r="S139" s="243">
        <f>IF(Table334[[#This Row],[Category]]="Parties Food &amp; Beverages",Table334[[#This Row],[Account Deposit Amount]]-Table334[[#This Row],[Account Withdrawl Amount]], )</f>
        <v>0</v>
      </c>
      <c r="T139" s="243">
        <f>IF(Table334[[#This Row],[Category]]="Service Projects Donation",Table334[[#This Row],[Account Deposit Amount]]-Table334[[#This Row],[Account Withdrawl Amount]], )</f>
        <v>0</v>
      </c>
      <c r="U139" s="243">
        <f>IF(Table334[[#This Row],[Category]]="Cookie Debt",Table334[[#This Row],[Account Deposit Amount]]-Table334[[#This Row],[Account Withdrawl Amount]], )</f>
        <v>0</v>
      </c>
      <c r="V139" s="243">
        <f>IF(Table334[[#This Row],[Category]]="Other Expense",Table334[[#This Row],[Account Deposit Amount]]-Table334[[#This Row],[Account Withdrawl Amount]], )</f>
        <v>0</v>
      </c>
    </row>
    <row r="140" spans="1:22">
      <c r="A140" s="225"/>
      <c r="B140" s="241"/>
      <c r="C140" s="244"/>
      <c r="D140" s="225"/>
      <c r="E140" s="242"/>
      <c r="F140" s="242"/>
      <c r="G140" s="243">
        <f t="shared" si="5"/>
        <v>2518.9699999999939</v>
      </c>
      <c r="H140" s="225"/>
      <c r="I140" s="243">
        <f>IF(Table334[[#This Row],[Category]]="Fall Product",Table334[[#This Row],[Account Deposit Amount]]-Table334[[#This Row],[Account Withdrawl Amount]], )</f>
        <v>0</v>
      </c>
      <c r="J140" s="243">
        <f>IF(Table334[[#This Row],[Category]]="Cookies",Table334[[#This Row],[Account Deposit Amount]]-Table334[[#This Row],[Account Withdrawl Amount]], )</f>
        <v>0</v>
      </c>
      <c r="K140" s="243">
        <f>IF(Table334[[#This Row],[Category]]="Additional Money Earning Activities",Table334[[#This Row],[Account Deposit Amount]]-Table334[[#This Row],[Account Withdrawl Amount]], )</f>
        <v>0</v>
      </c>
      <c r="L140" s="243">
        <f>IF(Table334[[#This Row],[Category]]="Sponsorships",Table334[[#This Row],[Account Deposit Amount]]-Table334[[#This Row],[Account Withdrawl Amount]], )</f>
        <v>0</v>
      </c>
      <c r="M140" s="243">
        <f>IF(Table334[[#This Row],[Category]]="Troop Dues",Table334[[#This Row],[Account Deposit Amount]]-Table334[[#This Row],[Account Withdrawl Amount]], )</f>
        <v>0</v>
      </c>
      <c r="N140" s="243">
        <f>IF(Table334[[#This Row],[Category]]="Other Income",Table334[[#This Row],[Account Deposit Amount]]-Table334[[#This Row],[Account Withdrawl Amount]], )</f>
        <v>0</v>
      </c>
      <c r="O140" s="243">
        <f>IF(Table334[[#This Row],[Category]]="Registration",Table334[[#This Row],[Account Deposit Amount]]-Table334[[#This Row],[Account Withdrawl Amount]], )</f>
        <v>0</v>
      </c>
      <c r="P140" s="243">
        <f>IF(Table334[[#This Row],[Category]]="Insignia",Table334[[#This Row],[Account Deposit Amount]]-Table334[[#This Row],[Account Withdrawl Amount]], )</f>
        <v>0</v>
      </c>
      <c r="Q140" s="243">
        <f>IF(Table334[[#This Row],[Category]]="Activities/Program",Table334[[#This Row],[Account Deposit Amount]]-Table334[[#This Row],[Account Withdrawl Amount]], )</f>
        <v>0</v>
      </c>
      <c r="R140" s="243">
        <f>IF(Table334[[#This Row],[Category]]="Travel",Table334[[#This Row],[Account Deposit Amount]]-Table334[[#This Row],[Account Withdrawl Amount]], )</f>
        <v>0</v>
      </c>
      <c r="S140" s="243">
        <f>IF(Table334[[#This Row],[Category]]="Parties Food &amp; Beverages",Table334[[#This Row],[Account Deposit Amount]]-Table334[[#This Row],[Account Withdrawl Amount]], )</f>
        <v>0</v>
      </c>
      <c r="T140" s="243">
        <f>IF(Table334[[#This Row],[Category]]="Service Projects Donation",Table334[[#This Row],[Account Deposit Amount]]-Table334[[#This Row],[Account Withdrawl Amount]], )</f>
        <v>0</v>
      </c>
      <c r="U140" s="243">
        <f>IF(Table334[[#This Row],[Category]]="Cookie Debt",Table334[[#This Row],[Account Deposit Amount]]-Table334[[#This Row],[Account Withdrawl Amount]], )</f>
        <v>0</v>
      </c>
      <c r="V140" s="243">
        <f>IF(Table334[[#This Row],[Category]]="Other Expense",Table334[[#This Row],[Account Deposit Amount]]-Table334[[#This Row],[Account Withdrawl Amount]], )</f>
        <v>0</v>
      </c>
    </row>
    <row r="141" spans="1:22">
      <c r="A141" s="225"/>
      <c r="B141" s="241"/>
      <c r="C141" s="244"/>
      <c r="D141" s="225"/>
      <c r="E141" s="242"/>
      <c r="F141" s="242"/>
      <c r="G141" s="243">
        <f t="shared" si="5"/>
        <v>2518.9699999999939</v>
      </c>
      <c r="H141" s="225"/>
      <c r="I141" s="243">
        <f>IF(Table334[[#This Row],[Category]]="Fall Product",Table334[[#This Row],[Account Deposit Amount]]-Table334[[#This Row],[Account Withdrawl Amount]], )</f>
        <v>0</v>
      </c>
      <c r="J141" s="243">
        <f>IF(Table334[[#This Row],[Category]]="Cookies",Table334[[#This Row],[Account Deposit Amount]]-Table334[[#This Row],[Account Withdrawl Amount]], )</f>
        <v>0</v>
      </c>
      <c r="K141" s="243">
        <f>IF(Table334[[#This Row],[Category]]="Additional Money Earning Activities",Table334[[#This Row],[Account Deposit Amount]]-Table334[[#This Row],[Account Withdrawl Amount]], )</f>
        <v>0</v>
      </c>
      <c r="L141" s="243">
        <f>IF(Table334[[#This Row],[Category]]="Sponsorships",Table334[[#This Row],[Account Deposit Amount]]-Table334[[#This Row],[Account Withdrawl Amount]], )</f>
        <v>0</v>
      </c>
      <c r="M141" s="243">
        <f>IF(Table334[[#This Row],[Category]]="Troop Dues",Table334[[#This Row],[Account Deposit Amount]]-Table334[[#This Row],[Account Withdrawl Amount]], )</f>
        <v>0</v>
      </c>
      <c r="N141" s="243">
        <f>IF(Table334[[#This Row],[Category]]="Other Income",Table334[[#This Row],[Account Deposit Amount]]-Table334[[#This Row],[Account Withdrawl Amount]], )</f>
        <v>0</v>
      </c>
      <c r="O141" s="243">
        <f>IF(Table334[[#This Row],[Category]]="Registration",Table334[[#This Row],[Account Deposit Amount]]-Table334[[#This Row],[Account Withdrawl Amount]], )</f>
        <v>0</v>
      </c>
      <c r="P141" s="243">
        <f>IF(Table334[[#This Row],[Category]]="Insignia",Table334[[#This Row],[Account Deposit Amount]]-Table334[[#This Row],[Account Withdrawl Amount]], )</f>
        <v>0</v>
      </c>
      <c r="Q141" s="243">
        <f>IF(Table334[[#This Row],[Category]]="Activities/Program",Table334[[#This Row],[Account Deposit Amount]]-Table334[[#This Row],[Account Withdrawl Amount]], )</f>
        <v>0</v>
      </c>
      <c r="R141" s="243">
        <f>IF(Table334[[#This Row],[Category]]="Travel",Table334[[#This Row],[Account Deposit Amount]]-Table334[[#This Row],[Account Withdrawl Amount]], )</f>
        <v>0</v>
      </c>
      <c r="S141" s="243">
        <f>IF(Table334[[#This Row],[Category]]="Parties Food &amp; Beverages",Table334[[#This Row],[Account Deposit Amount]]-Table334[[#This Row],[Account Withdrawl Amount]], )</f>
        <v>0</v>
      </c>
      <c r="T141" s="243">
        <f>IF(Table334[[#This Row],[Category]]="Service Projects Donation",Table334[[#This Row],[Account Deposit Amount]]-Table334[[#This Row],[Account Withdrawl Amount]], )</f>
        <v>0</v>
      </c>
      <c r="U141" s="243">
        <f>IF(Table334[[#This Row],[Category]]="Cookie Debt",Table334[[#This Row],[Account Deposit Amount]]-Table334[[#This Row],[Account Withdrawl Amount]], )</f>
        <v>0</v>
      </c>
      <c r="V141" s="243">
        <f>IF(Table334[[#This Row],[Category]]="Other Expense",Table334[[#This Row],[Account Deposit Amount]]-Table334[[#This Row],[Account Withdrawl Amount]], )</f>
        <v>0</v>
      </c>
    </row>
    <row r="142" spans="1:22">
      <c r="A142" s="225"/>
      <c r="B142" s="241"/>
      <c r="C142" s="244"/>
      <c r="D142" s="225"/>
      <c r="E142" s="242"/>
      <c r="F142" s="242"/>
      <c r="G142" s="243">
        <f t="shared" si="5"/>
        <v>2518.9699999999939</v>
      </c>
      <c r="H142" s="225"/>
      <c r="I142" s="243">
        <f>IF(Table334[[#This Row],[Category]]="Fall Product",Table334[[#This Row],[Account Deposit Amount]]-Table334[[#This Row],[Account Withdrawl Amount]], )</f>
        <v>0</v>
      </c>
      <c r="J142" s="243">
        <f>IF(Table334[[#This Row],[Category]]="Cookies",Table334[[#This Row],[Account Deposit Amount]]-Table334[[#This Row],[Account Withdrawl Amount]], )</f>
        <v>0</v>
      </c>
      <c r="K142" s="243">
        <f>IF(Table334[[#This Row],[Category]]="Additional Money Earning Activities",Table334[[#This Row],[Account Deposit Amount]]-Table334[[#This Row],[Account Withdrawl Amount]], )</f>
        <v>0</v>
      </c>
      <c r="L142" s="243">
        <f>IF(Table334[[#This Row],[Category]]="Sponsorships",Table334[[#This Row],[Account Deposit Amount]]-Table334[[#This Row],[Account Withdrawl Amount]], )</f>
        <v>0</v>
      </c>
      <c r="M142" s="243">
        <f>IF(Table334[[#This Row],[Category]]="Troop Dues",Table334[[#This Row],[Account Deposit Amount]]-Table334[[#This Row],[Account Withdrawl Amount]], )</f>
        <v>0</v>
      </c>
      <c r="N142" s="243">
        <f>IF(Table334[[#This Row],[Category]]="Other Income",Table334[[#This Row],[Account Deposit Amount]]-Table334[[#This Row],[Account Withdrawl Amount]], )</f>
        <v>0</v>
      </c>
      <c r="O142" s="243">
        <f>IF(Table334[[#This Row],[Category]]="Registration",Table334[[#This Row],[Account Deposit Amount]]-Table334[[#This Row],[Account Withdrawl Amount]], )</f>
        <v>0</v>
      </c>
      <c r="P142" s="243">
        <f>IF(Table334[[#This Row],[Category]]="Insignia",Table334[[#This Row],[Account Deposit Amount]]-Table334[[#This Row],[Account Withdrawl Amount]], )</f>
        <v>0</v>
      </c>
      <c r="Q142" s="243">
        <f>IF(Table334[[#This Row],[Category]]="Activities/Program",Table334[[#This Row],[Account Deposit Amount]]-Table334[[#This Row],[Account Withdrawl Amount]], )</f>
        <v>0</v>
      </c>
      <c r="R142" s="243">
        <f>IF(Table334[[#This Row],[Category]]="Travel",Table334[[#This Row],[Account Deposit Amount]]-Table334[[#This Row],[Account Withdrawl Amount]], )</f>
        <v>0</v>
      </c>
      <c r="S142" s="243">
        <f>IF(Table334[[#This Row],[Category]]="Parties Food &amp; Beverages",Table334[[#This Row],[Account Deposit Amount]]-Table334[[#This Row],[Account Withdrawl Amount]], )</f>
        <v>0</v>
      </c>
      <c r="T142" s="243">
        <f>IF(Table334[[#This Row],[Category]]="Service Projects Donation",Table334[[#This Row],[Account Deposit Amount]]-Table334[[#This Row],[Account Withdrawl Amount]], )</f>
        <v>0</v>
      </c>
      <c r="U142" s="243">
        <f>IF(Table334[[#This Row],[Category]]="Cookie Debt",Table334[[#This Row],[Account Deposit Amount]]-Table334[[#This Row],[Account Withdrawl Amount]], )</f>
        <v>0</v>
      </c>
      <c r="V142" s="243">
        <f>IF(Table334[[#This Row],[Category]]="Other Expense",Table334[[#This Row],[Account Deposit Amount]]-Table334[[#This Row],[Account Withdrawl Amount]], )</f>
        <v>0</v>
      </c>
    </row>
    <row r="143" spans="1:22">
      <c r="A143" s="225"/>
      <c r="B143" s="241"/>
      <c r="C143" s="244"/>
      <c r="D143" s="225"/>
      <c r="E143" s="242"/>
      <c r="F143" s="242"/>
      <c r="G143" s="243">
        <f t="shared" si="5"/>
        <v>2518.9699999999939</v>
      </c>
      <c r="H143" s="225"/>
      <c r="I143" s="243">
        <f>IF(Table334[[#This Row],[Category]]="Fall Product",Table334[[#This Row],[Account Deposit Amount]]-Table334[[#This Row],[Account Withdrawl Amount]], )</f>
        <v>0</v>
      </c>
      <c r="J143" s="243">
        <f>IF(Table334[[#This Row],[Category]]="Cookies",Table334[[#This Row],[Account Deposit Amount]]-Table334[[#This Row],[Account Withdrawl Amount]], )</f>
        <v>0</v>
      </c>
      <c r="K143" s="243">
        <f>IF(Table334[[#This Row],[Category]]="Additional Money Earning Activities",Table334[[#This Row],[Account Deposit Amount]]-Table334[[#This Row],[Account Withdrawl Amount]], )</f>
        <v>0</v>
      </c>
      <c r="L143" s="243">
        <f>IF(Table334[[#This Row],[Category]]="Sponsorships",Table334[[#This Row],[Account Deposit Amount]]-Table334[[#This Row],[Account Withdrawl Amount]], )</f>
        <v>0</v>
      </c>
      <c r="M143" s="243">
        <f>IF(Table334[[#This Row],[Category]]="Troop Dues",Table334[[#This Row],[Account Deposit Amount]]-Table334[[#This Row],[Account Withdrawl Amount]], )</f>
        <v>0</v>
      </c>
      <c r="N143" s="243">
        <f>IF(Table334[[#This Row],[Category]]="Other Income",Table334[[#This Row],[Account Deposit Amount]]-Table334[[#This Row],[Account Withdrawl Amount]], )</f>
        <v>0</v>
      </c>
      <c r="O143" s="243">
        <f>IF(Table334[[#This Row],[Category]]="Registration",Table334[[#This Row],[Account Deposit Amount]]-Table334[[#This Row],[Account Withdrawl Amount]], )</f>
        <v>0</v>
      </c>
      <c r="P143" s="243">
        <f>IF(Table334[[#This Row],[Category]]="Insignia",Table334[[#This Row],[Account Deposit Amount]]-Table334[[#This Row],[Account Withdrawl Amount]], )</f>
        <v>0</v>
      </c>
      <c r="Q143" s="243">
        <f>IF(Table334[[#This Row],[Category]]="Activities/Program",Table334[[#This Row],[Account Deposit Amount]]-Table334[[#This Row],[Account Withdrawl Amount]], )</f>
        <v>0</v>
      </c>
      <c r="R143" s="243">
        <f>IF(Table334[[#This Row],[Category]]="Travel",Table334[[#This Row],[Account Deposit Amount]]-Table334[[#This Row],[Account Withdrawl Amount]], )</f>
        <v>0</v>
      </c>
      <c r="S143" s="243">
        <f>IF(Table334[[#This Row],[Category]]="Parties Food &amp; Beverages",Table334[[#This Row],[Account Deposit Amount]]-Table334[[#This Row],[Account Withdrawl Amount]], )</f>
        <v>0</v>
      </c>
      <c r="T143" s="243">
        <f>IF(Table334[[#This Row],[Category]]="Service Projects Donation",Table334[[#This Row],[Account Deposit Amount]]-Table334[[#This Row],[Account Withdrawl Amount]], )</f>
        <v>0</v>
      </c>
      <c r="U143" s="243">
        <f>IF(Table334[[#This Row],[Category]]="Cookie Debt",Table334[[#This Row],[Account Deposit Amount]]-Table334[[#This Row],[Account Withdrawl Amount]], )</f>
        <v>0</v>
      </c>
      <c r="V143" s="243">
        <f>IF(Table334[[#This Row],[Category]]="Other Expense",Table334[[#This Row],[Account Deposit Amount]]-Table334[[#This Row],[Account Withdrawl Amount]], )</f>
        <v>0</v>
      </c>
    </row>
    <row r="144" spans="1:22">
      <c r="A144" s="225"/>
      <c r="B144" s="241"/>
      <c r="C144" s="244"/>
      <c r="D144" s="225"/>
      <c r="E144" s="242"/>
      <c r="F144" s="242"/>
      <c r="G144" s="243">
        <f t="shared" si="5"/>
        <v>2518.9699999999939</v>
      </c>
      <c r="H144" s="225"/>
      <c r="I144" s="243">
        <f>IF(Table334[[#This Row],[Category]]="Fall Product",Table334[[#This Row],[Account Deposit Amount]]-Table334[[#This Row],[Account Withdrawl Amount]], )</f>
        <v>0</v>
      </c>
      <c r="J144" s="243">
        <f>IF(Table334[[#This Row],[Category]]="Cookies",Table334[[#This Row],[Account Deposit Amount]]-Table334[[#This Row],[Account Withdrawl Amount]], )</f>
        <v>0</v>
      </c>
      <c r="K144" s="243">
        <f>IF(Table334[[#This Row],[Category]]="Additional Money Earning Activities",Table334[[#This Row],[Account Deposit Amount]]-Table334[[#This Row],[Account Withdrawl Amount]], )</f>
        <v>0</v>
      </c>
      <c r="L144" s="243">
        <f>IF(Table334[[#This Row],[Category]]="Sponsorships",Table334[[#This Row],[Account Deposit Amount]]-Table334[[#This Row],[Account Withdrawl Amount]], )</f>
        <v>0</v>
      </c>
      <c r="M144" s="243">
        <f>IF(Table334[[#This Row],[Category]]="Troop Dues",Table334[[#This Row],[Account Deposit Amount]]-Table334[[#This Row],[Account Withdrawl Amount]], )</f>
        <v>0</v>
      </c>
      <c r="N144" s="243">
        <f>IF(Table334[[#This Row],[Category]]="Other Income",Table334[[#This Row],[Account Deposit Amount]]-Table334[[#This Row],[Account Withdrawl Amount]], )</f>
        <v>0</v>
      </c>
      <c r="O144" s="243">
        <f>IF(Table334[[#This Row],[Category]]="Registration",Table334[[#This Row],[Account Deposit Amount]]-Table334[[#This Row],[Account Withdrawl Amount]], )</f>
        <v>0</v>
      </c>
      <c r="P144" s="243">
        <f>IF(Table334[[#This Row],[Category]]="Insignia",Table334[[#This Row],[Account Deposit Amount]]-Table334[[#This Row],[Account Withdrawl Amount]], )</f>
        <v>0</v>
      </c>
      <c r="Q144" s="243">
        <f>IF(Table334[[#This Row],[Category]]="Activities/Program",Table334[[#This Row],[Account Deposit Amount]]-Table334[[#This Row],[Account Withdrawl Amount]], )</f>
        <v>0</v>
      </c>
      <c r="R144" s="243">
        <f>IF(Table334[[#This Row],[Category]]="Travel",Table334[[#This Row],[Account Deposit Amount]]-Table334[[#This Row],[Account Withdrawl Amount]], )</f>
        <v>0</v>
      </c>
      <c r="S144" s="243">
        <f>IF(Table334[[#This Row],[Category]]="Parties Food &amp; Beverages",Table334[[#This Row],[Account Deposit Amount]]-Table334[[#This Row],[Account Withdrawl Amount]], )</f>
        <v>0</v>
      </c>
      <c r="T144" s="243">
        <f>IF(Table334[[#This Row],[Category]]="Service Projects Donation",Table334[[#This Row],[Account Deposit Amount]]-Table334[[#This Row],[Account Withdrawl Amount]], )</f>
        <v>0</v>
      </c>
      <c r="U144" s="243">
        <f>IF(Table334[[#This Row],[Category]]="Cookie Debt",Table334[[#This Row],[Account Deposit Amount]]-Table334[[#This Row],[Account Withdrawl Amount]], )</f>
        <v>0</v>
      </c>
      <c r="V144" s="243">
        <f>IF(Table334[[#This Row],[Category]]="Other Expense",Table334[[#This Row],[Account Deposit Amount]]-Table334[[#This Row],[Account Withdrawl Amount]], )</f>
        <v>0</v>
      </c>
    </row>
    <row r="145" spans="1:22">
      <c r="A145" s="225"/>
      <c r="B145" s="241"/>
      <c r="C145" s="244"/>
      <c r="D145" s="225"/>
      <c r="E145" s="242"/>
      <c r="F145" s="242"/>
      <c r="G145" s="243">
        <f t="shared" si="5"/>
        <v>2518.9699999999939</v>
      </c>
      <c r="H145" s="225"/>
      <c r="I145" s="243">
        <f>IF(Table334[[#This Row],[Category]]="Fall Product",Table334[[#This Row],[Account Deposit Amount]]-Table334[[#This Row],[Account Withdrawl Amount]], )</f>
        <v>0</v>
      </c>
      <c r="J145" s="243">
        <f>IF(Table334[[#This Row],[Category]]="Cookies",Table334[[#This Row],[Account Deposit Amount]]-Table334[[#This Row],[Account Withdrawl Amount]], )</f>
        <v>0</v>
      </c>
      <c r="K145" s="243">
        <f>IF(Table334[[#This Row],[Category]]="Additional Money Earning Activities",Table334[[#This Row],[Account Deposit Amount]]-Table334[[#This Row],[Account Withdrawl Amount]], )</f>
        <v>0</v>
      </c>
      <c r="L145" s="243">
        <f>IF(Table334[[#This Row],[Category]]="Sponsorships",Table334[[#This Row],[Account Deposit Amount]]-Table334[[#This Row],[Account Withdrawl Amount]], )</f>
        <v>0</v>
      </c>
      <c r="M145" s="243">
        <f>IF(Table334[[#This Row],[Category]]="Troop Dues",Table334[[#This Row],[Account Deposit Amount]]-Table334[[#This Row],[Account Withdrawl Amount]], )</f>
        <v>0</v>
      </c>
      <c r="N145" s="243">
        <f>IF(Table334[[#This Row],[Category]]="Other Income",Table334[[#This Row],[Account Deposit Amount]]-Table334[[#This Row],[Account Withdrawl Amount]], )</f>
        <v>0</v>
      </c>
      <c r="O145" s="243">
        <f>IF(Table334[[#This Row],[Category]]="Registration",Table334[[#This Row],[Account Deposit Amount]]-Table334[[#This Row],[Account Withdrawl Amount]], )</f>
        <v>0</v>
      </c>
      <c r="P145" s="243">
        <f>IF(Table334[[#This Row],[Category]]="Insignia",Table334[[#This Row],[Account Deposit Amount]]-Table334[[#This Row],[Account Withdrawl Amount]], )</f>
        <v>0</v>
      </c>
      <c r="Q145" s="243">
        <f>IF(Table334[[#This Row],[Category]]="Activities/Program",Table334[[#This Row],[Account Deposit Amount]]-Table334[[#This Row],[Account Withdrawl Amount]], )</f>
        <v>0</v>
      </c>
      <c r="R145" s="243">
        <f>IF(Table334[[#This Row],[Category]]="Travel",Table334[[#This Row],[Account Deposit Amount]]-Table334[[#This Row],[Account Withdrawl Amount]], )</f>
        <v>0</v>
      </c>
      <c r="S145" s="243">
        <f>IF(Table334[[#This Row],[Category]]="Parties Food &amp; Beverages",Table334[[#This Row],[Account Deposit Amount]]-Table334[[#This Row],[Account Withdrawl Amount]], )</f>
        <v>0</v>
      </c>
      <c r="T145" s="243">
        <f>IF(Table334[[#This Row],[Category]]="Service Projects Donation",Table334[[#This Row],[Account Deposit Amount]]-Table334[[#This Row],[Account Withdrawl Amount]], )</f>
        <v>0</v>
      </c>
      <c r="U145" s="243">
        <f>IF(Table334[[#This Row],[Category]]="Cookie Debt",Table334[[#This Row],[Account Deposit Amount]]-Table334[[#This Row],[Account Withdrawl Amount]], )</f>
        <v>0</v>
      </c>
      <c r="V145" s="243">
        <f>IF(Table334[[#This Row],[Category]]="Other Expense",Table334[[#This Row],[Account Deposit Amount]]-Table334[[#This Row],[Account Withdrawl Amount]], )</f>
        <v>0</v>
      </c>
    </row>
    <row r="146" spans="1:22">
      <c r="A146" s="225"/>
      <c r="B146" s="241"/>
      <c r="C146" s="244"/>
      <c r="D146" s="225"/>
      <c r="E146" s="242"/>
      <c r="F146" s="242"/>
      <c r="G146" s="243">
        <f t="shared" si="5"/>
        <v>2518.9699999999939</v>
      </c>
      <c r="H146" s="225"/>
      <c r="I146" s="243">
        <f>IF(Table334[[#This Row],[Category]]="Fall Product",Table334[[#This Row],[Account Deposit Amount]]-Table334[[#This Row],[Account Withdrawl Amount]], )</f>
        <v>0</v>
      </c>
      <c r="J146" s="243">
        <f>IF(Table334[[#This Row],[Category]]="Cookies",Table334[[#This Row],[Account Deposit Amount]]-Table334[[#This Row],[Account Withdrawl Amount]], )</f>
        <v>0</v>
      </c>
      <c r="K146" s="243">
        <f>IF(Table334[[#This Row],[Category]]="Additional Money Earning Activities",Table334[[#This Row],[Account Deposit Amount]]-Table334[[#This Row],[Account Withdrawl Amount]], )</f>
        <v>0</v>
      </c>
      <c r="L146" s="243">
        <f>IF(Table334[[#This Row],[Category]]="Sponsorships",Table334[[#This Row],[Account Deposit Amount]]-Table334[[#This Row],[Account Withdrawl Amount]], )</f>
        <v>0</v>
      </c>
      <c r="M146" s="243">
        <f>IF(Table334[[#This Row],[Category]]="Troop Dues",Table334[[#This Row],[Account Deposit Amount]]-Table334[[#This Row],[Account Withdrawl Amount]], )</f>
        <v>0</v>
      </c>
      <c r="N146" s="243">
        <f>IF(Table334[[#This Row],[Category]]="Other Income",Table334[[#This Row],[Account Deposit Amount]]-Table334[[#This Row],[Account Withdrawl Amount]], )</f>
        <v>0</v>
      </c>
      <c r="O146" s="243">
        <f>IF(Table334[[#This Row],[Category]]="Registration",Table334[[#This Row],[Account Deposit Amount]]-Table334[[#This Row],[Account Withdrawl Amount]], )</f>
        <v>0</v>
      </c>
      <c r="P146" s="243">
        <f>IF(Table334[[#This Row],[Category]]="Insignia",Table334[[#This Row],[Account Deposit Amount]]-Table334[[#This Row],[Account Withdrawl Amount]], )</f>
        <v>0</v>
      </c>
      <c r="Q146" s="243">
        <f>IF(Table334[[#This Row],[Category]]="Activities/Program",Table334[[#This Row],[Account Deposit Amount]]-Table334[[#This Row],[Account Withdrawl Amount]], )</f>
        <v>0</v>
      </c>
      <c r="R146" s="243">
        <f>IF(Table334[[#This Row],[Category]]="Travel",Table334[[#This Row],[Account Deposit Amount]]-Table334[[#This Row],[Account Withdrawl Amount]], )</f>
        <v>0</v>
      </c>
      <c r="S146" s="243">
        <f>IF(Table334[[#This Row],[Category]]="Parties Food &amp; Beverages",Table334[[#This Row],[Account Deposit Amount]]-Table334[[#This Row],[Account Withdrawl Amount]], )</f>
        <v>0</v>
      </c>
      <c r="T146" s="243">
        <f>IF(Table334[[#This Row],[Category]]="Service Projects Donation",Table334[[#This Row],[Account Deposit Amount]]-Table334[[#This Row],[Account Withdrawl Amount]], )</f>
        <v>0</v>
      </c>
      <c r="U146" s="243">
        <f>IF(Table334[[#This Row],[Category]]="Cookie Debt",Table334[[#This Row],[Account Deposit Amount]]-Table334[[#This Row],[Account Withdrawl Amount]], )</f>
        <v>0</v>
      </c>
      <c r="V146" s="243">
        <f>IF(Table334[[#This Row],[Category]]="Other Expense",Table334[[#This Row],[Account Deposit Amount]]-Table334[[#This Row],[Account Withdrawl Amount]], )</f>
        <v>0</v>
      </c>
    </row>
    <row r="147" spans="1:22">
      <c r="A147" s="225"/>
      <c r="B147" s="241"/>
      <c r="C147" s="244"/>
      <c r="D147" s="225"/>
      <c r="E147" s="242"/>
      <c r="F147" s="242"/>
      <c r="G147" s="243">
        <f t="shared" si="5"/>
        <v>2518.9699999999939</v>
      </c>
      <c r="H147" s="225"/>
      <c r="I147" s="243">
        <f>IF(Table334[[#This Row],[Category]]="Fall Product",Table334[[#This Row],[Account Deposit Amount]]-Table334[[#This Row],[Account Withdrawl Amount]], )</f>
        <v>0</v>
      </c>
      <c r="J147" s="243">
        <f>IF(Table334[[#This Row],[Category]]="Cookies",Table334[[#This Row],[Account Deposit Amount]]-Table334[[#This Row],[Account Withdrawl Amount]], )</f>
        <v>0</v>
      </c>
      <c r="K147" s="243">
        <f>IF(Table334[[#This Row],[Category]]="Additional Money Earning Activities",Table334[[#This Row],[Account Deposit Amount]]-Table334[[#This Row],[Account Withdrawl Amount]], )</f>
        <v>0</v>
      </c>
      <c r="L147" s="243">
        <f>IF(Table334[[#This Row],[Category]]="Sponsorships",Table334[[#This Row],[Account Deposit Amount]]-Table334[[#This Row],[Account Withdrawl Amount]], )</f>
        <v>0</v>
      </c>
      <c r="M147" s="243">
        <f>IF(Table334[[#This Row],[Category]]="Troop Dues",Table334[[#This Row],[Account Deposit Amount]]-Table334[[#This Row],[Account Withdrawl Amount]], )</f>
        <v>0</v>
      </c>
      <c r="N147" s="243">
        <f>IF(Table334[[#This Row],[Category]]="Other Income",Table334[[#This Row],[Account Deposit Amount]]-Table334[[#This Row],[Account Withdrawl Amount]], )</f>
        <v>0</v>
      </c>
      <c r="O147" s="243">
        <f>IF(Table334[[#This Row],[Category]]="Registration",Table334[[#This Row],[Account Deposit Amount]]-Table334[[#This Row],[Account Withdrawl Amount]], )</f>
        <v>0</v>
      </c>
      <c r="P147" s="243">
        <f>IF(Table334[[#This Row],[Category]]="Insignia",Table334[[#This Row],[Account Deposit Amount]]-Table334[[#This Row],[Account Withdrawl Amount]], )</f>
        <v>0</v>
      </c>
      <c r="Q147" s="243">
        <f>IF(Table334[[#This Row],[Category]]="Activities/Program",Table334[[#This Row],[Account Deposit Amount]]-Table334[[#This Row],[Account Withdrawl Amount]], )</f>
        <v>0</v>
      </c>
      <c r="R147" s="243">
        <f>IF(Table334[[#This Row],[Category]]="Travel",Table334[[#This Row],[Account Deposit Amount]]-Table334[[#This Row],[Account Withdrawl Amount]], )</f>
        <v>0</v>
      </c>
      <c r="S147" s="243">
        <f>IF(Table334[[#This Row],[Category]]="Parties Food &amp; Beverages",Table334[[#This Row],[Account Deposit Amount]]-Table334[[#This Row],[Account Withdrawl Amount]], )</f>
        <v>0</v>
      </c>
      <c r="T147" s="243">
        <f>IF(Table334[[#This Row],[Category]]="Service Projects Donation",Table334[[#This Row],[Account Deposit Amount]]-Table334[[#This Row],[Account Withdrawl Amount]], )</f>
        <v>0</v>
      </c>
      <c r="U147" s="243">
        <f>IF(Table334[[#This Row],[Category]]="Cookie Debt",Table334[[#This Row],[Account Deposit Amount]]-Table334[[#This Row],[Account Withdrawl Amount]], )</f>
        <v>0</v>
      </c>
      <c r="V147" s="243">
        <f>IF(Table334[[#This Row],[Category]]="Other Expense",Table334[[#This Row],[Account Deposit Amount]]-Table334[[#This Row],[Account Withdrawl Amount]], )</f>
        <v>0</v>
      </c>
    </row>
    <row r="148" spans="1:22">
      <c r="A148" s="225"/>
      <c r="B148" s="241"/>
      <c r="C148" s="244"/>
      <c r="D148" s="225"/>
      <c r="E148" s="242"/>
      <c r="F148" s="242"/>
      <c r="G148" s="243">
        <f t="shared" si="5"/>
        <v>2518.9699999999939</v>
      </c>
      <c r="H148" s="225"/>
      <c r="I148" s="243">
        <f>IF(Table334[[#This Row],[Category]]="Fall Product",Table334[[#This Row],[Account Deposit Amount]]-Table334[[#This Row],[Account Withdrawl Amount]], )</f>
        <v>0</v>
      </c>
      <c r="J148" s="243">
        <f>IF(Table334[[#This Row],[Category]]="Cookies",Table334[[#This Row],[Account Deposit Amount]]-Table334[[#This Row],[Account Withdrawl Amount]], )</f>
        <v>0</v>
      </c>
      <c r="K148" s="243">
        <f>IF(Table334[[#This Row],[Category]]="Additional Money Earning Activities",Table334[[#This Row],[Account Deposit Amount]]-Table334[[#This Row],[Account Withdrawl Amount]], )</f>
        <v>0</v>
      </c>
      <c r="L148" s="243">
        <f>IF(Table334[[#This Row],[Category]]="Sponsorships",Table334[[#This Row],[Account Deposit Amount]]-Table334[[#This Row],[Account Withdrawl Amount]], )</f>
        <v>0</v>
      </c>
      <c r="M148" s="243">
        <f>IF(Table334[[#This Row],[Category]]="Troop Dues",Table334[[#This Row],[Account Deposit Amount]]-Table334[[#This Row],[Account Withdrawl Amount]], )</f>
        <v>0</v>
      </c>
      <c r="N148" s="243">
        <f>IF(Table334[[#This Row],[Category]]="Other Income",Table334[[#This Row],[Account Deposit Amount]]-Table334[[#This Row],[Account Withdrawl Amount]], )</f>
        <v>0</v>
      </c>
      <c r="O148" s="243">
        <f>IF(Table334[[#This Row],[Category]]="Registration",Table334[[#This Row],[Account Deposit Amount]]-Table334[[#This Row],[Account Withdrawl Amount]], )</f>
        <v>0</v>
      </c>
      <c r="P148" s="243">
        <f>IF(Table334[[#This Row],[Category]]="Insignia",Table334[[#This Row],[Account Deposit Amount]]-Table334[[#This Row],[Account Withdrawl Amount]], )</f>
        <v>0</v>
      </c>
      <c r="Q148" s="243">
        <f>IF(Table334[[#This Row],[Category]]="Activities/Program",Table334[[#This Row],[Account Deposit Amount]]-Table334[[#This Row],[Account Withdrawl Amount]], )</f>
        <v>0</v>
      </c>
      <c r="R148" s="243">
        <f>IF(Table334[[#This Row],[Category]]="Travel",Table334[[#This Row],[Account Deposit Amount]]-Table334[[#This Row],[Account Withdrawl Amount]], )</f>
        <v>0</v>
      </c>
      <c r="S148" s="243">
        <f>IF(Table334[[#This Row],[Category]]="Parties Food &amp; Beverages",Table334[[#This Row],[Account Deposit Amount]]-Table334[[#This Row],[Account Withdrawl Amount]], )</f>
        <v>0</v>
      </c>
      <c r="T148" s="243">
        <f>IF(Table334[[#This Row],[Category]]="Service Projects Donation",Table334[[#This Row],[Account Deposit Amount]]-Table334[[#This Row],[Account Withdrawl Amount]], )</f>
        <v>0</v>
      </c>
      <c r="U148" s="243">
        <f>IF(Table334[[#This Row],[Category]]="Cookie Debt",Table334[[#This Row],[Account Deposit Amount]]-Table334[[#This Row],[Account Withdrawl Amount]], )</f>
        <v>0</v>
      </c>
      <c r="V148" s="243">
        <f>IF(Table334[[#This Row],[Category]]="Other Expense",Table334[[#This Row],[Account Deposit Amount]]-Table334[[#This Row],[Account Withdrawl Amount]], )</f>
        <v>0</v>
      </c>
    </row>
    <row r="149" spans="1:22">
      <c r="A149" s="225"/>
      <c r="B149" s="241"/>
      <c r="C149" s="244"/>
      <c r="D149" s="225"/>
      <c r="E149" s="242"/>
      <c r="F149" s="242"/>
      <c r="G149" s="243">
        <f t="shared" si="5"/>
        <v>2518.9699999999939</v>
      </c>
      <c r="H149" s="225"/>
      <c r="I149" s="243">
        <f>IF(Table334[[#This Row],[Category]]="Fall Product",Table334[[#This Row],[Account Deposit Amount]]-Table334[[#This Row],[Account Withdrawl Amount]], )</f>
        <v>0</v>
      </c>
      <c r="J149" s="243">
        <f>IF(Table334[[#This Row],[Category]]="Cookies",Table334[[#This Row],[Account Deposit Amount]]-Table334[[#This Row],[Account Withdrawl Amount]], )</f>
        <v>0</v>
      </c>
      <c r="K149" s="243">
        <f>IF(Table334[[#This Row],[Category]]="Additional Money Earning Activities",Table334[[#This Row],[Account Deposit Amount]]-Table334[[#This Row],[Account Withdrawl Amount]], )</f>
        <v>0</v>
      </c>
      <c r="L149" s="243">
        <f>IF(Table334[[#This Row],[Category]]="Sponsorships",Table334[[#This Row],[Account Deposit Amount]]-Table334[[#This Row],[Account Withdrawl Amount]], )</f>
        <v>0</v>
      </c>
      <c r="M149" s="243">
        <f>IF(Table334[[#This Row],[Category]]="Troop Dues",Table334[[#This Row],[Account Deposit Amount]]-Table334[[#This Row],[Account Withdrawl Amount]], )</f>
        <v>0</v>
      </c>
      <c r="N149" s="243">
        <f>IF(Table334[[#This Row],[Category]]="Other Income",Table334[[#This Row],[Account Deposit Amount]]-Table334[[#This Row],[Account Withdrawl Amount]], )</f>
        <v>0</v>
      </c>
      <c r="O149" s="243">
        <f>IF(Table334[[#This Row],[Category]]="Registration",Table334[[#This Row],[Account Deposit Amount]]-Table334[[#This Row],[Account Withdrawl Amount]], )</f>
        <v>0</v>
      </c>
      <c r="P149" s="243">
        <f>IF(Table334[[#This Row],[Category]]="Insignia",Table334[[#This Row],[Account Deposit Amount]]-Table334[[#This Row],[Account Withdrawl Amount]], )</f>
        <v>0</v>
      </c>
      <c r="Q149" s="243">
        <f>IF(Table334[[#This Row],[Category]]="Activities/Program",Table334[[#This Row],[Account Deposit Amount]]-Table334[[#This Row],[Account Withdrawl Amount]], )</f>
        <v>0</v>
      </c>
      <c r="R149" s="243">
        <f>IF(Table334[[#This Row],[Category]]="Travel",Table334[[#This Row],[Account Deposit Amount]]-Table334[[#This Row],[Account Withdrawl Amount]], )</f>
        <v>0</v>
      </c>
      <c r="S149" s="243">
        <f>IF(Table334[[#This Row],[Category]]="Parties Food &amp; Beverages",Table334[[#This Row],[Account Deposit Amount]]-Table334[[#This Row],[Account Withdrawl Amount]], )</f>
        <v>0</v>
      </c>
      <c r="T149" s="243">
        <f>IF(Table334[[#This Row],[Category]]="Service Projects Donation",Table334[[#This Row],[Account Deposit Amount]]-Table334[[#This Row],[Account Withdrawl Amount]], )</f>
        <v>0</v>
      </c>
      <c r="U149" s="243">
        <f>IF(Table334[[#This Row],[Category]]="Cookie Debt",Table334[[#This Row],[Account Deposit Amount]]-Table334[[#This Row],[Account Withdrawl Amount]], )</f>
        <v>0</v>
      </c>
      <c r="V149" s="243">
        <f>IF(Table334[[#This Row],[Category]]="Other Expense",Table334[[#This Row],[Account Deposit Amount]]-Table334[[#This Row],[Account Withdrawl Amount]], )</f>
        <v>0</v>
      </c>
    </row>
    <row r="150" spans="1:22">
      <c r="A150" s="225"/>
      <c r="B150" s="241"/>
      <c r="C150" s="244"/>
      <c r="D150" s="225"/>
      <c r="E150" s="242"/>
      <c r="F150" s="242"/>
      <c r="G150" s="243">
        <f t="shared" si="5"/>
        <v>2518.9699999999939</v>
      </c>
      <c r="H150" s="225"/>
      <c r="I150" s="243">
        <f>IF(Table334[[#This Row],[Category]]="Fall Product",Table334[[#This Row],[Account Deposit Amount]]-Table334[[#This Row],[Account Withdrawl Amount]], )</f>
        <v>0</v>
      </c>
      <c r="J150" s="243">
        <f>IF(Table334[[#This Row],[Category]]="Cookies",Table334[[#This Row],[Account Deposit Amount]]-Table334[[#This Row],[Account Withdrawl Amount]], )</f>
        <v>0</v>
      </c>
      <c r="K150" s="243">
        <f>IF(Table334[[#This Row],[Category]]="Additional Money Earning Activities",Table334[[#This Row],[Account Deposit Amount]]-Table334[[#This Row],[Account Withdrawl Amount]], )</f>
        <v>0</v>
      </c>
      <c r="L150" s="243">
        <f>IF(Table334[[#This Row],[Category]]="Sponsorships",Table334[[#This Row],[Account Deposit Amount]]-Table334[[#This Row],[Account Withdrawl Amount]], )</f>
        <v>0</v>
      </c>
      <c r="M150" s="243">
        <f>IF(Table334[[#This Row],[Category]]="Troop Dues",Table334[[#This Row],[Account Deposit Amount]]-Table334[[#This Row],[Account Withdrawl Amount]], )</f>
        <v>0</v>
      </c>
      <c r="N150" s="243">
        <f>IF(Table334[[#This Row],[Category]]="Other Income",Table334[[#This Row],[Account Deposit Amount]]-Table334[[#This Row],[Account Withdrawl Amount]], )</f>
        <v>0</v>
      </c>
      <c r="O150" s="243">
        <f>IF(Table334[[#This Row],[Category]]="Registration",Table334[[#This Row],[Account Deposit Amount]]-Table334[[#This Row],[Account Withdrawl Amount]], )</f>
        <v>0</v>
      </c>
      <c r="P150" s="243">
        <f>IF(Table334[[#This Row],[Category]]="Insignia",Table334[[#This Row],[Account Deposit Amount]]-Table334[[#This Row],[Account Withdrawl Amount]], )</f>
        <v>0</v>
      </c>
      <c r="Q150" s="243">
        <f>IF(Table334[[#This Row],[Category]]="Activities/Program",Table334[[#This Row],[Account Deposit Amount]]-Table334[[#This Row],[Account Withdrawl Amount]], )</f>
        <v>0</v>
      </c>
      <c r="R150" s="243">
        <f>IF(Table334[[#This Row],[Category]]="Travel",Table334[[#This Row],[Account Deposit Amount]]-Table334[[#This Row],[Account Withdrawl Amount]], )</f>
        <v>0</v>
      </c>
      <c r="S150" s="243">
        <f>IF(Table334[[#This Row],[Category]]="Parties Food &amp; Beverages",Table334[[#This Row],[Account Deposit Amount]]-Table334[[#This Row],[Account Withdrawl Amount]], )</f>
        <v>0</v>
      </c>
      <c r="T150" s="243">
        <f>IF(Table334[[#This Row],[Category]]="Service Projects Donation",Table334[[#This Row],[Account Deposit Amount]]-Table334[[#This Row],[Account Withdrawl Amount]], )</f>
        <v>0</v>
      </c>
      <c r="U150" s="243">
        <f>IF(Table334[[#This Row],[Category]]="Cookie Debt",Table334[[#This Row],[Account Deposit Amount]]-Table334[[#This Row],[Account Withdrawl Amount]], )</f>
        <v>0</v>
      </c>
      <c r="V150" s="243">
        <f>IF(Table334[[#This Row],[Category]]="Other Expense",Table334[[#This Row],[Account Deposit Amount]]-Table334[[#This Row],[Account Withdrawl Amount]], )</f>
        <v>0</v>
      </c>
    </row>
    <row r="151" spans="1:22">
      <c r="A151" s="225"/>
      <c r="B151" s="241"/>
      <c r="C151" s="244"/>
      <c r="D151" s="225"/>
      <c r="E151" s="242"/>
      <c r="F151" s="242"/>
      <c r="G151" s="243">
        <f t="shared" si="5"/>
        <v>2518.9699999999939</v>
      </c>
      <c r="H151" s="225"/>
      <c r="I151" s="243">
        <f>IF(Table334[[#This Row],[Category]]="Fall Product",Table334[[#This Row],[Account Deposit Amount]]-Table334[[#This Row],[Account Withdrawl Amount]], )</f>
        <v>0</v>
      </c>
      <c r="J151" s="243">
        <f>IF(Table334[[#This Row],[Category]]="Cookies",Table334[[#This Row],[Account Deposit Amount]]-Table334[[#This Row],[Account Withdrawl Amount]], )</f>
        <v>0</v>
      </c>
      <c r="K151" s="243">
        <f>IF(Table334[[#This Row],[Category]]="Additional Money Earning Activities",Table334[[#This Row],[Account Deposit Amount]]-Table334[[#This Row],[Account Withdrawl Amount]], )</f>
        <v>0</v>
      </c>
      <c r="L151" s="243">
        <f>IF(Table334[[#This Row],[Category]]="Sponsorships",Table334[[#This Row],[Account Deposit Amount]]-Table334[[#This Row],[Account Withdrawl Amount]], )</f>
        <v>0</v>
      </c>
      <c r="M151" s="243">
        <f>IF(Table334[[#This Row],[Category]]="Troop Dues",Table334[[#This Row],[Account Deposit Amount]]-Table334[[#This Row],[Account Withdrawl Amount]], )</f>
        <v>0</v>
      </c>
      <c r="N151" s="243">
        <f>IF(Table334[[#This Row],[Category]]="Other Income",Table334[[#This Row],[Account Deposit Amount]]-Table334[[#This Row],[Account Withdrawl Amount]], )</f>
        <v>0</v>
      </c>
      <c r="O151" s="243">
        <f>IF(Table334[[#This Row],[Category]]="Registration",Table334[[#This Row],[Account Deposit Amount]]-Table334[[#This Row],[Account Withdrawl Amount]], )</f>
        <v>0</v>
      </c>
      <c r="P151" s="243">
        <f>IF(Table334[[#This Row],[Category]]="Insignia",Table334[[#This Row],[Account Deposit Amount]]-Table334[[#This Row],[Account Withdrawl Amount]], )</f>
        <v>0</v>
      </c>
      <c r="Q151" s="243">
        <f>IF(Table334[[#This Row],[Category]]="Activities/Program",Table334[[#This Row],[Account Deposit Amount]]-Table334[[#This Row],[Account Withdrawl Amount]], )</f>
        <v>0</v>
      </c>
      <c r="R151" s="243">
        <f>IF(Table334[[#This Row],[Category]]="Travel",Table334[[#This Row],[Account Deposit Amount]]-Table334[[#This Row],[Account Withdrawl Amount]], )</f>
        <v>0</v>
      </c>
      <c r="S151" s="243">
        <f>IF(Table334[[#This Row],[Category]]="Parties Food &amp; Beverages",Table334[[#This Row],[Account Deposit Amount]]-Table334[[#This Row],[Account Withdrawl Amount]], )</f>
        <v>0</v>
      </c>
      <c r="T151" s="243">
        <f>IF(Table334[[#This Row],[Category]]="Service Projects Donation",Table334[[#This Row],[Account Deposit Amount]]-Table334[[#This Row],[Account Withdrawl Amount]], )</f>
        <v>0</v>
      </c>
      <c r="U151" s="243">
        <f>IF(Table334[[#This Row],[Category]]="Cookie Debt",Table334[[#This Row],[Account Deposit Amount]]-Table334[[#This Row],[Account Withdrawl Amount]], )</f>
        <v>0</v>
      </c>
      <c r="V151" s="243">
        <f>IF(Table334[[#This Row],[Category]]="Other Expense",Table334[[#This Row],[Account Deposit Amount]]-Table334[[#This Row],[Account Withdrawl Amount]], )</f>
        <v>0</v>
      </c>
    </row>
    <row r="152" spans="1:22">
      <c r="A152" s="225"/>
      <c r="B152" s="241"/>
      <c r="C152" s="244"/>
      <c r="D152" s="225"/>
      <c r="E152" s="242"/>
      <c r="F152" s="242"/>
      <c r="G152" s="243">
        <f t="shared" si="5"/>
        <v>2518.9699999999939</v>
      </c>
      <c r="H152" s="225"/>
      <c r="I152" s="243">
        <f>IF(Table334[[#This Row],[Category]]="Fall Product",Table334[[#This Row],[Account Deposit Amount]]-Table334[[#This Row],[Account Withdrawl Amount]], )</f>
        <v>0</v>
      </c>
      <c r="J152" s="243">
        <f>IF(Table334[[#This Row],[Category]]="Cookies",Table334[[#This Row],[Account Deposit Amount]]-Table334[[#This Row],[Account Withdrawl Amount]], )</f>
        <v>0</v>
      </c>
      <c r="K152" s="243">
        <f>IF(Table334[[#This Row],[Category]]="Additional Money Earning Activities",Table334[[#This Row],[Account Deposit Amount]]-Table334[[#This Row],[Account Withdrawl Amount]], )</f>
        <v>0</v>
      </c>
      <c r="L152" s="243">
        <f>IF(Table334[[#This Row],[Category]]="Sponsorships",Table334[[#This Row],[Account Deposit Amount]]-Table334[[#This Row],[Account Withdrawl Amount]], )</f>
        <v>0</v>
      </c>
      <c r="M152" s="243">
        <f>IF(Table334[[#This Row],[Category]]="Troop Dues",Table334[[#This Row],[Account Deposit Amount]]-Table334[[#This Row],[Account Withdrawl Amount]], )</f>
        <v>0</v>
      </c>
      <c r="N152" s="243">
        <f>IF(Table334[[#This Row],[Category]]="Other Income",Table334[[#This Row],[Account Deposit Amount]]-Table334[[#This Row],[Account Withdrawl Amount]], )</f>
        <v>0</v>
      </c>
      <c r="O152" s="243">
        <f>IF(Table334[[#This Row],[Category]]="Registration",Table334[[#This Row],[Account Deposit Amount]]-Table334[[#This Row],[Account Withdrawl Amount]], )</f>
        <v>0</v>
      </c>
      <c r="P152" s="243">
        <f>IF(Table334[[#This Row],[Category]]="Insignia",Table334[[#This Row],[Account Deposit Amount]]-Table334[[#This Row],[Account Withdrawl Amount]], )</f>
        <v>0</v>
      </c>
      <c r="Q152" s="243">
        <f>IF(Table334[[#This Row],[Category]]="Activities/Program",Table334[[#This Row],[Account Deposit Amount]]-Table334[[#This Row],[Account Withdrawl Amount]], )</f>
        <v>0</v>
      </c>
      <c r="R152" s="243">
        <f>IF(Table334[[#This Row],[Category]]="Travel",Table334[[#This Row],[Account Deposit Amount]]-Table334[[#This Row],[Account Withdrawl Amount]], )</f>
        <v>0</v>
      </c>
      <c r="S152" s="243">
        <f>IF(Table334[[#This Row],[Category]]="Parties Food &amp; Beverages",Table334[[#This Row],[Account Deposit Amount]]-Table334[[#This Row],[Account Withdrawl Amount]], )</f>
        <v>0</v>
      </c>
      <c r="T152" s="243">
        <f>IF(Table334[[#This Row],[Category]]="Service Projects Donation",Table334[[#This Row],[Account Deposit Amount]]-Table334[[#This Row],[Account Withdrawl Amount]], )</f>
        <v>0</v>
      </c>
      <c r="U152" s="243">
        <f>IF(Table334[[#This Row],[Category]]="Cookie Debt",Table334[[#This Row],[Account Deposit Amount]]-Table334[[#This Row],[Account Withdrawl Amount]], )</f>
        <v>0</v>
      </c>
      <c r="V152" s="243">
        <f>IF(Table334[[#This Row],[Category]]="Other Expense",Table334[[#This Row],[Account Deposit Amount]]-Table334[[#This Row],[Account Withdrawl Amount]], )</f>
        <v>0</v>
      </c>
    </row>
    <row r="153" spans="1:22">
      <c r="A153" s="225"/>
      <c r="B153" s="241"/>
      <c r="C153" s="244"/>
      <c r="D153" s="225"/>
      <c r="E153" s="242"/>
      <c r="F153" s="242"/>
      <c r="G153" s="243">
        <f t="shared" si="5"/>
        <v>2518.9699999999939</v>
      </c>
      <c r="H153" s="225"/>
      <c r="I153" s="243">
        <f>IF(Table334[[#This Row],[Category]]="Fall Product",Table334[[#This Row],[Account Deposit Amount]]-Table334[[#This Row],[Account Withdrawl Amount]], )</f>
        <v>0</v>
      </c>
      <c r="J153" s="243">
        <f>IF(Table334[[#This Row],[Category]]="Cookies",Table334[[#This Row],[Account Deposit Amount]]-Table334[[#This Row],[Account Withdrawl Amount]], )</f>
        <v>0</v>
      </c>
      <c r="K153" s="243">
        <f>IF(Table334[[#This Row],[Category]]="Additional Money Earning Activities",Table334[[#This Row],[Account Deposit Amount]]-Table334[[#This Row],[Account Withdrawl Amount]], )</f>
        <v>0</v>
      </c>
      <c r="L153" s="243">
        <f>IF(Table334[[#This Row],[Category]]="Sponsorships",Table334[[#This Row],[Account Deposit Amount]]-Table334[[#This Row],[Account Withdrawl Amount]], )</f>
        <v>0</v>
      </c>
      <c r="M153" s="243">
        <f>IF(Table334[[#This Row],[Category]]="Troop Dues",Table334[[#This Row],[Account Deposit Amount]]-Table334[[#This Row],[Account Withdrawl Amount]], )</f>
        <v>0</v>
      </c>
      <c r="N153" s="243">
        <f>IF(Table334[[#This Row],[Category]]="Other Income",Table334[[#This Row],[Account Deposit Amount]]-Table334[[#This Row],[Account Withdrawl Amount]], )</f>
        <v>0</v>
      </c>
      <c r="O153" s="243">
        <f>IF(Table334[[#This Row],[Category]]="Registration",Table334[[#This Row],[Account Deposit Amount]]-Table334[[#This Row],[Account Withdrawl Amount]], )</f>
        <v>0</v>
      </c>
      <c r="P153" s="243">
        <f>IF(Table334[[#This Row],[Category]]="Insignia",Table334[[#This Row],[Account Deposit Amount]]-Table334[[#This Row],[Account Withdrawl Amount]], )</f>
        <v>0</v>
      </c>
      <c r="Q153" s="243">
        <f>IF(Table334[[#This Row],[Category]]="Activities/Program",Table334[[#This Row],[Account Deposit Amount]]-Table334[[#This Row],[Account Withdrawl Amount]], )</f>
        <v>0</v>
      </c>
      <c r="R153" s="243">
        <f>IF(Table334[[#This Row],[Category]]="Travel",Table334[[#This Row],[Account Deposit Amount]]-Table334[[#This Row],[Account Withdrawl Amount]], )</f>
        <v>0</v>
      </c>
      <c r="S153" s="243">
        <f>IF(Table334[[#This Row],[Category]]="Parties Food &amp; Beverages",Table334[[#This Row],[Account Deposit Amount]]-Table334[[#This Row],[Account Withdrawl Amount]], )</f>
        <v>0</v>
      </c>
      <c r="T153" s="243">
        <f>IF(Table334[[#This Row],[Category]]="Service Projects Donation",Table334[[#This Row],[Account Deposit Amount]]-Table334[[#This Row],[Account Withdrawl Amount]], )</f>
        <v>0</v>
      </c>
      <c r="U153" s="243">
        <f>IF(Table334[[#This Row],[Category]]="Cookie Debt",Table334[[#This Row],[Account Deposit Amount]]-Table334[[#This Row],[Account Withdrawl Amount]], )</f>
        <v>0</v>
      </c>
      <c r="V153" s="243">
        <f>IF(Table334[[#This Row],[Category]]="Other Expense",Table334[[#This Row],[Account Deposit Amount]]-Table334[[#This Row],[Account Withdrawl Amount]], )</f>
        <v>0</v>
      </c>
    </row>
    <row r="154" spans="1:22">
      <c r="A154" s="225"/>
      <c r="B154" s="241"/>
      <c r="C154" s="244"/>
      <c r="D154" s="225"/>
      <c r="E154" s="242"/>
      <c r="F154" s="242"/>
      <c r="G154" s="243">
        <f t="shared" si="5"/>
        <v>2518.9699999999939</v>
      </c>
      <c r="H154" s="225"/>
      <c r="I154" s="243">
        <f>IF(Table334[[#This Row],[Category]]="Fall Product",Table334[[#This Row],[Account Deposit Amount]]-Table334[[#This Row],[Account Withdrawl Amount]], )</f>
        <v>0</v>
      </c>
      <c r="J154" s="243">
        <f>IF(Table334[[#This Row],[Category]]="Cookies",Table334[[#This Row],[Account Deposit Amount]]-Table334[[#This Row],[Account Withdrawl Amount]], )</f>
        <v>0</v>
      </c>
      <c r="K154" s="243">
        <f>IF(Table334[[#This Row],[Category]]="Additional Money Earning Activities",Table334[[#This Row],[Account Deposit Amount]]-Table334[[#This Row],[Account Withdrawl Amount]], )</f>
        <v>0</v>
      </c>
      <c r="L154" s="243">
        <f>IF(Table334[[#This Row],[Category]]="Sponsorships",Table334[[#This Row],[Account Deposit Amount]]-Table334[[#This Row],[Account Withdrawl Amount]], )</f>
        <v>0</v>
      </c>
      <c r="M154" s="243">
        <f>IF(Table334[[#This Row],[Category]]="Troop Dues",Table334[[#This Row],[Account Deposit Amount]]-Table334[[#This Row],[Account Withdrawl Amount]], )</f>
        <v>0</v>
      </c>
      <c r="N154" s="243">
        <f>IF(Table334[[#This Row],[Category]]="Other Income",Table334[[#This Row],[Account Deposit Amount]]-Table334[[#This Row],[Account Withdrawl Amount]], )</f>
        <v>0</v>
      </c>
      <c r="O154" s="243">
        <f>IF(Table334[[#This Row],[Category]]="Registration",Table334[[#This Row],[Account Deposit Amount]]-Table334[[#This Row],[Account Withdrawl Amount]], )</f>
        <v>0</v>
      </c>
      <c r="P154" s="243">
        <f>IF(Table334[[#This Row],[Category]]="Insignia",Table334[[#This Row],[Account Deposit Amount]]-Table334[[#This Row],[Account Withdrawl Amount]], )</f>
        <v>0</v>
      </c>
      <c r="Q154" s="243">
        <f>IF(Table334[[#This Row],[Category]]="Activities/Program",Table334[[#This Row],[Account Deposit Amount]]-Table334[[#This Row],[Account Withdrawl Amount]], )</f>
        <v>0</v>
      </c>
      <c r="R154" s="243">
        <f>IF(Table334[[#This Row],[Category]]="Travel",Table334[[#This Row],[Account Deposit Amount]]-Table334[[#This Row],[Account Withdrawl Amount]], )</f>
        <v>0</v>
      </c>
      <c r="S154" s="243">
        <f>IF(Table334[[#This Row],[Category]]="Parties Food &amp; Beverages",Table334[[#This Row],[Account Deposit Amount]]-Table334[[#This Row],[Account Withdrawl Amount]], )</f>
        <v>0</v>
      </c>
      <c r="T154" s="243">
        <f>IF(Table334[[#This Row],[Category]]="Service Projects Donation",Table334[[#This Row],[Account Deposit Amount]]-Table334[[#This Row],[Account Withdrawl Amount]], )</f>
        <v>0</v>
      </c>
      <c r="U154" s="243">
        <f>IF(Table334[[#This Row],[Category]]="Cookie Debt",Table334[[#This Row],[Account Deposit Amount]]-Table334[[#This Row],[Account Withdrawl Amount]], )</f>
        <v>0</v>
      </c>
      <c r="V154" s="243">
        <f>IF(Table334[[#This Row],[Category]]="Other Expense",Table334[[#This Row],[Account Deposit Amount]]-Table334[[#This Row],[Account Withdrawl Amount]], )</f>
        <v>0</v>
      </c>
    </row>
    <row r="155" spans="1:22">
      <c r="A155" s="225"/>
      <c r="B155" s="241"/>
      <c r="C155" s="244"/>
      <c r="D155" s="225"/>
      <c r="E155" s="242"/>
      <c r="F155" s="242"/>
      <c r="G155" s="243">
        <f t="shared" si="5"/>
        <v>2518.9699999999939</v>
      </c>
      <c r="H155" s="225"/>
      <c r="I155" s="243">
        <f>IF(Table334[[#This Row],[Category]]="Fall Product",Table334[[#This Row],[Account Deposit Amount]]-Table334[[#This Row],[Account Withdrawl Amount]], )</f>
        <v>0</v>
      </c>
      <c r="J155" s="243">
        <f>IF(Table334[[#This Row],[Category]]="Cookies",Table334[[#This Row],[Account Deposit Amount]]-Table334[[#This Row],[Account Withdrawl Amount]], )</f>
        <v>0</v>
      </c>
      <c r="K155" s="243">
        <f>IF(Table334[[#This Row],[Category]]="Additional Money Earning Activities",Table334[[#This Row],[Account Deposit Amount]]-Table334[[#This Row],[Account Withdrawl Amount]], )</f>
        <v>0</v>
      </c>
      <c r="L155" s="243">
        <f>IF(Table334[[#This Row],[Category]]="Sponsorships",Table334[[#This Row],[Account Deposit Amount]]-Table334[[#This Row],[Account Withdrawl Amount]], )</f>
        <v>0</v>
      </c>
      <c r="M155" s="243">
        <f>IF(Table334[[#This Row],[Category]]="Troop Dues",Table334[[#This Row],[Account Deposit Amount]]-Table334[[#This Row],[Account Withdrawl Amount]], )</f>
        <v>0</v>
      </c>
      <c r="N155" s="243">
        <f>IF(Table334[[#This Row],[Category]]="Other Income",Table334[[#This Row],[Account Deposit Amount]]-Table334[[#This Row],[Account Withdrawl Amount]], )</f>
        <v>0</v>
      </c>
      <c r="O155" s="243">
        <f>IF(Table334[[#This Row],[Category]]="Registration",Table334[[#This Row],[Account Deposit Amount]]-Table334[[#This Row],[Account Withdrawl Amount]], )</f>
        <v>0</v>
      </c>
      <c r="P155" s="243">
        <f>IF(Table334[[#This Row],[Category]]="Insignia",Table334[[#This Row],[Account Deposit Amount]]-Table334[[#This Row],[Account Withdrawl Amount]], )</f>
        <v>0</v>
      </c>
      <c r="Q155" s="243">
        <f>IF(Table334[[#This Row],[Category]]="Activities/Program",Table334[[#This Row],[Account Deposit Amount]]-Table334[[#This Row],[Account Withdrawl Amount]], )</f>
        <v>0</v>
      </c>
      <c r="R155" s="243">
        <f>IF(Table334[[#This Row],[Category]]="Travel",Table334[[#This Row],[Account Deposit Amount]]-Table334[[#This Row],[Account Withdrawl Amount]], )</f>
        <v>0</v>
      </c>
      <c r="S155" s="243">
        <f>IF(Table334[[#This Row],[Category]]="Parties Food &amp; Beverages",Table334[[#This Row],[Account Deposit Amount]]-Table334[[#This Row],[Account Withdrawl Amount]], )</f>
        <v>0</v>
      </c>
      <c r="T155" s="243">
        <f>IF(Table334[[#This Row],[Category]]="Service Projects Donation",Table334[[#This Row],[Account Deposit Amount]]-Table334[[#This Row],[Account Withdrawl Amount]], )</f>
        <v>0</v>
      </c>
      <c r="U155" s="243">
        <f>IF(Table334[[#This Row],[Category]]="Cookie Debt",Table334[[#This Row],[Account Deposit Amount]]-Table334[[#This Row],[Account Withdrawl Amount]], )</f>
        <v>0</v>
      </c>
      <c r="V155" s="243">
        <f>IF(Table334[[#This Row],[Category]]="Other Expense",Table334[[#This Row],[Account Deposit Amount]]-Table334[[#This Row],[Account Withdrawl Amount]], )</f>
        <v>0</v>
      </c>
    </row>
    <row r="156" spans="1:22">
      <c r="A156" s="225"/>
      <c r="B156" s="241"/>
      <c r="C156" s="244"/>
      <c r="D156" s="225"/>
      <c r="E156" s="242"/>
      <c r="F156" s="242"/>
      <c r="G156" s="243">
        <f t="shared" si="5"/>
        <v>2518.9699999999939</v>
      </c>
      <c r="H156" s="225"/>
      <c r="I156" s="243">
        <f>IF(Table334[[#This Row],[Category]]="Fall Product",Table334[[#This Row],[Account Deposit Amount]]-Table334[[#This Row],[Account Withdrawl Amount]], )</f>
        <v>0</v>
      </c>
      <c r="J156" s="243">
        <f>IF(Table334[[#This Row],[Category]]="Cookies",Table334[[#This Row],[Account Deposit Amount]]-Table334[[#This Row],[Account Withdrawl Amount]], )</f>
        <v>0</v>
      </c>
      <c r="K156" s="243">
        <f>IF(Table334[[#This Row],[Category]]="Additional Money Earning Activities",Table334[[#This Row],[Account Deposit Amount]]-Table334[[#This Row],[Account Withdrawl Amount]], )</f>
        <v>0</v>
      </c>
      <c r="L156" s="243">
        <f>IF(Table334[[#This Row],[Category]]="Sponsorships",Table334[[#This Row],[Account Deposit Amount]]-Table334[[#This Row],[Account Withdrawl Amount]], )</f>
        <v>0</v>
      </c>
      <c r="M156" s="243">
        <f>IF(Table334[[#This Row],[Category]]="Troop Dues",Table334[[#This Row],[Account Deposit Amount]]-Table334[[#This Row],[Account Withdrawl Amount]], )</f>
        <v>0</v>
      </c>
      <c r="N156" s="243">
        <f>IF(Table334[[#This Row],[Category]]="Other Income",Table334[[#This Row],[Account Deposit Amount]]-Table334[[#This Row],[Account Withdrawl Amount]], )</f>
        <v>0</v>
      </c>
      <c r="O156" s="243">
        <f>IF(Table334[[#This Row],[Category]]="Registration",Table334[[#This Row],[Account Deposit Amount]]-Table334[[#This Row],[Account Withdrawl Amount]], )</f>
        <v>0</v>
      </c>
      <c r="P156" s="243">
        <f>IF(Table334[[#This Row],[Category]]="Insignia",Table334[[#This Row],[Account Deposit Amount]]-Table334[[#This Row],[Account Withdrawl Amount]], )</f>
        <v>0</v>
      </c>
      <c r="Q156" s="243">
        <f>IF(Table334[[#This Row],[Category]]="Activities/Program",Table334[[#This Row],[Account Deposit Amount]]-Table334[[#This Row],[Account Withdrawl Amount]], )</f>
        <v>0</v>
      </c>
      <c r="R156" s="243">
        <f>IF(Table334[[#This Row],[Category]]="Travel",Table334[[#This Row],[Account Deposit Amount]]-Table334[[#This Row],[Account Withdrawl Amount]], )</f>
        <v>0</v>
      </c>
      <c r="S156" s="243">
        <f>IF(Table334[[#This Row],[Category]]="Parties Food &amp; Beverages",Table334[[#This Row],[Account Deposit Amount]]-Table334[[#This Row],[Account Withdrawl Amount]], )</f>
        <v>0</v>
      </c>
      <c r="T156" s="243">
        <f>IF(Table334[[#This Row],[Category]]="Service Projects Donation",Table334[[#This Row],[Account Deposit Amount]]-Table334[[#This Row],[Account Withdrawl Amount]], )</f>
        <v>0</v>
      </c>
      <c r="U156" s="243">
        <f>IF(Table334[[#This Row],[Category]]="Cookie Debt",Table334[[#This Row],[Account Deposit Amount]]-Table334[[#This Row],[Account Withdrawl Amount]], )</f>
        <v>0</v>
      </c>
      <c r="V156" s="243">
        <f>IF(Table334[[#This Row],[Category]]="Other Expense",Table334[[#This Row],[Account Deposit Amount]]-Table334[[#This Row],[Account Withdrawl Amount]], )</f>
        <v>0</v>
      </c>
    </row>
    <row r="157" spans="1:22">
      <c r="A157" s="225"/>
      <c r="B157" s="241"/>
      <c r="C157" s="244"/>
      <c r="D157" s="225"/>
      <c r="E157" s="242"/>
      <c r="F157" s="242"/>
      <c r="G157" s="243">
        <f t="shared" si="5"/>
        <v>2518.9699999999939</v>
      </c>
      <c r="H157" s="225"/>
      <c r="I157" s="243">
        <f>IF(Table334[[#This Row],[Category]]="Fall Product",Table334[[#This Row],[Account Deposit Amount]]-Table334[[#This Row],[Account Withdrawl Amount]], )</f>
        <v>0</v>
      </c>
      <c r="J157" s="243">
        <f>IF(Table334[[#This Row],[Category]]="Cookies",Table334[[#This Row],[Account Deposit Amount]]-Table334[[#This Row],[Account Withdrawl Amount]], )</f>
        <v>0</v>
      </c>
      <c r="K157" s="243">
        <f>IF(Table334[[#This Row],[Category]]="Additional Money Earning Activities",Table334[[#This Row],[Account Deposit Amount]]-Table334[[#This Row],[Account Withdrawl Amount]], )</f>
        <v>0</v>
      </c>
      <c r="L157" s="243">
        <f>IF(Table334[[#This Row],[Category]]="Sponsorships",Table334[[#This Row],[Account Deposit Amount]]-Table334[[#This Row],[Account Withdrawl Amount]], )</f>
        <v>0</v>
      </c>
      <c r="M157" s="243">
        <f>IF(Table334[[#This Row],[Category]]="Troop Dues",Table334[[#This Row],[Account Deposit Amount]]-Table334[[#This Row],[Account Withdrawl Amount]], )</f>
        <v>0</v>
      </c>
      <c r="N157" s="243">
        <f>IF(Table334[[#This Row],[Category]]="Other Income",Table334[[#This Row],[Account Deposit Amount]]-Table334[[#This Row],[Account Withdrawl Amount]], )</f>
        <v>0</v>
      </c>
      <c r="O157" s="243">
        <f>IF(Table334[[#This Row],[Category]]="Registration",Table334[[#This Row],[Account Deposit Amount]]-Table334[[#This Row],[Account Withdrawl Amount]], )</f>
        <v>0</v>
      </c>
      <c r="P157" s="243">
        <f>IF(Table334[[#This Row],[Category]]="Insignia",Table334[[#This Row],[Account Deposit Amount]]-Table334[[#This Row],[Account Withdrawl Amount]], )</f>
        <v>0</v>
      </c>
      <c r="Q157" s="243">
        <f>IF(Table334[[#This Row],[Category]]="Activities/Program",Table334[[#This Row],[Account Deposit Amount]]-Table334[[#This Row],[Account Withdrawl Amount]], )</f>
        <v>0</v>
      </c>
      <c r="R157" s="243">
        <f>IF(Table334[[#This Row],[Category]]="Travel",Table334[[#This Row],[Account Deposit Amount]]-Table334[[#This Row],[Account Withdrawl Amount]], )</f>
        <v>0</v>
      </c>
      <c r="S157" s="243">
        <f>IF(Table334[[#This Row],[Category]]="Parties Food &amp; Beverages",Table334[[#This Row],[Account Deposit Amount]]-Table334[[#This Row],[Account Withdrawl Amount]], )</f>
        <v>0</v>
      </c>
      <c r="T157" s="243">
        <f>IF(Table334[[#This Row],[Category]]="Service Projects Donation",Table334[[#This Row],[Account Deposit Amount]]-Table334[[#This Row],[Account Withdrawl Amount]], )</f>
        <v>0</v>
      </c>
      <c r="U157" s="243">
        <f>IF(Table334[[#This Row],[Category]]="Cookie Debt",Table334[[#This Row],[Account Deposit Amount]]-Table334[[#This Row],[Account Withdrawl Amount]], )</f>
        <v>0</v>
      </c>
      <c r="V157" s="243">
        <f>IF(Table334[[#This Row],[Category]]="Other Expense",Table334[[#This Row],[Account Deposit Amount]]-Table334[[#This Row],[Account Withdrawl Amount]], )</f>
        <v>0</v>
      </c>
    </row>
    <row r="158" spans="1:22">
      <c r="A158" s="225"/>
      <c r="B158" s="241"/>
      <c r="C158" s="244"/>
      <c r="D158" s="225"/>
      <c r="E158" s="242"/>
      <c r="F158" s="242"/>
      <c r="G158" s="243">
        <f t="shared" si="5"/>
        <v>2518.9699999999939</v>
      </c>
      <c r="H158" s="225"/>
      <c r="I158" s="243">
        <f>IF(Table334[[#This Row],[Category]]="Fall Product",Table334[[#This Row],[Account Deposit Amount]]-Table334[[#This Row],[Account Withdrawl Amount]], )</f>
        <v>0</v>
      </c>
      <c r="J158" s="243">
        <f>IF(Table334[[#This Row],[Category]]="Cookies",Table334[[#This Row],[Account Deposit Amount]]-Table334[[#This Row],[Account Withdrawl Amount]], )</f>
        <v>0</v>
      </c>
      <c r="K158" s="243">
        <f>IF(Table334[[#This Row],[Category]]="Additional Money Earning Activities",Table334[[#This Row],[Account Deposit Amount]]-Table334[[#This Row],[Account Withdrawl Amount]], )</f>
        <v>0</v>
      </c>
      <c r="L158" s="243">
        <f>IF(Table334[[#This Row],[Category]]="Sponsorships",Table334[[#This Row],[Account Deposit Amount]]-Table334[[#This Row],[Account Withdrawl Amount]], )</f>
        <v>0</v>
      </c>
      <c r="M158" s="243">
        <f>IF(Table334[[#This Row],[Category]]="Troop Dues",Table334[[#This Row],[Account Deposit Amount]]-Table334[[#This Row],[Account Withdrawl Amount]], )</f>
        <v>0</v>
      </c>
      <c r="N158" s="243">
        <f>IF(Table334[[#This Row],[Category]]="Other Income",Table334[[#This Row],[Account Deposit Amount]]-Table334[[#This Row],[Account Withdrawl Amount]], )</f>
        <v>0</v>
      </c>
      <c r="O158" s="243">
        <f>IF(Table334[[#This Row],[Category]]="Registration",Table334[[#This Row],[Account Deposit Amount]]-Table334[[#This Row],[Account Withdrawl Amount]], )</f>
        <v>0</v>
      </c>
      <c r="P158" s="243">
        <f>IF(Table334[[#This Row],[Category]]="Insignia",Table334[[#This Row],[Account Deposit Amount]]-Table334[[#This Row],[Account Withdrawl Amount]], )</f>
        <v>0</v>
      </c>
      <c r="Q158" s="243">
        <f>IF(Table334[[#This Row],[Category]]="Activities/Program",Table334[[#This Row],[Account Deposit Amount]]-Table334[[#This Row],[Account Withdrawl Amount]], )</f>
        <v>0</v>
      </c>
      <c r="R158" s="243">
        <f>IF(Table334[[#This Row],[Category]]="Travel",Table334[[#This Row],[Account Deposit Amount]]-Table334[[#This Row],[Account Withdrawl Amount]], )</f>
        <v>0</v>
      </c>
      <c r="S158" s="243">
        <f>IF(Table334[[#This Row],[Category]]="Parties Food &amp; Beverages",Table334[[#This Row],[Account Deposit Amount]]-Table334[[#This Row],[Account Withdrawl Amount]], )</f>
        <v>0</v>
      </c>
      <c r="T158" s="243">
        <f>IF(Table334[[#This Row],[Category]]="Service Projects Donation",Table334[[#This Row],[Account Deposit Amount]]-Table334[[#This Row],[Account Withdrawl Amount]], )</f>
        <v>0</v>
      </c>
      <c r="U158" s="243">
        <f>IF(Table334[[#This Row],[Category]]="Cookie Debt",Table334[[#This Row],[Account Deposit Amount]]-Table334[[#This Row],[Account Withdrawl Amount]], )</f>
        <v>0</v>
      </c>
      <c r="V158" s="243">
        <f>IF(Table334[[#This Row],[Category]]="Other Expense",Table334[[#This Row],[Account Deposit Amount]]-Table334[[#This Row],[Account Withdrawl Amount]], )</f>
        <v>0</v>
      </c>
    </row>
    <row r="159" spans="1:22">
      <c r="A159" s="225"/>
      <c r="B159" s="241"/>
      <c r="C159" s="244"/>
      <c r="D159" s="225"/>
      <c r="E159" s="242"/>
      <c r="F159" s="242"/>
      <c r="G159" s="243">
        <f t="shared" si="5"/>
        <v>2518.9699999999939</v>
      </c>
      <c r="H159" s="225"/>
      <c r="I159" s="243">
        <f>IF(Table334[[#This Row],[Category]]="Fall Product",Table334[[#This Row],[Account Deposit Amount]]-Table334[[#This Row],[Account Withdrawl Amount]], )</f>
        <v>0</v>
      </c>
      <c r="J159" s="243">
        <f>IF(Table334[[#This Row],[Category]]="Cookies",Table334[[#This Row],[Account Deposit Amount]]-Table334[[#This Row],[Account Withdrawl Amount]], )</f>
        <v>0</v>
      </c>
      <c r="K159" s="243">
        <f>IF(Table334[[#This Row],[Category]]="Additional Money Earning Activities",Table334[[#This Row],[Account Deposit Amount]]-Table334[[#This Row],[Account Withdrawl Amount]], )</f>
        <v>0</v>
      </c>
      <c r="L159" s="243">
        <f>IF(Table334[[#This Row],[Category]]="Sponsorships",Table334[[#This Row],[Account Deposit Amount]]-Table334[[#This Row],[Account Withdrawl Amount]], )</f>
        <v>0</v>
      </c>
      <c r="M159" s="243">
        <f>IF(Table334[[#This Row],[Category]]="Troop Dues",Table334[[#This Row],[Account Deposit Amount]]-Table334[[#This Row],[Account Withdrawl Amount]], )</f>
        <v>0</v>
      </c>
      <c r="N159" s="243">
        <f>IF(Table334[[#This Row],[Category]]="Other Income",Table334[[#This Row],[Account Deposit Amount]]-Table334[[#This Row],[Account Withdrawl Amount]], )</f>
        <v>0</v>
      </c>
      <c r="O159" s="243">
        <f>IF(Table334[[#This Row],[Category]]="Registration",Table334[[#This Row],[Account Deposit Amount]]-Table334[[#This Row],[Account Withdrawl Amount]], )</f>
        <v>0</v>
      </c>
      <c r="P159" s="243">
        <f>IF(Table334[[#This Row],[Category]]="Insignia",Table334[[#This Row],[Account Deposit Amount]]-Table334[[#This Row],[Account Withdrawl Amount]], )</f>
        <v>0</v>
      </c>
      <c r="Q159" s="243">
        <f>IF(Table334[[#This Row],[Category]]="Activities/Program",Table334[[#This Row],[Account Deposit Amount]]-Table334[[#This Row],[Account Withdrawl Amount]], )</f>
        <v>0</v>
      </c>
      <c r="R159" s="243">
        <f>IF(Table334[[#This Row],[Category]]="Travel",Table334[[#This Row],[Account Deposit Amount]]-Table334[[#This Row],[Account Withdrawl Amount]], )</f>
        <v>0</v>
      </c>
      <c r="S159" s="243">
        <f>IF(Table334[[#This Row],[Category]]="Parties Food &amp; Beverages",Table334[[#This Row],[Account Deposit Amount]]-Table334[[#This Row],[Account Withdrawl Amount]], )</f>
        <v>0</v>
      </c>
      <c r="T159" s="243">
        <f>IF(Table334[[#This Row],[Category]]="Service Projects Donation",Table334[[#This Row],[Account Deposit Amount]]-Table334[[#This Row],[Account Withdrawl Amount]], )</f>
        <v>0</v>
      </c>
      <c r="U159" s="243">
        <f>IF(Table334[[#This Row],[Category]]="Cookie Debt",Table334[[#This Row],[Account Deposit Amount]]-Table334[[#This Row],[Account Withdrawl Amount]], )</f>
        <v>0</v>
      </c>
      <c r="V159" s="243">
        <f>IF(Table334[[#This Row],[Category]]="Other Expense",Table334[[#This Row],[Account Deposit Amount]]-Table334[[#This Row],[Account Withdrawl Amount]], )</f>
        <v>0</v>
      </c>
    </row>
    <row r="160" spans="1:22">
      <c r="A160" s="225"/>
      <c r="B160" s="241"/>
      <c r="C160" s="244"/>
      <c r="D160" s="225"/>
      <c r="E160" s="242"/>
      <c r="F160" s="242"/>
      <c r="G160" s="243">
        <f t="shared" si="5"/>
        <v>2518.9699999999939</v>
      </c>
      <c r="H160" s="225"/>
      <c r="I160" s="243">
        <f>IF(Table334[[#This Row],[Category]]="Fall Product",Table334[[#This Row],[Account Deposit Amount]]-Table334[[#This Row],[Account Withdrawl Amount]], )</f>
        <v>0</v>
      </c>
      <c r="J160" s="243">
        <f>IF(Table334[[#This Row],[Category]]="Cookies",Table334[[#This Row],[Account Deposit Amount]]-Table334[[#This Row],[Account Withdrawl Amount]], )</f>
        <v>0</v>
      </c>
      <c r="K160" s="243">
        <f>IF(Table334[[#This Row],[Category]]="Additional Money Earning Activities",Table334[[#This Row],[Account Deposit Amount]]-Table334[[#This Row],[Account Withdrawl Amount]], )</f>
        <v>0</v>
      </c>
      <c r="L160" s="243">
        <f>IF(Table334[[#This Row],[Category]]="Sponsorships",Table334[[#This Row],[Account Deposit Amount]]-Table334[[#This Row],[Account Withdrawl Amount]], )</f>
        <v>0</v>
      </c>
      <c r="M160" s="243">
        <f>IF(Table334[[#This Row],[Category]]="Troop Dues",Table334[[#This Row],[Account Deposit Amount]]-Table334[[#This Row],[Account Withdrawl Amount]], )</f>
        <v>0</v>
      </c>
      <c r="N160" s="243">
        <f>IF(Table334[[#This Row],[Category]]="Other Income",Table334[[#This Row],[Account Deposit Amount]]-Table334[[#This Row],[Account Withdrawl Amount]], )</f>
        <v>0</v>
      </c>
      <c r="O160" s="243">
        <f>IF(Table334[[#This Row],[Category]]="Registration",Table334[[#This Row],[Account Deposit Amount]]-Table334[[#This Row],[Account Withdrawl Amount]], )</f>
        <v>0</v>
      </c>
      <c r="P160" s="243">
        <f>IF(Table334[[#This Row],[Category]]="Insignia",Table334[[#This Row],[Account Deposit Amount]]-Table334[[#This Row],[Account Withdrawl Amount]], )</f>
        <v>0</v>
      </c>
      <c r="Q160" s="243">
        <f>IF(Table334[[#This Row],[Category]]="Activities/Program",Table334[[#This Row],[Account Deposit Amount]]-Table334[[#This Row],[Account Withdrawl Amount]], )</f>
        <v>0</v>
      </c>
      <c r="R160" s="243">
        <f>IF(Table334[[#This Row],[Category]]="Travel",Table334[[#This Row],[Account Deposit Amount]]-Table334[[#This Row],[Account Withdrawl Amount]], )</f>
        <v>0</v>
      </c>
      <c r="S160" s="243">
        <f>IF(Table334[[#This Row],[Category]]="Parties Food &amp; Beverages",Table334[[#This Row],[Account Deposit Amount]]-Table334[[#This Row],[Account Withdrawl Amount]], )</f>
        <v>0</v>
      </c>
      <c r="T160" s="243">
        <f>IF(Table334[[#This Row],[Category]]="Service Projects Donation",Table334[[#This Row],[Account Deposit Amount]]-Table334[[#This Row],[Account Withdrawl Amount]], )</f>
        <v>0</v>
      </c>
      <c r="U160" s="243">
        <f>IF(Table334[[#This Row],[Category]]="Cookie Debt",Table334[[#This Row],[Account Deposit Amount]]-Table334[[#This Row],[Account Withdrawl Amount]], )</f>
        <v>0</v>
      </c>
      <c r="V160" s="243">
        <f>IF(Table334[[#This Row],[Category]]="Other Expense",Table334[[#This Row],[Account Deposit Amount]]-Table334[[#This Row],[Account Withdrawl Amount]], )</f>
        <v>0</v>
      </c>
    </row>
    <row r="161" spans="1:22">
      <c r="A161" s="225"/>
      <c r="B161" s="241"/>
      <c r="C161" s="244"/>
      <c r="D161" s="225"/>
      <c r="E161" s="242"/>
      <c r="F161" s="242"/>
      <c r="G161" s="243">
        <f t="shared" si="5"/>
        <v>2518.9699999999939</v>
      </c>
      <c r="H161" s="225"/>
      <c r="I161" s="243">
        <f>IF(Table334[[#This Row],[Category]]="Fall Product",Table334[[#This Row],[Account Deposit Amount]]-Table334[[#This Row],[Account Withdrawl Amount]], )</f>
        <v>0</v>
      </c>
      <c r="J161" s="243">
        <f>IF(Table334[[#This Row],[Category]]="Cookies",Table334[[#This Row],[Account Deposit Amount]]-Table334[[#This Row],[Account Withdrawl Amount]], )</f>
        <v>0</v>
      </c>
      <c r="K161" s="243">
        <f>IF(Table334[[#This Row],[Category]]="Additional Money Earning Activities",Table334[[#This Row],[Account Deposit Amount]]-Table334[[#This Row],[Account Withdrawl Amount]], )</f>
        <v>0</v>
      </c>
      <c r="L161" s="243">
        <f>IF(Table334[[#This Row],[Category]]="Sponsorships",Table334[[#This Row],[Account Deposit Amount]]-Table334[[#This Row],[Account Withdrawl Amount]], )</f>
        <v>0</v>
      </c>
      <c r="M161" s="243">
        <f>IF(Table334[[#This Row],[Category]]="Troop Dues",Table334[[#This Row],[Account Deposit Amount]]-Table334[[#This Row],[Account Withdrawl Amount]], )</f>
        <v>0</v>
      </c>
      <c r="N161" s="243">
        <f>IF(Table334[[#This Row],[Category]]="Other Income",Table334[[#This Row],[Account Deposit Amount]]-Table334[[#This Row],[Account Withdrawl Amount]], )</f>
        <v>0</v>
      </c>
      <c r="O161" s="243">
        <f>IF(Table334[[#This Row],[Category]]="Registration",Table334[[#This Row],[Account Deposit Amount]]-Table334[[#This Row],[Account Withdrawl Amount]], )</f>
        <v>0</v>
      </c>
      <c r="P161" s="243">
        <f>IF(Table334[[#This Row],[Category]]="Insignia",Table334[[#This Row],[Account Deposit Amount]]-Table334[[#This Row],[Account Withdrawl Amount]], )</f>
        <v>0</v>
      </c>
      <c r="Q161" s="243">
        <f>IF(Table334[[#This Row],[Category]]="Activities/Program",Table334[[#This Row],[Account Deposit Amount]]-Table334[[#This Row],[Account Withdrawl Amount]], )</f>
        <v>0</v>
      </c>
      <c r="R161" s="243">
        <f>IF(Table334[[#This Row],[Category]]="Travel",Table334[[#This Row],[Account Deposit Amount]]-Table334[[#This Row],[Account Withdrawl Amount]], )</f>
        <v>0</v>
      </c>
      <c r="S161" s="243">
        <f>IF(Table334[[#This Row],[Category]]="Parties Food &amp; Beverages",Table334[[#This Row],[Account Deposit Amount]]-Table334[[#This Row],[Account Withdrawl Amount]], )</f>
        <v>0</v>
      </c>
      <c r="T161" s="243">
        <f>IF(Table334[[#This Row],[Category]]="Service Projects Donation",Table334[[#This Row],[Account Deposit Amount]]-Table334[[#This Row],[Account Withdrawl Amount]], )</f>
        <v>0</v>
      </c>
      <c r="U161" s="243">
        <f>IF(Table334[[#This Row],[Category]]="Cookie Debt",Table334[[#This Row],[Account Deposit Amount]]-Table334[[#This Row],[Account Withdrawl Amount]], )</f>
        <v>0</v>
      </c>
      <c r="V161" s="243">
        <f>IF(Table334[[#This Row],[Category]]="Other Expense",Table334[[#This Row],[Account Deposit Amount]]-Table334[[#This Row],[Account Withdrawl Amount]], )</f>
        <v>0</v>
      </c>
    </row>
    <row r="162" spans="1:22">
      <c r="A162" s="225"/>
      <c r="B162" s="241"/>
      <c r="C162" s="244"/>
      <c r="D162" s="225"/>
      <c r="E162" s="242"/>
      <c r="F162" s="242"/>
      <c r="G162" s="243">
        <f t="shared" si="5"/>
        <v>2518.9699999999939</v>
      </c>
      <c r="H162" s="225"/>
      <c r="I162" s="243">
        <f>IF(Table334[[#This Row],[Category]]="Fall Product",Table334[[#This Row],[Account Deposit Amount]]-Table334[[#This Row],[Account Withdrawl Amount]], )</f>
        <v>0</v>
      </c>
      <c r="J162" s="243">
        <f>IF(Table334[[#This Row],[Category]]="Cookies",Table334[[#This Row],[Account Deposit Amount]]-Table334[[#This Row],[Account Withdrawl Amount]], )</f>
        <v>0</v>
      </c>
      <c r="K162" s="243">
        <f>IF(Table334[[#This Row],[Category]]="Additional Money Earning Activities",Table334[[#This Row],[Account Deposit Amount]]-Table334[[#This Row],[Account Withdrawl Amount]], )</f>
        <v>0</v>
      </c>
      <c r="L162" s="243">
        <f>IF(Table334[[#This Row],[Category]]="Sponsorships",Table334[[#This Row],[Account Deposit Amount]]-Table334[[#This Row],[Account Withdrawl Amount]], )</f>
        <v>0</v>
      </c>
      <c r="M162" s="243">
        <f>IF(Table334[[#This Row],[Category]]="Troop Dues",Table334[[#This Row],[Account Deposit Amount]]-Table334[[#This Row],[Account Withdrawl Amount]], )</f>
        <v>0</v>
      </c>
      <c r="N162" s="243">
        <f>IF(Table334[[#This Row],[Category]]="Other Income",Table334[[#This Row],[Account Deposit Amount]]-Table334[[#This Row],[Account Withdrawl Amount]], )</f>
        <v>0</v>
      </c>
      <c r="O162" s="243">
        <f>IF(Table334[[#This Row],[Category]]="Registration",Table334[[#This Row],[Account Deposit Amount]]-Table334[[#This Row],[Account Withdrawl Amount]], )</f>
        <v>0</v>
      </c>
      <c r="P162" s="243">
        <f>IF(Table334[[#This Row],[Category]]="Insignia",Table334[[#This Row],[Account Deposit Amount]]-Table334[[#This Row],[Account Withdrawl Amount]], )</f>
        <v>0</v>
      </c>
      <c r="Q162" s="243">
        <f>IF(Table334[[#This Row],[Category]]="Activities/Program",Table334[[#This Row],[Account Deposit Amount]]-Table334[[#This Row],[Account Withdrawl Amount]], )</f>
        <v>0</v>
      </c>
      <c r="R162" s="243">
        <f>IF(Table334[[#This Row],[Category]]="Travel",Table334[[#This Row],[Account Deposit Amount]]-Table334[[#This Row],[Account Withdrawl Amount]], )</f>
        <v>0</v>
      </c>
      <c r="S162" s="243">
        <f>IF(Table334[[#This Row],[Category]]="Parties Food &amp; Beverages",Table334[[#This Row],[Account Deposit Amount]]-Table334[[#This Row],[Account Withdrawl Amount]], )</f>
        <v>0</v>
      </c>
      <c r="T162" s="243">
        <f>IF(Table334[[#This Row],[Category]]="Service Projects Donation",Table334[[#This Row],[Account Deposit Amount]]-Table334[[#This Row],[Account Withdrawl Amount]], )</f>
        <v>0</v>
      </c>
      <c r="U162" s="243">
        <f>IF(Table334[[#This Row],[Category]]="Cookie Debt",Table334[[#This Row],[Account Deposit Amount]]-Table334[[#This Row],[Account Withdrawl Amount]], )</f>
        <v>0</v>
      </c>
      <c r="V162" s="243">
        <f>IF(Table334[[#This Row],[Category]]="Other Expense",Table334[[#This Row],[Account Deposit Amount]]-Table334[[#This Row],[Account Withdrawl Amount]], )</f>
        <v>0</v>
      </c>
    </row>
    <row r="163" spans="1:22">
      <c r="A163" s="225"/>
      <c r="B163" s="241"/>
      <c r="C163" s="244"/>
      <c r="D163" s="225"/>
      <c r="E163" s="242"/>
      <c r="F163" s="242"/>
      <c r="G163" s="243">
        <f t="shared" si="5"/>
        <v>2518.9699999999939</v>
      </c>
      <c r="H163" s="225"/>
      <c r="I163" s="243">
        <f>IF(Table334[[#This Row],[Category]]="Fall Product",Table334[[#This Row],[Account Deposit Amount]]-Table334[[#This Row],[Account Withdrawl Amount]], )</f>
        <v>0</v>
      </c>
      <c r="J163" s="243">
        <f>IF(Table334[[#This Row],[Category]]="Cookies",Table334[[#This Row],[Account Deposit Amount]]-Table334[[#This Row],[Account Withdrawl Amount]], )</f>
        <v>0</v>
      </c>
      <c r="K163" s="243">
        <f>IF(Table334[[#This Row],[Category]]="Additional Money Earning Activities",Table334[[#This Row],[Account Deposit Amount]]-Table334[[#This Row],[Account Withdrawl Amount]], )</f>
        <v>0</v>
      </c>
      <c r="L163" s="243">
        <f>IF(Table334[[#This Row],[Category]]="Sponsorships",Table334[[#This Row],[Account Deposit Amount]]-Table334[[#This Row],[Account Withdrawl Amount]], )</f>
        <v>0</v>
      </c>
      <c r="M163" s="243">
        <f>IF(Table334[[#This Row],[Category]]="Troop Dues",Table334[[#This Row],[Account Deposit Amount]]-Table334[[#This Row],[Account Withdrawl Amount]], )</f>
        <v>0</v>
      </c>
      <c r="N163" s="243">
        <f>IF(Table334[[#This Row],[Category]]="Other Income",Table334[[#This Row],[Account Deposit Amount]]-Table334[[#This Row],[Account Withdrawl Amount]], )</f>
        <v>0</v>
      </c>
      <c r="O163" s="243">
        <f>IF(Table334[[#This Row],[Category]]="Registration",Table334[[#This Row],[Account Deposit Amount]]-Table334[[#This Row],[Account Withdrawl Amount]], )</f>
        <v>0</v>
      </c>
      <c r="P163" s="243">
        <f>IF(Table334[[#This Row],[Category]]="Insignia",Table334[[#This Row],[Account Deposit Amount]]-Table334[[#This Row],[Account Withdrawl Amount]], )</f>
        <v>0</v>
      </c>
      <c r="Q163" s="243">
        <f>IF(Table334[[#This Row],[Category]]="Activities/Program",Table334[[#This Row],[Account Deposit Amount]]-Table334[[#This Row],[Account Withdrawl Amount]], )</f>
        <v>0</v>
      </c>
      <c r="R163" s="243">
        <f>IF(Table334[[#This Row],[Category]]="Travel",Table334[[#This Row],[Account Deposit Amount]]-Table334[[#This Row],[Account Withdrawl Amount]], )</f>
        <v>0</v>
      </c>
      <c r="S163" s="243">
        <f>IF(Table334[[#This Row],[Category]]="Parties Food &amp; Beverages",Table334[[#This Row],[Account Deposit Amount]]-Table334[[#This Row],[Account Withdrawl Amount]], )</f>
        <v>0</v>
      </c>
      <c r="T163" s="243">
        <f>IF(Table334[[#This Row],[Category]]="Service Projects Donation",Table334[[#This Row],[Account Deposit Amount]]-Table334[[#This Row],[Account Withdrawl Amount]], )</f>
        <v>0</v>
      </c>
      <c r="U163" s="243">
        <f>IF(Table334[[#This Row],[Category]]="Cookie Debt",Table334[[#This Row],[Account Deposit Amount]]-Table334[[#This Row],[Account Withdrawl Amount]], )</f>
        <v>0</v>
      </c>
      <c r="V163" s="243">
        <f>IF(Table334[[#This Row],[Category]]="Other Expense",Table334[[#This Row],[Account Deposit Amount]]-Table334[[#This Row],[Account Withdrawl Amount]], )</f>
        <v>0</v>
      </c>
    </row>
    <row r="164" spans="1:22">
      <c r="A164" s="225"/>
      <c r="B164" s="241"/>
      <c r="C164" s="244"/>
      <c r="D164" s="225"/>
      <c r="E164" s="242"/>
      <c r="F164" s="242"/>
      <c r="G164" s="243">
        <f t="shared" si="5"/>
        <v>2518.9699999999939</v>
      </c>
      <c r="H164" s="225"/>
      <c r="I164" s="243">
        <f>IF(Table334[[#This Row],[Category]]="Fall Product",Table334[[#This Row],[Account Deposit Amount]]-Table334[[#This Row],[Account Withdrawl Amount]], )</f>
        <v>0</v>
      </c>
      <c r="J164" s="243">
        <f>IF(Table334[[#This Row],[Category]]="Cookies",Table334[[#This Row],[Account Deposit Amount]]-Table334[[#This Row],[Account Withdrawl Amount]], )</f>
        <v>0</v>
      </c>
      <c r="K164" s="243">
        <f>IF(Table334[[#This Row],[Category]]="Additional Money Earning Activities",Table334[[#This Row],[Account Deposit Amount]]-Table334[[#This Row],[Account Withdrawl Amount]], )</f>
        <v>0</v>
      </c>
      <c r="L164" s="243">
        <f>IF(Table334[[#This Row],[Category]]="Sponsorships",Table334[[#This Row],[Account Deposit Amount]]-Table334[[#This Row],[Account Withdrawl Amount]], )</f>
        <v>0</v>
      </c>
      <c r="M164" s="243">
        <f>IF(Table334[[#This Row],[Category]]="Troop Dues",Table334[[#This Row],[Account Deposit Amount]]-Table334[[#This Row],[Account Withdrawl Amount]], )</f>
        <v>0</v>
      </c>
      <c r="N164" s="243">
        <f>IF(Table334[[#This Row],[Category]]="Other Income",Table334[[#This Row],[Account Deposit Amount]]-Table334[[#This Row],[Account Withdrawl Amount]], )</f>
        <v>0</v>
      </c>
      <c r="O164" s="243">
        <f>IF(Table334[[#This Row],[Category]]="Registration",Table334[[#This Row],[Account Deposit Amount]]-Table334[[#This Row],[Account Withdrawl Amount]], )</f>
        <v>0</v>
      </c>
      <c r="P164" s="243">
        <f>IF(Table334[[#This Row],[Category]]="Insignia",Table334[[#This Row],[Account Deposit Amount]]-Table334[[#This Row],[Account Withdrawl Amount]], )</f>
        <v>0</v>
      </c>
      <c r="Q164" s="243">
        <f>IF(Table334[[#This Row],[Category]]="Activities/Program",Table334[[#This Row],[Account Deposit Amount]]-Table334[[#This Row],[Account Withdrawl Amount]], )</f>
        <v>0</v>
      </c>
      <c r="R164" s="243">
        <f>IF(Table334[[#This Row],[Category]]="Travel",Table334[[#This Row],[Account Deposit Amount]]-Table334[[#This Row],[Account Withdrawl Amount]], )</f>
        <v>0</v>
      </c>
      <c r="S164" s="243">
        <f>IF(Table334[[#This Row],[Category]]="Parties Food &amp; Beverages",Table334[[#This Row],[Account Deposit Amount]]-Table334[[#This Row],[Account Withdrawl Amount]], )</f>
        <v>0</v>
      </c>
      <c r="T164" s="243">
        <f>IF(Table334[[#This Row],[Category]]="Service Projects Donation",Table334[[#This Row],[Account Deposit Amount]]-Table334[[#This Row],[Account Withdrawl Amount]], )</f>
        <v>0</v>
      </c>
      <c r="U164" s="243">
        <f>IF(Table334[[#This Row],[Category]]="Cookie Debt",Table334[[#This Row],[Account Deposit Amount]]-Table334[[#This Row],[Account Withdrawl Amount]], )</f>
        <v>0</v>
      </c>
      <c r="V164" s="243">
        <f>IF(Table334[[#This Row],[Category]]="Other Expense",Table334[[#This Row],[Account Deposit Amount]]-Table334[[#This Row],[Account Withdrawl Amount]], )</f>
        <v>0</v>
      </c>
    </row>
    <row r="165" spans="1:22">
      <c r="A165" s="225"/>
      <c r="B165" s="241"/>
      <c r="C165" s="244"/>
      <c r="D165" s="225"/>
      <c r="E165" s="242"/>
      <c r="F165" s="242"/>
      <c r="G165" s="243">
        <f t="shared" si="5"/>
        <v>2518.9699999999939</v>
      </c>
      <c r="H165" s="225"/>
      <c r="I165" s="243">
        <f>IF(Table334[[#This Row],[Category]]="Fall Product",Table334[[#This Row],[Account Deposit Amount]]-Table334[[#This Row],[Account Withdrawl Amount]], )</f>
        <v>0</v>
      </c>
      <c r="J165" s="243">
        <f>IF(Table334[[#This Row],[Category]]="Cookies",Table334[[#This Row],[Account Deposit Amount]]-Table334[[#This Row],[Account Withdrawl Amount]], )</f>
        <v>0</v>
      </c>
      <c r="K165" s="243">
        <f>IF(Table334[[#This Row],[Category]]="Additional Money Earning Activities",Table334[[#This Row],[Account Deposit Amount]]-Table334[[#This Row],[Account Withdrawl Amount]], )</f>
        <v>0</v>
      </c>
      <c r="L165" s="243">
        <f>IF(Table334[[#This Row],[Category]]="Sponsorships",Table334[[#This Row],[Account Deposit Amount]]-Table334[[#This Row],[Account Withdrawl Amount]], )</f>
        <v>0</v>
      </c>
      <c r="M165" s="243">
        <f>IF(Table334[[#This Row],[Category]]="Troop Dues",Table334[[#This Row],[Account Deposit Amount]]-Table334[[#This Row],[Account Withdrawl Amount]], )</f>
        <v>0</v>
      </c>
      <c r="N165" s="243">
        <f>IF(Table334[[#This Row],[Category]]="Other Income",Table334[[#This Row],[Account Deposit Amount]]-Table334[[#This Row],[Account Withdrawl Amount]], )</f>
        <v>0</v>
      </c>
      <c r="O165" s="243">
        <f>IF(Table334[[#This Row],[Category]]="Registration",Table334[[#This Row],[Account Deposit Amount]]-Table334[[#This Row],[Account Withdrawl Amount]], )</f>
        <v>0</v>
      </c>
      <c r="P165" s="243">
        <f>IF(Table334[[#This Row],[Category]]="Insignia",Table334[[#This Row],[Account Deposit Amount]]-Table334[[#This Row],[Account Withdrawl Amount]], )</f>
        <v>0</v>
      </c>
      <c r="Q165" s="243">
        <f>IF(Table334[[#This Row],[Category]]="Activities/Program",Table334[[#This Row],[Account Deposit Amount]]-Table334[[#This Row],[Account Withdrawl Amount]], )</f>
        <v>0</v>
      </c>
      <c r="R165" s="243">
        <f>IF(Table334[[#This Row],[Category]]="Travel",Table334[[#This Row],[Account Deposit Amount]]-Table334[[#This Row],[Account Withdrawl Amount]], )</f>
        <v>0</v>
      </c>
      <c r="S165" s="243">
        <f>IF(Table334[[#This Row],[Category]]="Parties Food &amp; Beverages",Table334[[#This Row],[Account Deposit Amount]]-Table334[[#This Row],[Account Withdrawl Amount]], )</f>
        <v>0</v>
      </c>
      <c r="T165" s="243">
        <f>IF(Table334[[#This Row],[Category]]="Service Projects Donation",Table334[[#This Row],[Account Deposit Amount]]-Table334[[#This Row],[Account Withdrawl Amount]], )</f>
        <v>0</v>
      </c>
      <c r="U165" s="243">
        <f>IF(Table334[[#This Row],[Category]]="Cookie Debt",Table334[[#This Row],[Account Deposit Amount]]-Table334[[#This Row],[Account Withdrawl Amount]], )</f>
        <v>0</v>
      </c>
      <c r="V165" s="243">
        <f>IF(Table334[[#This Row],[Category]]="Other Expense",Table334[[#This Row],[Account Deposit Amount]]-Table334[[#This Row],[Account Withdrawl Amount]], )</f>
        <v>0</v>
      </c>
    </row>
    <row r="166" spans="1:22">
      <c r="A166" s="225"/>
      <c r="B166" s="241"/>
      <c r="C166" s="244"/>
      <c r="D166" s="225"/>
      <c r="E166" s="242"/>
      <c r="F166" s="242"/>
      <c r="G166" s="243">
        <f t="shared" si="5"/>
        <v>2518.9699999999939</v>
      </c>
      <c r="H166" s="225"/>
      <c r="I166" s="243">
        <f>IF(Table334[[#This Row],[Category]]="Fall Product",Table334[[#This Row],[Account Deposit Amount]]-Table334[[#This Row],[Account Withdrawl Amount]], )</f>
        <v>0</v>
      </c>
      <c r="J166" s="243">
        <f>IF(Table334[[#This Row],[Category]]="Cookies",Table334[[#This Row],[Account Deposit Amount]]-Table334[[#This Row],[Account Withdrawl Amount]], )</f>
        <v>0</v>
      </c>
      <c r="K166" s="243">
        <f>IF(Table334[[#This Row],[Category]]="Additional Money Earning Activities",Table334[[#This Row],[Account Deposit Amount]]-Table334[[#This Row],[Account Withdrawl Amount]], )</f>
        <v>0</v>
      </c>
      <c r="L166" s="243">
        <f>IF(Table334[[#This Row],[Category]]="Sponsorships",Table334[[#This Row],[Account Deposit Amount]]-Table334[[#This Row],[Account Withdrawl Amount]], )</f>
        <v>0</v>
      </c>
      <c r="M166" s="243">
        <f>IF(Table334[[#This Row],[Category]]="Troop Dues",Table334[[#This Row],[Account Deposit Amount]]-Table334[[#This Row],[Account Withdrawl Amount]], )</f>
        <v>0</v>
      </c>
      <c r="N166" s="243">
        <f>IF(Table334[[#This Row],[Category]]="Other Income",Table334[[#This Row],[Account Deposit Amount]]-Table334[[#This Row],[Account Withdrawl Amount]], )</f>
        <v>0</v>
      </c>
      <c r="O166" s="243">
        <f>IF(Table334[[#This Row],[Category]]="Registration",Table334[[#This Row],[Account Deposit Amount]]-Table334[[#This Row],[Account Withdrawl Amount]], )</f>
        <v>0</v>
      </c>
      <c r="P166" s="243">
        <f>IF(Table334[[#This Row],[Category]]="Insignia",Table334[[#This Row],[Account Deposit Amount]]-Table334[[#This Row],[Account Withdrawl Amount]], )</f>
        <v>0</v>
      </c>
      <c r="Q166" s="243">
        <f>IF(Table334[[#This Row],[Category]]="Activities/Program",Table334[[#This Row],[Account Deposit Amount]]-Table334[[#This Row],[Account Withdrawl Amount]], )</f>
        <v>0</v>
      </c>
      <c r="R166" s="243">
        <f>IF(Table334[[#This Row],[Category]]="Travel",Table334[[#This Row],[Account Deposit Amount]]-Table334[[#This Row],[Account Withdrawl Amount]], )</f>
        <v>0</v>
      </c>
      <c r="S166" s="243">
        <f>IF(Table334[[#This Row],[Category]]="Parties Food &amp; Beverages",Table334[[#This Row],[Account Deposit Amount]]-Table334[[#This Row],[Account Withdrawl Amount]], )</f>
        <v>0</v>
      </c>
      <c r="T166" s="243">
        <f>IF(Table334[[#This Row],[Category]]="Service Projects Donation",Table334[[#This Row],[Account Deposit Amount]]-Table334[[#This Row],[Account Withdrawl Amount]], )</f>
        <v>0</v>
      </c>
      <c r="U166" s="243">
        <f>IF(Table334[[#This Row],[Category]]="Cookie Debt",Table334[[#This Row],[Account Deposit Amount]]-Table334[[#This Row],[Account Withdrawl Amount]], )</f>
        <v>0</v>
      </c>
      <c r="V166" s="243">
        <f>IF(Table334[[#This Row],[Category]]="Other Expense",Table334[[#This Row],[Account Deposit Amount]]-Table334[[#This Row],[Account Withdrawl Amount]], )</f>
        <v>0</v>
      </c>
    </row>
    <row r="167" spans="1:22">
      <c r="A167" s="225"/>
      <c r="B167" s="241"/>
      <c r="C167" s="244"/>
      <c r="D167" s="225"/>
      <c r="E167" s="242"/>
      <c r="F167" s="242"/>
      <c r="G167" s="243">
        <f t="shared" si="5"/>
        <v>2518.9699999999939</v>
      </c>
      <c r="H167" s="225"/>
      <c r="I167" s="243">
        <f>IF(Table334[[#This Row],[Category]]="Fall Product",Table334[[#This Row],[Account Deposit Amount]]-Table334[[#This Row],[Account Withdrawl Amount]], )</f>
        <v>0</v>
      </c>
      <c r="J167" s="243">
        <f>IF(Table334[[#This Row],[Category]]="Cookies",Table334[[#This Row],[Account Deposit Amount]]-Table334[[#This Row],[Account Withdrawl Amount]], )</f>
        <v>0</v>
      </c>
      <c r="K167" s="243">
        <f>IF(Table334[[#This Row],[Category]]="Additional Money Earning Activities",Table334[[#This Row],[Account Deposit Amount]]-Table334[[#This Row],[Account Withdrawl Amount]], )</f>
        <v>0</v>
      </c>
      <c r="L167" s="243">
        <f>IF(Table334[[#This Row],[Category]]="Sponsorships",Table334[[#This Row],[Account Deposit Amount]]-Table334[[#This Row],[Account Withdrawl Amount]], )</f>
        <v>0</v>
      </c>
      <c r="M167" s="243">
        <f>IF(Table334[[#This Row],[Category]]="Troop Dues",Table334[[#This Row],[Account Deposit Amount]]-Table334[[#This Row],[Account Withdrawl Amount]], )</f>
        <v>0</v>
      </c>
      <c r="N167" s="243">
        <f>IF(Table334[[#This Row],[Category]]="Other Income",Table334[[#This Row],[Account Deposit Amount]]-Table334[[#This Row],[Account Withdrawl Amount]], )</f>
        <v>0</v>
      </c>
      <c r="O167" s="243">
        <f>IF(Table334[[#This Row],[Category]]="Registration",Table334[[#This Row],[Account Deposit Amount]]-Table334[[#This Row],[Account Withdrawl Amount]], )</f>
        <v>0</v>
      </c>
      <c r="P167" s="243">
        <f>IF(Table334[[#This Row],[Category]]="Insignia",Table334[[#This Row],[Account Deposit Amount]]-Table334[[#This Row],[Account Withdrawl Amount]], )</f>
        <v>0</v>
      </c>
      <c r="Q167" s="243">
        <f>IF(Table334[[#This Row],[Category]]="Activities/Program",Table334[[#This Row],[Account Deposit Amount]]-Table334[[#This Row],[Account Withdrawl Amount]], )</f>
        <v>0</v>
      </c>
      <c r="R167" s="243">
        <f>IF(Table334[[#This Row],[Category]]="Travel",Table334[[#This Row],[Account Deposit Amount]]-Table334[[#This Row],[Account Withdrawl Amount]], )</f>
        <v>0</v>
      </c>
      <c r="S167" s="243">
        <f>IF(Table334[[#This Row],[Category]]="Parties Food &amp; Beverages",Table334[[#This Row],[Account Deposit Amount]]-Table334[[#This Row],[Account Withdrawl Amount]], )</f>
        <v>0</v>
      </c>
      <c r="T167" s="243">
        <f>IF(Table334[[#This Row],[Category]]="Service Projects Donation",Table334[[#This Row],[Account Deposit Amount]]-Table334[[#This Row],[Account Withdrawl Amount]], )</f>
        <v>0</v>
      </c>
      <c r="U167" s="243">
        <f>IF(Table334[[#This Row],[Category]]="Cookie Debt",Table334[[#This Row],[Account Deposit Amount]]-Table334[[#This Row],[Account Withdrawl Amount]], )</f>
        <v>0</v>
      </c>
      <c r="V167" s="243">
        <f>IF(Table334[[#This Row],[Category]]="Other Expense",Table334[[#This Row],[Account Deposit Amount]]-Table334[[#This Row],[Account Withdrawl Amount]], )</f>
        <v>0</v>
      </c>
    </row>
    <row r="168" spans="1:22">
      <c r="A168" s="225"/>
      <c r="B168" s="241"/>
      <c r="C168" s="244"/>
      <c r="D168" s="225"/>
      <c r="E168" s="242"/>
      <c r="F168" s="242"/>
      <c r="G168" s="243">
        <f t="shared" si="5"/>
        <v>2518.9699999999939</v>
      </c>
      <c r="H168" s="225"/>
      <c r="I168" s="243">
        <f>IF(Table334[[#This Row],[Category]]="Fall Product",Table334[[#This Row],[Account Deposit Amount]]-Table334[[#This Row],[Account Withdrawl Amount]], )</f>
        <v>0</v>
      </c>
      <c r="J168" s="243">
        <f>IF(Table334[[#This Row],[Category]]="Cookies",Table334[[#This Row],[Account Deposit Amount]]-Table334[[#This Row],[Account Withdrawl Amount]], )</f>
        <v>0</v>
      </c>
      <c r="K168" s="243">
        <f>IF(Table334[[#This Row],[Category]]="Additional Money Earning Activities",Table334[[#This Row],[Account Deposit Amount]]-Table334[[#This Row],[Account Withdrawl Amount]], )</f>
        <v>0</v>
      </c>
      <c r="L168" s="243">
        <f>IF(Table334[[#This Row],[Category]]="Sponsorships",Table334[[#This Row],[Account Deposit Amount]]-Table334[[#This Row],[Account Withdrawl Amount]], )</f>
        <v>0</v>
      </c>
      <c r="M168" s="243">
        <f>IF(Table334[[#This Row],[Category]]="Troop Dues",Table334[[#This Row],[Account Deposit Amount]]-Table334[[#This Row],[Account Withdrawl Amount]], )</f>
        <v>0</v>
      </c>
      <c r="N168" s="243">
        <f>IF(Table334[[#This Row],[Category]]="Other Income",Table334[[#This Row],[Account Deposit Amount]]-Table334[[#This Row],[Account Withdrawl Amount]], )</f>
        <v>0</v>
      </c>
      <c r="O168" s="243">
        <f>IF(Table334[[#This Row],[Category]]="Registration",Table334[[#This Row],[Account Deposit Amount]]-Table334[[#This Row],[Account Withdrawl Amount]], )</f>
        <v>0</v>
      </c>
      <c r="P168" s="243">
        <f>IF(Table334[[#This Row],[Category]]="Insignia",Table334[[#This Row],[Account Deposit Amount]]-Table334[[#This Row],[Account Withdrawl Amount]], )</f>
        <v>0</v>
      </c>
      <c r="Q168" s="243">
        <f>IF(Table334[[#This Row],[Category]]="Activities/Program",Table334[[#This Row],[Account Deposit Amount]]-Table334[[#This Row],[Account Withdrawl Amount]], )</f>
        <v>0</v>
      </c>
      <c r="R168" s="243">
        <f>IF(Table334[[#This Row],[Category]]="Travel",Table334[[#This Row],[Account Deposit Amount]]-Table334[[#This Row],[Account Withdrawl Amount]], )</f>
        <v>0</v>
      </c>
      <c r="S168" s="243">
        <f>IF(Table334[[#This Row],[Category]]="Parties Food &amp; Beverages",Table334[[#This Row],[Account Deposit Amount]]-Table334[[#This Row],[Account Withdrawl Amount]], )</f>
        <v>0</v>
      </c>
      <c r="T168" s="243">
        <f>IF(Table334[[#This Row],[Category]]="Service Projects Donation",Table334[[#This Row],[Account Deposit Amount]]-Table334[[#This Row],[Account Withdrawl Amount]], )</f>
        <v>0</v>
      </c>
      <c r="U168" s="243">
        <f>IF(Table334[[#This Row],[Category]]="Cookie Debt",Table334[[#This Row],[Account Deposit Amount]]-Table334[[#This Row],[Account Withdrawl Amount]], )</f>
        <v>0</v>
      </c>
      <c r="V168" s="243">
        <f>IF(Table334[[#This Row],[Category]]="Other Expense",Table334[[#This Row],[Account Deposit Amount]]-Table334[[#This Row],[Account Withdrawl Amount]], )</f>
        <v>0</v>
      </c>
    </row>
    <row r="169" spans="1:22">
      <c r="A169" s="225"/>
      <c r="B169" s="241"/>
      <c r="C169" s="244"/>
      <c r="D169" s="225"/>
      <c r="E169" s="242"/>
      <c r="F169" s="242"/>
      <c r="G169" s="243">
        <f t="shared" si="5"/>
        <v>2518.9699999999939</v>
      </c>
      <c r="H169" s="225"/>
      <c r="I169" s="243">
        <f>IF(Table334[[#This Row],[Category]]="Fall Product",Table334[[#This Row],[Account Deposit Amount]]-Table334[[#This Row],[Account Withdrawl Amount]], )</f>
        <v>0</v>
      </c>
      <c r="J169" s="243">
        <f>IF(Table334[[#This Row],[Category]]="Cookies",Table334[[#This Row],[Account Deposit Amount]]-Table334[[#This Row],[Account Withdrawl Amount]], )</f>
        <v>0</v>
      </c>
      <c r="K169" s="243">
        <f>IF(Table334[[#This Row],[Category]]="Additional Money Earning Activities",Table334[[#This Row],[Account Deposit Amount]]-Table334[[#This Row],[Account Withdrawl Amount]], )</f>
        <v>0</v>
      </c>
      <c r="L169" s="243">
        <f>IF(Table334[[#This Row],[Category]]="Sponsorships",Table334[[#This Row],[Account Deposit Amount]]-Table334[[#This Row],[Account Withdrawl Amount]], )</f>
        <v>0</v>
      </c>
      <c r="M169" s="243">
        <f>IF(Table334[[#This Row],[Category]]="Troop Dues",Table334[[#This Row],[Account Deposit Amount]]-Table334[[#This Row],[Account Withdrawl Amount]], )</f>
        <v>0</v>
      </c>
      <c r="N169" s="243">
        <f>IF(Table334[[#This Row],[Category]]="Other Income",Table334[[#This Row],[Account Deposit Amount]]-Table334[[#This Row],[Account Withdrawl Amount]], )</f>
        <v>0</v>
      </c>
      <c r="O169" s="243">
        <f>IF(Table334[[#This Row],[Category]]="Registration",Table334[[#This Row],[Account Deposit Amount]]-Table334[[#This Row],[Account Withdrawl Amount]], )</f>
        <v>0</v>
      </c>
      <c r="P169" s="243">
        <f>IF(Table334[[#This Row],[Category]]="Insignia",Table334[[#This Row],[Account Deposit Amount]]-Table334[[#This Row],[Account Withdrawl Amount]], )</f>
        <v>0</v>
      </c>
      <c r="Q169" s="243">
        <f>IF(Table334[[#This Row],[Category]]="Activities/Program",Table334[[#This Row],[Account Deposit Amount]]-Table334[[#This Row],[Account Withdrawl Amount]], )</f>
        <v>0</v>
      </c>
      <c r="R169" s="243">
        <f>IF(Table334[[#This Row],[Category]]="Travel",Table334[[#This Row],[Account Deposit Amount]]-Table334[[#This Row],[Account Withdrawl Amount]], )</f>
        <v>0</v>
      </c>
      <c r="S169" s="243">
        <f>IF(Table334[[#This Row],[Category]]="Parties Food &amp; Beverages",Table334[[#This Row],[Account Deposit Amount]]-Table334[[#This Row],[Account Withdrawl Amount]], )</f>
        <v>0</v>
      </c>
      <c r="T169" s="243">
        <f>IF(Table334[[#This Row],[Category]]="Service Projects Donation",Table334[[#This Row],[Account Deposit Amount]]-Table334[[#This Row],[Account Withdrawl Amount]], )</f>
        <v>0</v>
      </c>
      <c r="U169" s="243">
        <f>IF(Table334[[#This Row],[Category]]="Cookie Debt",Table334[[#This Row],[Account Deposit Amount]]-Table334[[#This Row],[Account Withdrawl Amount]], )</f>
        <v>0</v>
      </c>
      <c r="V169" s="243">
        <f>IF(Table334[[#This Row],[Category]]="Other Expense",Table334[[#This Row],[Account Deposit Amount]]-Table334[[#This Row],[Account Withdrawl Amount]], )</f>
        <v>0</v>
      </c>
    </row>
    <row r="170" spans="1:22">
      <c r="A170" s="225"/>
      <c r="B170" s="241"/>
      <c r="C170" s="244"/>
      <c r="D170" s="225"/>
      <c r="E170" s="242"/>
      <c r="F170" s="242"/>
      <c r="G170" s="243">
        <f t="shared" si="5"/>
        <v>2518.9699999999939</v>
      </c>
      <c r="H170" s="225"/>
      <c r="I170" s="243">
        <f>IF(Table334[[#This Row],[Category]]="Fall Product",Table334[[#This Row],[Account Deposit Amount]]-Table334[[#This Row],[Account Withdrawl Amount]], )</f>
        <v>0</v>
      </c>
      <c r="J170" s="243">
        <f>IF(Table334[[#This Row],[Category]]="Cookies",Table334[[#This Row],[Account Deposit Amount]]-Table334[[#This Row],[Account Withdrawl Amount]], )</f>
        <v>0</v>
      </c>
      <c r="K170" s="243">
        <f>IF(Table334[[#This Row],[Category]]="Additional Money Earning Activities",Table334[[#This Row],[Account Deposit Amount]]-Table334[[#This Row],[Account Withdrawl Amount]], )</f>
        <v>0</v>
      </c>
      <c r="L170" s="243">
        <f>IF(Table334[[#This Row],[Category]]="Sponsorships",Table334[[#This Row],[Account Deposit Amount]]-Table334[[#This Row],[Account Withdrawl Amount]], )</f>
        <v>0</v>
      </c>
      <c r="M170" s="243">
        <f>IF(Table334[[#This Row],[Category]]="Troop Dues",Table334[[#This Row],[Account Deposit Amount]]-Table334[[#This Row],[Account Withdrawl Amount]], )</f>
        <v>0</v>
      </c>
      <c r="N170" s="243">
        <f>IF(Table334[[#This Row],[Category]]="Other Income",Table334[[#This Row],[Account Deposit Amount]]-Table334[[#This Row],[Account Withdrawl Amount]], )</f>
        <v>0</v>
      </c>
      <c r="O170" s="243">
        <f>IF(Table334[[#This Row],[Category]]="Registration",Table334[[#This Row],[Account Deposit Amount]]-Table334[[#This Row],[Account Withdrawl Amount]], )</f>
        <v>0</v>
      </c>
      <c r="P170" s="243">
        <f>IF(Table334[[#This Row],[Category]]="Insignia",Table334[[#This Row],[Account Deposit Amount]]-Table334[[#This Row],[Account Withdrawl Amount]], )</f>
        <v>0</v>
      </c>
      <c r="Q170" s="243">
        <f>IF(Table334[[#This Row],[Category]]="Activities/Program",Table334[[#This Row],[Account Deposit Amount]]-Table334[[#This Row],[Account Withdrawl Amount]], )</f>
        <v>0</v>
      </c>
      <c r="R170" s="243">
        <f>IF(Table334[[#This Row],[Category]]="Travel",Table334[[#This Row],[Account Deposit Amount]]-Table334[[#This Row],[Account Withdrawl Amount]], )</f>
        <v>0</v>
      </c>
      <c r="S170" s="243">
        <f>IF(Table334[[#This Row],[Category]]="Parties Food &amp; Beverages",Table334[[#This Row],[Account Deposit Amount]]-Table334[[#This Row],[Account Withdrawl Amount]], )</f>
        <v>0</v>
      </c>
      <c r="T170" s="243">
        <f>IF(Table334[[#This Row],[Category]]="Service Projects Donation",Table334[[#This Row],[Account Deposit Amount]]-Table334[[#This Row],[Account Withdrawl Amount]], )</f>
        <v>0</v>
      </c>
      <c r="U170" s="243">
        <f>IF(Table334[[#This Row],[Category]]="Cookie Debt",Table334[[#This Row],[Account Deposit Amount]]-Table334[[#This Row],[Account Withdrawl Amount]], )</f>
        <v>0</v>
      </c>
      <c r="V170" s="243">
        <f>IF(Table334[[#This Row],[Category]]="Other Expense",Table334[[#This Row],[Account Deposit Amount]]-Table334[[#This Row],[Account Withdrawl Amount]], )</f>
        <v>0</v>
      </c>
    </row>
    <row r="171" spans="1:22">
      <c r="A171" s="225"/>
      <c r="B171" s="241"/>
      <c r="C171" s="244"/>
      <c r="D171" s="225"/>
      <c r="E171" s="242"/>
      <c r="F171" s="242"/>
      <c r="G171" s="243">
        <f t="shared" si="5"/>
        <v>2518.9699999999939</v>
      </c>
      <c r="H171" s="225"/>
      <c r="I171" s="243">
        <f>IF(Table334[[#This Row],[Category]]="Fall Product",Table334[[#This Row],[Account Deposit Amount]]-Table334[[#This Row],[Account Withdrawl Amount]], )</f>
        <v>0</v>
      </c>
      <c r="J171" s="243">
        <f>IF(Table334[[#This Row],[Category]]="Cookies",Table334[[#This Row],[Account Deposit Amount]]-Table334[[#This Row],[Account Withdrawl Amount]], )</f>
        <v>0</v>
      </c>
      <c r="K171" s="243">
        <f>IF(Table334[[#This Row],[Category]]="Additional Money Earning Activities",Table334[[#This Row],[Account Deposit Amount]]-Table334[[#This Row],[Account Withdrawl Amount]], )</f>
        <v>0</v>
      </c>
      <c r="L171" s="243">
        <f>IF(Table334[[#This Row],[Category]]="Sponsorships",Table334[[#This Row],[Account Deposit Amount]]-Table334[[#This Row],[Account Withdrawl Amount]], )</f>
        <v>0</v>
      </c>
      <c r="M171" s="243">
        <f>IF(Table334[[#This Row],[Category]]="Troop Dues",Table334[[#This Row],[Account Deposit Amount]]-Table334[[#This Row],[Account Withdrawl Amount]], )</f>
        <v>0</v>
      </c>
      <c r="N171" s="243">
        <f>IF(Table334[[#This Row],[Category]]="Other Income",Table334[[#This Row],[Account Deposit Amount]]-Table334[[#This Row],[Account Withdrawl Amount]], )</f>
        <v>0</v>
      </c>
      <c r="O171" s="243">
        <f>IF(Table334[[#This Row],[Category]]="Registration",Table334[[#This Row],[Account Deposit Amount]]-Table334[[#This Row],[Account Withdrawl Amount]], )</f>
        <v>0</v>
      </c>
      <c r="P171" s="243">
        <f>IF(Table334[[#This Row],[Category]]="Insignia",Table334[[#This Row],[Account Deposit Amount]]-Table334[[#This Row],[Account Withdrawl Amount]], )</f>
        <v>0</v>
      </c>
      <c r="Q171" s="243">
        <f>IF(Table334[[#This Row],[Category]]="Activities/Program",Table334[[#This Row],[Account Deposit Amount]]-Table334[[#This Row],[Account Withdrawl Amount]], )</f>
        <v>0</v>
      </c>
      <c r="R171" s="243">
        <f>IF(Table334[[#This Row],[Category]]="Travel",Table334[[#This Row],[Account Deposit Amount]]-Table334[[#This Row],[Account Withdrawl Amount]], )</f>
        <v>0</v>
      </c>
      <c r="S171" s="243">
        <f>IF(Table334[[#This Row],[Category]]="Parties Food &amp; Beverages",Table334[[#This Row],[Account Deposit Amount]]-Table334[[#This Row],[Account Withdrawl Amount]], )</f>
        <v>0</v>
      </c>
      <c r="T171" s="243">
        <f>IF(Table334[[#This Row],[Category]]="Service Projects Donation",Table334[[#This Row],[Account Deposit Amount]]-Table334[[#This Row],[Account Withdrawl Amount]], )</f>
        <v>0</v>
      </c>
      <c r="U171" s="243">
        <f>IF(Table334[[#This Row],[Category]]="Cookie Debt",Table334[[#This Row],[Account Deposit Amount]]-Table334[[#This Row],[Account Withdrawl Amount]], )</f>
        <v>0</v>
      </c>
      <c r="V171" s="243">
        <f>IF(Table334[[#This Row],[Category]]="Other Expense",Table334[[#This Row],[Account Deposit Amount]]-Table334[[#This Row],[Account Withdrawl Amount]], )</f>
        <v>0</v>
      </c>
    </row>
    <row r="172" spans="1:22">
      <c r="A172" s="225"/>
      <c r="B172" s="241"/>
      <c r="C172" s="244"/>
      <c r="D172" s="225"/>
      <c r="E172" s="242"/>
      <c r="F172" s="242"/>
      <c r="G172" s="243">
        <f t="shared" si="5"/>
        <v>2518.9699999999939</v>
      </c>
      <c r="H172" s="225"/>
      <c r="I172" s="243">
        <f>IF(Table334[[#This Row],[Category]]="Fall Product",Table334[[#This Row],[Account Deposit Amount]]-Table334[[#This Row],[Account Withdrawl Amount]], )</f>
        <v>0</v>
      </c>
      <c r="J172" s="243">
        <f>IF(Table334[[#This Row],[Category]]="Cookies",Table334[[#This Row],[Account Deposit Amount]]-Table334[[#This Row],[Account Withdrawl Amount]], )</f>
        <v>0</v>
      </c>
      <c r="K172" s="243">
        <f>IF(Table334[[#This Row],[Category]]="Additional Money Earning Activities",Table334[[#This Row],[Account Deposit Amount]]-Table334[[#This Row],[Account Withdrawl Amount]], )</f>
        <v>0</v>
      </c>
      <c r="L172" s="243">
        <f>IF(Table334[[#This Row],[Category]]="Sponsorships",Table334[[#This Row],[Account Deposit Amount]]-Table334[[#This Row],[Account Withdrawl Amount]], )</f>
        <v>0</v>
      </c>
      <c r="M172" s="243">
        <f>IF(Table334[[#This Row],[Category]]="Troop Dues",Table334[[#This Row],[Account Deposit Amount]]-Table334[[#This Row],[Account Withdrawl Amount]], )</f>
        <v>0</v>
      </c>
      <c r="N172" s="243">
        <f>IF(Table334[[#This Row],[Category]]="Other Income",Table334[[#This Row],[Account Deposit Amount]]-Table334[[#This Row],[Account Withdrawl Amount]], )</f>
        <v>0</v>
      </c>
      <c r="O172" s="243">
        <f>IF(Table334[[#This Row],[Category]]="Registration",Table334[[#This Row],[Account Deposit Amount]]-Table334[[#This Row],[Account Withdrawl Amount]], )</f>
        <v>0</v>
      </c>
      <c r="P172" s="243">
        <f>IF(Table334[[#This Row],[Category]]="Insignia",Table334[[#This Row],[Account Deposit Amount]]-Table334[[#This Row],[Account Withdrawl Amount]], )</f>
        <v>0</v>
      </c>
      <c r="Q172" s="243">
        <f>IF(Table334[[#This Row],[Category]]="Activities/Program",Table334[[#This Row],[Account Deposit Amount]]-Table334[[#This Row],[Account Withdrawl Amount]], )</f>
        <v>0</v>
      </c>
      <c r="R172" s="243">
        <f>IF(Table334[[#This Row],[Category]]="Travel",Table334[[#This Row],[Account Deposit Amount]]-Table334[[#This Row],[Account Withdrawl Amount]], )</f>
        <v>0</v>
      </c>
      <c r="S172" s="243">
        <f>IF(Table334[[#This Row],[Category]]="Parties Food &amp; Beverages",Table334[[#This Row],[Account Deposit Amount]]-Table334[[#This Row],[Account Withdrawl Amount]], )</f>
        <v>0</v>
      </c>
      <c r="T172" s="243">
        <f>IF(Table334[[#This Row],[Category]]="Service Projects Donation",Table334[[#This Row],[Account Deposit Amount]]-Table334[[#This Row],[Account Withdrawl Amount]], )</f>
        <v>0</v>
      </c>
      <c r="U172" s="243">
        <f>IF(Table334[[#This Row],[Category]]="Cookie Debt",Table334[[#This Row],[Account Deposit Amount]]-Table334[[#This Row],[Account Withdrawl Amount]], )</f>
        <v>0</v>
      </c>
      <c r="V172" s="243">
        <f>IF(Table334[[#This Row],[Category]]="Other Expense",Table334[[#This Row],[Account Deposit Amount]]-Table334[[#This Row],[Account Withdrawl Amount]], )</f>
        <v>0</v>
      </c>
    </row>
    <row r="173" spans="1:22">
      <c r="A173" s="225"/>
      <c r="B173" s="241"/>
      <c r="C173" s="244"/>
      <c r="D173" s="225"/>
      <c r="E173" s="242"/>
      <c r="F173" s="242"/>
      <c r="G173" s="243">
        <f t="shared" si="5"/>
        <v>2518.9699999999939</v>
      </c>
      <c r="H173" s="225"/>
      <c r="I173" s="243">
        <f>IF(Table334[[#This Row],[Category]]="Fall Product",Table334[[#This Row],[Account Deposit Amount]]-Table334[[#This Row],[Account Withdrawl Amount]], )</f>
        <v>0</v>
      </c>
      <c r="J173" s="243">
        <f>IF(Table334[[#This Row],[Category]]="Cookies",Table334[[#This Row],[Account Deposit Amount]]-Table334[[#This Row],[Account Withdrawl Amount]], )</f>
        <v>0</v>
      </c>
      <c r="K173" s="243">
        <f>IF(Table334[[#This Row],[Category]]="Additional Money Earning Activities",Table334[[#This Row],[Account Deposit Amount]]-Table334[[#This Row],[Account Withdrawl Amount]], )</f>
        <v>0</v>
      </c>
      <c r="L173" s="243">
        <f>IF(Table334[[#This Row],[Category]]="Sponsorships",Table334[[#This Row],[Account Deposit Amount]]-Table334[[#This Row],[Account Withdrawl Amount]], )</f>
        <v>0</v>
      </c>
      <c r="M173" s="243">
        <f>IF(Table334[[#This Row],[Category]]="Troop Dues",Table334[[#This Row],[Account Deposit Amount]]-Table334[[#This Row],[Account Withdrawl Amount]], )</f>
        <v>0</v>
      </c>
      <c r="N173" s="243">
        <f>IF(Table334[[#This Row],[Category]]="Other Income",Table334[[#This Row],[Account Deposit Amount]]-Table334[[#This Row],[Account Withdrawl Amount]], )</f>
        <v>0</v>
      </c>
      <c r="O173" s="243">
        <f>IF(Table334[[#This Row],[Category]]="Registration",Table334[[#This Row],[Account Deposit Amount]]-Table334[[#This Row],[Account Withdrawl Amount]], )</f>
        <v>0</v>
      </c>
      <c r="P173" s="243">
        <f>IF(Table334[[#This Row],[Category]]="Insignia",Table334[[#This Row],[Account Deposit Amount]]-Table334[[#This Row],[Account Withdrawl Amount]], )</f>
        <v>0</v>
      </c>
      <c r="Q173" s="243">
        <f>IF(Table334[[#This Row],[Category]]="Activities/Program",Table334[[#This Row],[Account Deposit Amount]]-Table334[[#This Row],[Account Withdrawl Amount]], )</f>
        <v>0</v>
      </c>
      <c r="R173" s="243">
        <f>IF(Table334[[#This Row],[Category]]="Travel",Table334[[#This Row],[Account Deposit Amount]]-Table334[[#This Row],[Account Withdrawl Amount]], )</f>
        <v>0</v>
      </c>
      <c r="S173" s="243">
        <f>IF(Table334[[#This Row],[Category]]="Parties Food &amp; Beverages",Table334[[#This Row],[Account Deposit Amount]]-Table334[[#This Row],[Account Withdrawl Amount]], )</f>
        <v>0</v>
      </c>
      <c r="T173" s="243">
        <f>IF(Table334[[#This Row],[Category]]="Service Projects Donation",Table334[[#This Row],[Account Deposit Amount]]-Table334[[#This Row],[Account Withdrawl Amount]], )</f>
        <v>0</v>
      </c>
      <c r="U173" s="243">
        <f>IF(Table334[[#This Row],[Category]]="Cookie Debt",Table334[[#This Row],[Account Deposit Amount]]-Table334[[#This Row],[Account Withdrawl Amount]], )</f>
        <v>0</v>
      </c>
      <c r="V173" s="243">
        <f>IF(Table334[[#This Row],[Category]]="Other Expense",Table334[[#This Row],[Account Deposit Amount]]-Table334[[#This Row],[Account Withdrawl Amount]], )</f>
        <v>0</v>
      </c>
    </row>
    <row r="174" spans="1:22">
      <c r="A174" s="225"/>
      <c r="B174" s="241"/>
      <c r="C174" s="244"/>
      <c r="D174" s="225"/>
      <c r="E174" s="242"/>
      <c r="F174" s="242"/>
      <c r="G174" s="243">
        <f t="shared" si="5"/>
        <v>2518.9699999999939</v>
      </c>
      <c r="H174" s="225"/>
      <c r="I174" s="243">
        <f>IF(Table334[[#This Row],[Category]]="Fall Product",Table334[[#This Row],[Account Deposit Amount]]-Table334[[#This Row],[Account Withdrawl Amount]], )</f>
        <v>0</v>
      </c>
      <c r="J174" s="243">
        <f>IF(Table334[[#This Row],[Category]]="Cookies",Table334[[#This Row],[Account Deposit Amount]]-Table334[[#This Row],[Account Withdrawl Amount]], )</f>
        <v>0</v>
      </c>
      <c r="K174" s="243">
        <f>IF(Table334[[#This Row],[Category]]="Additional Money Earning Activities",Table334[[#This Row],[Account Deposit Amount]]-Table334[[#This Row],[Account Withdrawl Amount]], )</f>
        <v>0</v>
      </c>
      <c r="L174" s="243">
        <f>IF(Table334[[#This Row],[Category]]="Sponsorships",Table334[[#This Row],[Account Deposit Amount]]-Table334[[#This Row],[Account Withdrawl Amount]], )</f>
        <v>0</v>
      </c>
      <c r="M174" s="243">
        <f>IF(Table334[[#This Row],[Category]]="Troop Dues",Table334[[#This Row],[Account Deposit Amount]]-Table334[[#This Row],[Account Withdrawl Amount]], )</f>
        <v>0</v>
      </c>
      <c r="N174" s="243">
        <f>IF(Table334[[#This Row],[Category]]="Other Income",Table334[[#This Row],[Account Deposit Amount]]-Table334[[#This Row],[Account Withdrawl Amount]], )</f>
        <v>0</v>
      </c>
      <c r="O174" s="243">
        <f>IF(Table334[[#This Row],[Category]]="Registration",Table334[[#This Row],[Account Deposit Amount]]-Table334[[#This Row],[Account Withdrawl Amount]], )</f>
        <v>0</v>
      </c>
      <c r="P174" s="243">
        <f>IF(Table334[[#This Row],[Category]]="Insignia",Table334[[#This Row],[Account Deposit Amount]]-Table334[[#This Row],[Account Withdrawl Amount]], )</f>
        <v>0</v>
      </c>
      <c r="Q174" s="243">
        <f>IF(Table334[[#This Row],[Category]]="Activities/Program",Table334[[#This Row],[Account Deposit Amount]]-Table334[[#This Row],[Account Withdrawl Amount]], )</f>
        <v>0</v>
      </c>
      <c r="R174" s="243">
        <f>IF(Table334[[#This Row],[Category]]="Travel",Table334[[#This Row],[Account Deposit Amount]]-Table334[[#This Row],[Account Withdrawl Amount]], )</f>
        <v>0</v>
      </c>
      <c r="S174" s="243">
        <f>IF(Table334[[#This Row],[Category]]="Parties Food &amp; Beverages",Table334[[#This Row],[Account Deposit Amount]]-Table334[[#This Row],[Account Withdrawl Amount]], )</f>
        <v>0</v>
      </c>
      <c r="T174" s="243">
        <f>IF(Table334[[#This Row],[Category]]="Service Projects Donation",Table334[[#This Row],[Account Deposit Amount]]-Table334[[#This Row],[Account Withdrawl Amount]], )</f>
        <v>0</v>
      </c>
      <c r="U174" s="243">
        <f>IF(Table334[[#This Row],[Category]]="Cookie Debt",Table334[[#This Row],[Account Deposit Amount]]-Table334[[#This Row],[Account Withdrawl Amount]], )</f>
        <v>0</v>
      </c>
      <c r="V174" s="243">
        <f>IF(Table334[[#This Row],[Category]]="Other Expense",Table334[[#This Row],[Account Deposit Amount]]-Table334[[#This Row],[Account Withdrawl Amount]], )</f>
        <v>0</v>
      </c>
    </row>
    <row r="175" spans="1:22">
      <c r="A175" s="225"/>
      <c r="B175" s="241"/>
      <c r="C175" s="244"/>
      <c r="D175" s="225"/>
      <c r="E175" s="242"/>
      <c r="F175" s="242"/>
      <c r="G175" s="243">
        <f t="shared" si="5"/>
        <v>2518.9699999999939</v>
      </c>
      <c r="H175" s="225"/>
      <c r="I175" s="243">
        <f>IF(Table334[[#This Row],[Category]]="Fall Product",Table334[[#This Row],[Account Deposit Amount]]-Table334[[#This Row],[Account Withdrawl Amount]], )</f>
        <v>0</v>
      </c>
      <c r="J175" s="243">
        <f>IF(Table334[[#This Row],[Category]]="Cookies",Table334[[#This Row],[Account Deposit Amount]]-Table334[[#This Row],[Account Withdrawl Amount]], )</f>
        <v>0</v>
      </c>
      <c r="K175" s="243">
        <f>IF(Table334[[#This Row],[Category]]="Additional Money Earning Activities",Table334[[#This Row],[Account Deposit Amount]]-Table334[[#This Row],[Account Withdrawl Amount]], )</f>
        <v>0</v>
      </c>
      <c r="L175" s="243">
        <f>IF(Table334[[#This Row],[Category]]="Sponsorships",Table334[[#This Row],[Account Deposit Amount]]-Table334[[#This Row],[Account Withdrawl Amount]], )</f>
        <v>0</v>
      </c>
      <c r="M175" s="243">
        <f>IF(Table334[[#This Row],[Category]]="Troop Dues",Table334[[#This Row],[Account Deposit Amount]]-Table334[[#This Row],[Account Withdrawl Amount]], )</f>
        <v>0</v>
      </c>
      <c r="N175" s="243">
        <f>IF(Table334[[#This Row],[Category]]="Other Income",Table334[[#This Row],[Account Deposit Amount]]-Table334[[#This Row],[Account Withdrawl Amount]], )</f>
        <v>0</v>
      </c>
      <c r="O175" s="243">
        <f>IF(Table334[[#This Row],[Category]]="Registration",Table334[[#This Row],[Account Deposit Amount]]-Table334[[#This Row],[Account Withdrawl Amount]], )</f>
        <v>0</v>
      </c>
      <c r="P175" s="243">
        <f>IF(Table334[[#This Row],[Category]]="Insignia",Table334[[#This Row],[Account Deposit Amount]]-Table334[[#This Row],[Account Withdrawl Amount]], )</f>
        <v>0</v>
      </c>
      <c r="Q175" s="243">
        <f>IF(Table334[[#This Row],[Category]]="Activities/Program",Table334[[#This Row],[Account Deposit Amount]]-Table334[[#This Row],[Account Withdrawl Amount]], )</f>
        <v>0</v>
      </c>
      <c r="R175" s="243">
        <f>IF(Table334[[#This Row],[Category]]="Travel",Table334[[#This Row],[Account Deposit Amount]]-Table334[[#This Row],[Account Withdrawl Amount]], )</f>
        <v>0</v>
      </c>
      <c r="S175" s="243">
        <f>IF(Table334[[#This Row],[Category]]="Parties Food &amp; Beverages",Table334[[#This Row],[Account Deposit Amount]]-Table334[[#This Row],[Account Withdrawl Amount]], )</f>
        <v>0</v>
      </c>
      <c r="T175" s="243">
        <f>IF(Table334[[#This Row],[Category]]="Service Projects Donation",Table334[[#This Row],[Account Deposit Amount]]-Table334[[#This Row],[Account Withdrawl Amount]], )</f>
        <v>0</v>
      </c>
      <c r="U175" s="243">
        <f>IF(Table334[[#This Row],[Category]]="Cookie Debt",Table334[[#This Row],[Account Deposit Amount]]-Table334[[#This Row],[Account Withdrawl Amount]], )</f>
        <v>0</v>
      </c>
      <c r="V175" s="243">
        <f>IF(Table334[[#This Row],[Category]]="Other Expense",Table334[[#This Row],[Account Deposit Amount]]-Table334[[#This Row],[Account Withdrawl Amount]], )</f>
        <v>0</v>
      </c>
    </row>
    <row r="176" spans="1:22">
      <c r="A176" s="225"/>
      <c r="B176" s="241"/>
      <c r="C176" s="244"/>
      <c r="D176" s="225"/>
      <c r="E176" s="242"/>
      <c r="F176" s="242"/>
      <c r="G176" s="243">
        <f t="shared" si="5"/>
        <v>2518.9699999999939</v>
      </c>
      <c r="H176" s="225"/>
      <c r="I176" s="243">
        <f>IF(Table334[[#This Row],[Category]]="Fall Product",Table334[[#This Row],[Account Deposit Amount]]-Table334[[#This Row],[Account Withdrawl Amount]], )</f>
        <v>0</v>
      </c>
      <c r="J176" s="243">
        <f>IF(Table334[[#This Row],[Category]]="Cookies",Table334[[#This Row],[Account Deposit Amount]]-Table334[[#This Row],[Account Withdrawl Amount]], )</f>
        <v>0</v>
      </c>
      <c r="K176" s="243">
        <f>IF(Table334[[#This Row],[Category]]="Additional Money Earning Activities",Table334[[#This Row],[Account Deposit Amount]]-Table334[[#This Row],[Account Withdrawl Amount]], )</f>
        <v>0</v>
      </c>
      <c r="L176" s="243">
        <f>IF(Table334[[#This Row],[Category]]="Sponsorships",Table334[[#This Row],[Account Deposit Amount]]-Table334[[#This Row],[Account Withdrawl Amount]], )</f>
        <v>0</v>
      </c>
      <c r="M176" s="243">
        <f>IF(Table334[[#This Row],[Category]]="Troop Dues",Table334[[#This Row],[Account Deposit Amount]]-Table334[[#This Row],[Account Withdrawl Amount]], )</f>
        <v>0</v>
      </c>
      <c r="N176" s="243">
        <f>IF(Table334[[#This Row],[Category]]="Other Income",Table334[[#This Row],[Account Deposit Amount]]-Table334[[#This Row],[Account Withdrawl Amount]], )</f>
        <v>0</v>
      </c>
      <c r="O176" s="243">
        <f>IF(Table334[[#This Row],[Category]]="Registration",Table334[[#This Row],[Account Deposit Amount]]-Table334[[#This Row],[Account Withdrawl Amount]], )</f>
        <v>0</v>
      </c>
      <c r="P176" s="243">
        <f>IF(Table334[[#This Row],[Category]]="Insignia",Table334[[#This Row],[Account Deposit Amount]]-Table334[[#This Row],[Account Withdrawl Amount]], )</f>
        <v>0</v>
      </c>
      <c r="Q176" s="243">
        <f>IF(Table334[[#This Row],[Category]]="Activities/Program",Table334[[#This Row],[Account Deposit Amount]]-Table334[[#This Row],[Account Withdrawl Amount]], )</f>
        <v>0</v>
      </c>
      <c r="R176" s="243">
        <f>IF(Table334[[#This Row],[Category]]="Travel",Table334[[#This Row],[Account Deposit Amount]]-Table334[[#This Row],[Account Withdrawl Amount]], )</f>
        <v>0</v>
      </c>
      <c r="S176" s="243">
        <f>IF(Table334[[#This Row],[Category]]="Parties Food &amp; Beverages",Table334[[#This Row],[Account Deposit Amount]]-Table334[[#This Row],[Account Withdrawl Amount]], )</f>
        <v>0</v>
      </c>
      <c r="T176" s="243">
        <f>IF(Table334[[#This Row],[Category]]="Service Projects Donation",Table334[[#This Row],[Account Deposit Amount]]-Table334[[#This Row],[Account Withdrawl Amount]], )</f>
        <v>0</v>
      </c>
      <c r="U176" s="243">
        <f>IF(Table334[[#This Row],[Category]]="Cookie Debt",Table334[[#This Row],[Account Deposit Amount]]-Table334[[#This Row],[Account Withdrawl Amount]], )</f>
        <v>0</v>
      </c>
      <c r="V176" s="243">
        <f>IF(Table334[[#This Row],[Category]]="Other Expense",Table334[[#This Row],[Account Deposit Amount]]-Table334[[#This Row],[Account Withdrawl Amount]], )</f>
        <v>0</v>
      </c>
    </row>
    <row r="177" spans="1:22">
      <c r="A177" s="225"/>
      <c r="B177" s="241"/>
      <c r="C177" s="244"/>
      <c r="D177" s="225"/>
      <c r="E177" s="242"/>
      <c r="F177" s="242"/>
      <c r="G177" s="243">
        <f t="shared" si="5"/>
        <v>2518.9699999999939</v>
      </c>
      <c r="H177" s="225"/>
      <c r="I177" s="243">
        <f>IF(Table334[[#This Row],[Category]]="Fall Product",Table334[[#This Row],[Account Deposit Amount]]-Table334[[#This Row],[Account Withdrawl Amount]], )</f>
        <v>0</v>
      </c>
      <c r="J177" s="243">
        <f>IF(Table334[[#This Row],[Category]]="Cookies",Table334[[#This Row],[Account Deposit Amount]]-Table334[[#This Row],[Account Withdrawl Amount]], )</f>
        <v>0</v>
      </c>
      <c r="K177" s="243">
        <f>IF(Table334[[#This Row],[Category]]="Additional Money Earning Activities",Table334[[#This Row],[Account Deposit Amount]]-Table334[[#This Row],[Account Withdrawl Amount]], )</f>
        <v>0</v>
      </c>
      <c r="L177" s="243">
        <f>IF(Table334[[#This Row],[Category]]="Sponsorships",Table334[[#This Row],[Account Deposit Amount]]-Table334[[#This Row],[Account Withdrawl Amount]], )</f>
        <v>0</v>
      </c>
      <c r="M177" s="243">
        <f>IF(Table334[[#This Row],[Category]]="Troop Dues",Table334[[#This Row],[Account Deposit Amount]]-Table334[[#This Row],[Account Withdrawl Amount]], )</f>
        <v>0</v>
      </c>
      <c r="N177" s="243">
        <f>IF(Table334[[#This Row],[Category]]="Other Income",Table334[[#This Row],[Account Deposit Amount]]-Table334[[#This Row],[Account Withdrawl Amount]], )</f>
        <v>0</v>
      </c>
      <c r="O177" s="243">
        <f>IF(Table334[[#This Row],[Category]]="Registration",Table334[[#This Row],[Account Deposit Amount]]-Table334[[#This Row],[Account Withdrawl Amount]], )</f>
        <v>0</v>
      </c>
      <c r="P177" s="243">
        <f>IF(Table334[[#This Row],[Category]]="Insignia",Table334[[#This Row],[Account Deposit Amount]]-Table334[[#This Row],[Account Withdrawl Amount]], )</f>
        <v>0</v>
      </c>
      <c r="Q177" s="243">
        <f>IF(Table334[[#This Row],[Category]]="Activities/Program",Table334[[#This Row],[Account Deposit Amount]]-Table334[[#This Row],[Account Withdrawl Amount]], )</f>
        <v>0</v>
      </c>
      <c r="R177" s="243">
        <f>IF(Table334[[#This Row],[Category]]="Travel",Table334[[#This Row],[Account Deposit Amount]]-Table334[[#This Row],[Account Withdrawl Amount]], )</f>
        <v>0</v>
      </c>
      <c r="S177" s="243">
        <f>IF(Table334[[#This Row],[Category]]="Parties Food &amp; Beverages",Table334[[#This Row],[Account Deposit Amount]]-Table334[[#This Row],[Account Withdrawl Amount]], )</f>
        <v>0</v>
      </c>
      <c r="T177" s="243">
        <f>IF(Table334[[#This Row],[Category]]="Service Projects Donation",Table334[[#This Row],[Account Deposit Amount]]-Table334[[#This Row],[Account Withdrawl Amount]], )</f>
        <v>0</v>
      </c>
      <c r="U177" s="243">
        <f>IF(Table334[[#This Row],[Category]]="Cookie Debt",Table334[[#This Row],[Account Deposit Amount]]-Table334[[#This Row],[Account Withdrawl Amount]], )</f>
        <v>0</v>
      </c>
      <c r="V177" s="243">
        <f>IF(Table334[[#This Row],[Category]]="Other Expense",Table334[[#This Row],[Account Deposit Amount]]-Table334[[#This Row],[Account Withdrawl Amount]], )</f>
        <v>0</v>
      </c>
    </row>
    <row r="178" spans="1:22">
      <c r="A178" s="225"/>
      <c r="B178" s="241"/>
      <c r="C178" s="244"/>
      <c r="D178" s="225"/>
      <c r="E178" s="242"/>
      <c r="F178" s="242"/>
      <c r="G178" s="243">
        <f t="shared" si="5"/>
        <v>2518.9699999999939</v>
      </c>
      <c r="H178" s="225"/>
      <c r="I178" s="243">
        <f>IF(Table334[[#This Row],[Category]]="Fall Product",Table334[[#This Row],[Account Deposit Amount]]-Table334[[#This Row],[Account Withdrawl Amount]], )</f>
        <v>0</v>
      </c>
      <c r="J178" s="243">
        <f>IF(Table334[[#This Row],[Category]]="Cookies",Table334[[#This Row],[Account Deposit Amount]]-Table334[[#This Row],[Account Withdrawl Amount]], )</f>
        <v>0</v>
      </c>
      <c r="K178" s="243">
        <f>IF(Table334[[#This Row],[Category]]="Additional Money Earning Activities",Table334[[#This Row],[Account Deposit Amount]]-Table334[[#This Row],[Account Withdrawl Amount]], )</f>
        <v>0</v>
      </c>
      <c r="L178" s="243">
        <f>IF(Table334[[#This Row],[Category]]="Sponsorships",Table334[[#This Row],[Account Deposit Amount]]-Table334[[#This Row],[Account Withdrawl Amount]], )</f>
        <v>0</v>
      </c>
      <c r="M178" s="243">
        <f>IF(Table334[[#This Row],[Category]]="Troop Dues",Table334[[#This Row],[Account Deposit Amount]]-Table334[[#This Row],[Account Withdrawl Amount]], )</f>
        <v>0</v>
      </c>
      <c r="N178" s="243">
        <f>IF(Table334[[#This Row],[Category]]="Other Income",Table334[[#This Row],[Account Deposit Amount]]-Table334[[#This Row],[Account Withdrawl Amount]], )</f>
        <v>0</v>
      </c>
      <c r="O178" s="243">
        <f>IF(Table334[[#This Row],[Category]]="Registration",Table334[[#This Row],[Account Deposit Amount]]-Table334[[#This Row],[Account Withdrawl Amount]], )</f>
        <v>0</v>
      </c>
      <c r="P178" s="243">
        <f>IF(Table334[[#This Row],[Category]]="Insignia",Table334[[#This Row],[Account Deposit Amount]]-Table334[[#This Row],[Account Withdrawl Amount]], )</f>
        <v>0</v>
      </c>
      <c r="Q178" s="243">
        <f>IF(Table334[[#This Row],[Category]]="Activities/Program",Table334[[#This Row],[Account Deposit Amount]]-Table334[[#This Row],[Account Withdrawl Amount]], )</f>
        <v>0</v>
      </c>
      <c r="R178" s="243">
        <f>IF(Table334[[#This Row],[Category]]="Travel",Table334[[#This Row],[Account Deposit Amount]]-Table334[[#This Row],[Account Withdrawl Amount]], )</f>
        <v>0</v>
      </c>
      <c r="S178" s="243">
        <f>IF(Table334[[#This Row],[Category]]="Parties Food &amp; Beverages",Table334[[#This Row],[Account Deposit Amount]]-Table334[[#This Row],[Account Withdrawl Amount]], )</f>
        <v>0</v>
      </c>
      <c r="T178" s="243">
        <f>IF(Table334[[#This Row],[Category]]="Service Projects Donation",Table334[[#This Row],[Account Deposit Amount]]-Table334[[#This Row],[Account Withdrawl Amount]], )</f>
        <v>0</v>
      </c>
      <c r="U178" s="243">
        <f>IF(Table334[[#This Row],[Category]]="Cookie Debt",Table334[[#This Row],[Account Deposit Amount]]-Table334[[#This Row],[Account Withdrawl Amount]], )</f>
        <v>0</v>
      </c>
      <c r="V178" s="243">
        <f>IF(Table334[[#This Row],[Category]]="Other Expense",Table334[[#This Row],[Account Deposit Amount]]-Table334[[#This Row],[Account Withdrawl Amount]], )</f>
        <v>0</v>
      </c>
    </row>
    <row r="179" spans="1:22">
      <c r="A179" s="225"/>
      <c r="B179" s="241"/>
      <c r="C179" s="244"/>
      <c r="D179" s="225"/>
      <c r="E179" s="242"/>
      <c r="F179" s="242"/>
      <c r="G179" s="243">
        <f t="shared" si="5"/>
        <v>2518.9699999999939</v>
      </c>
      <c r="H179" s="225"/>
      <c r="I179" s="243">
        <f>IF(Table334[[#This Row],[Category]]="Fall Product",Table334[[#This Row],[Account Deposit Amount]]-Table334[[#This Row],[Account Withdrawl Amount]], )</f>
        <v>0</v>
      </c>
      <c r="J179" s="243">
        <f>IF(Table334[[#This Row],[Category]]="Cookies",Table334[[#This Row],[Account Deposit Amount]]-Table334[[#This Row],[Account Withdrawl Amount]], )</f>
        <v>0</v>
      </c>
      <c r="K179" s="243">
        <f>IF(Table334[[#This Row],[Category]]="Additional Money Earning Activities",Table334[[#This Row],[Account Deposit Amount]]-Table334[[#This Row],[Account Withdrawl Amount]], )</f>
        <v>0</v>
      </c>
      <c r="L179" s="243">
        <f>IF(Table334[[#This Row],[Category]]="Sponsorships",Table334[[#This Row],[Account Deposit Amount]]-Table334[[#This Row],[Account Withdrawl Amount]], )</f>
        <v>0</v>
      </c>
      <c r="M179" s="243">
        <f>IF(Table334[[#This Row],[Category]]="Troop Dues",Table334[[#This Row],[Account Deposit Amount]]-Table334[[#This Row],[Account Withdrawl Amount]], )</f>
        <v>0</v>
      </c>
      <c r="N179" s="243">
        <f>IF(Table334[[#This Row],[Category]]="Other Income",Table334[[#This Row],[Account Deposit Amount]]-Table334[[#This Row],[Account Withdrawl Amount]], )</f>
        <v>0</v>
      </c>
      <c r="O179" s="243">
        <f>IF(Table334[[#This Row],[Category]]="Registration",Table334[[#This Row],[Account Deposit Amount]]-Table334[[#This Row],[Account Withdrawl Amount]], )</f>
        <v>0</v>
      </c>
      <c r="P179" s="243">
        <f>IF(Table334[[#This Row],[Category]]="Insignia",Table334[[#This Row],[Account Deposit Amount]]-Table334[[#This Row],[Account Withdrawl Amount]], )</f>
        <v>0</v>
      </c>
      <c r="Q179" s="243">
        <f>IF(Table334[[#This Row],[Category]]="Activities/Program",Table334[[#This Row],[Account Deposit Amount]]-Table334[[#This Row],[Account Withdrawl Amount]], )</f>
        <v>0</v>
      </c>
      <c r="R179" s="243">
        <f>IF(Table334[[#This Row],[Category]]="Travel",Table334[[#This Row],[Account Deposit Amount]]-Table334[[#This Row],[Account Withdrawl Amount]], )</f>
        <v>0</v>
      </c>
      <c r="S179" s="243">
        <f>IF(Table334[[#This Row],[Category]]="Parties Food &amp; Beverages",Table334[[#This Row],[Account Deposit Amount]]-Table334[[#This Row],[Account Withdrawl Amount]], )</f>
        <v>0</v>
      </c>
      <c r="T179" s="243">
        <f>IF(Table334[[#This Row],[Category]]="Service Projects Donation",Table334[[#This Row],[Account Deposit Amount]]-Table334[[#This Row],[Account Withdrawl Amount]], )</f>
        <v>0</v>
      </c>
      <c r="U179" s="243">
        <f>IF(Table334[[#This Row],[Category]]="Cookie Debt",Table334[[#This Row],[Account Deposit Amount]]-Table334[[#This Row],[Account Withdrawl Amount]], )</f>
        <v>0</v>
      </c>
      <c r="V179" s="243">
        <f>IF(Table334[[#This Row],[Category]]="Other Expense",Table334[[#This Row],[Account Deposit Amount]]-Table334[[#This Row],[Account Withdrawl Amount]], )</f>
        <v>0</v>
      </c>
    </row>
    <row r="180" spans="1:22">
      <c r="A180" s="225"/>
      <c r="B180" s="241"/>
      <c r="C180" s="244"/>
      <c r="D180" s="225"/>
      <c r="E180" s="242"/>
      <c r="F180" s="242"/>
      <c r="G180" s="243">
        <f t="shared" si="5"/>
        <v>2518.9699999999939</v>
      </c>
      <c r="H180" s="225"/>
      <c r="I180" s="243">
        <f>IF(Table334[[#This Row],[Category]]="Fall Product",Table334[[#This Row],[Account Deposit Amount]]-Table334[[#This Row],[Account Withdrawl Amount]], )</f>
        <v>0</v>
      </c>
      <c r="J180" s="243">
        <f>IF(Table334[[#This Row],[Category]]="Cookies",Table334[[#This Row],[Account Deposit Amount]]-Table334[[#This Row],[Account Withdrawl Amount]], )</f>
        <v>0</v>
      </c>
      <c r="K180" s="243">
        <f>IF(Table334[[#This Row],[Category]]="Additional Money Earning Activities",Table334[[#This Row],[Account Deposit Amount]]-Table334[[#This Row],[Account Withdrawl Amount]], )</f>
        <v>0</v>
      </c>
      <c r="L180" s="243">
        <f>IF(Table334[[#This Row],[Category]]="Sponsorships",Table334[[#This Row],[Account Deposit Amount]]-Table334[[#This Row],[Account Withdrawl Amount]], )</f>
        <v>0</v>
      </c>
      <c r="M180" s="243">
        <f>IF(Table334[[#This Row],[Category]]="Troop Dues",Table334[[#This Row],[Account Deposit Amount]]-Table334[[#This Row],[Account Withdrawl Amount]], )</f>
        <v>0</v>
      </c>
      <c r="N180" s="243">
        <f>IF(Table334[[#This Row],[Category]]="Other Income",Table334[[#This Row],[Account Deposit Amount]]-Table334[[#This Row],[Account Withdrawl Amount]], )</f>
        <v>0</v>
      </c>
      <c r="O180" s="243">
        <f>IF(Table334[[#This Row],[Category]]="Registration",Table334[[#This Row],[Account Deposit Amount]]-Table334[[#This Row],[Account Withdrawl Amount]], )</f>
        <v>0</v>
      </c>
      <c r="P180" s="243">
        <f>IF(Table334[[#This Row],[Category]]="Insignia",Table334[[#This Row],[Account Deposit Amount]]-Table334[[#This Row],[Account Withdrawl Amount]], )</f>
        <v>0</v>
      </c>
      <c r="Q180" s="243">
        <f>IF(Table334[[#This Row],[Category]]="Activities/Program",Table334[[#This Row],[Account Deposit Amount]]-Table334[[#This Row],[Account Withdrawl Amount]], )</f>
        <v>0</v>
      </c>
      <c r="R180" s="243">
        <f>IF(Table334[[#This Row],[Category]]="Travel",Table334[[#This Row],[Account Deposit Amount]]-Table334[[#This Row],[Account Withdrawl Amount]], )</f>
        <v>0</v>
      </c>
      <c r="S180" s="243">
        <f>IF(Table334[[#This Row],[Category]]="Parties Food &amp; Beverages",Table334[[#This Row],[Account Deposit Amount]]-Table334[[#This Row],[Account Withdrawl Amount]], )</f>
        <v>0</v>
      </c>
      <c r="T180" s="243">
        <f>IF(Table334[[#This Row],[Category]]="Service Projects Donation",Table334[[#This Row],[Account Deposit Amount]]-Table334[[#This Row],[Account Withdrawl Amount]], )</f>
        <v>0</v>
      </c>
      <c r="U180" s="243">
        <f>IF(Table334[[#This Row],[Category]]="Cookie Debt",Table334[[#This Row],[Account Deposit Amount]]-Table334[[#This Row],[Account Withdrawl Amount]], )</f>
        <v>0</v>
      </c>
      <c r="V180" s="243">
        <f>IF(Table334[[#This Row],[Category]]="Other Expense",Table334[[#This Row],[Account Deposit Amount]]-Table334[[#This Row],[Account Withdrawl Amount]], )</f>
        <v>0</v>
      </c>
    </row>
    <row r="181" spans="1:22">
      <c r="A181" s="225"/>
      <c r="B181" s="241"/>
      <c r="C181" s="244"/>
      <c r="D181" s="225"/>
      <c r="E181" s="242"/>
      <c r="F181" s="242"/>
      <c r="G181" s="243">
        <f t="shared" ref="G181:G244" si="6">G180+E181-F181</f>
        <v>2518.9699999999939</v>
      </c>
      <c r="H181" s="225"/>
      <c r="I181" s="243">
        <f>IF(Table334[[#This Row],[Category]]="Fall Product",Table334[[#This Row],[Account Deposit Amount]]-Table334[[#This Row],[Account Withdrawl Amount]], )</f>
        <v>0</v>
      </c>
      <c r="J181" s="243">
        <f>IF(Table334[[#This Row],[Category]]="Cookies",Table334[[#This Row],[Account Deposit Amount]]-Table334[[#This Row],[Account Withdrawl Amount]], )</f>
        <v>0</v>
      </c>
      <c r="K181" s="243">
        <f>IF(Table334[[#This Row],[Category]]="Additional Money Earning Activities",Table334[[#This Row],[Account Deposit Amount]]-Table334[[#This Row],[Account Withdrawl Amount]], )</f>
        <v>0</v>
      </c>
      <c r="L181" s="243">
        <f>IF(Table334[[#This Row],[Category]]="Sponsorships",Table334[[#This Row],[Account Deposit Amount]]-Table334[[#This Row],[Account Withdrawl Amount]], )</f>
        <v>0</v>
      </c>
      <c r="M181" s="243">
        <f>IF(Table334[[#This Row],[Category]]="Troop Dues",Table334[[#This Row],[Account Deposit Amount]]-Table334[[#This Row],[Account Withdrawl Amount]], )</f>
        <v>0</v>
      </c>
      <c r="N181" s="243">
        <f>IF(Table334[[#This Row],[Category]]="Other Income",Table334[[#This Row],[Account Deposit Amount]]-Table334[[#This Row],[Account Withdrawl Amount]], )</f>
        <v>0</v>
      </c>
      <c r="O181" s="243">
        <f>IF(Table334[[#This Row],[Category]]="Registration",Table334[[#This Row],[Account Deposit Amount]]-Table334[[#This Row],[Account Withdrawl Amount]], )</f>
        <v>0</v>
      </c>
      <c r="P181" s="243">
        <f>IF(Table334[[#This Row],[Category]]="Insignia",Table334[[#This Row],[Account Deposit Amount]]-Table334[[#This Row],[Account Withdrawl Amount]], )</f>
        <v>0</v>
      </c>
      <c r="Q181" s="243">
        <f>IF(Table334[[#This Row],[Category]]="Activities/Program",Table334[[#This Row],[Account Deposit Amount]]-Table334[[#This Row],[Account Withdrawl Amount]], )</f>
        <v>0</v>
      </c>
      <c r="R181" s="243">
        <f>IF(Table334[[#This Row],[Category]]="Travel",Table334[[#This Row],[Account Deposit Amount]]-Table334[[#This Row],[Account Withdrawl Amount]], )</f>
        <v>0</v>
      </c>
      <c r="S181" s="243">
        <f>IF(Table334[[#This Row],[Category]]="Parties Food &amp; Beverages",Table334[[#This Row],[Account Deposit Amount]]-Table334[[#This Row],[Account Withdrawl Amount]], )</f>
        <v>0</v>
      </c>
      <c r="T181" s="243">
        <f>IF(Table334[[#This Row],[Category]]="Service Projects Donation",Table334[[#This Row],[Account Deposit Amount]]-Table334[[#This Row],[Account Withdrawl Amount]], )</f>
        <v>0</v>
      </c>
      <c r="U181" s="243">
        <f>IF(Table334[[#This Row],[Category]]="Cookie Debt",Table334[[#This Row],[Account Deposit Amount]]-Table334[[#This Row],[Account Withdrawl Amount]], )</f>
        <v>0</v>
      </c>
      <c r="V181" s="243">
        <f>IF(Table334[[#This Row],[Category]]="Other Expense",Table334[[#This Row],[Account Deposit Amount]]-Table334[[#This Row],[Account Withdrawl Amount]], )</f>
        <v>0</v>
      </c>
    </row>
    <row r="182" spans="1:22">
      <c r="A182" s="225"/>
      <c r="B182" s="241"/>
      <c r="C182" s="244"/>
      <c r="D182" s="225"/>
      <c r="E182" s="242"/>
      <c r="F182" s="242"/>
      <c r="G182" s="243">
        <f t="shared" si="6"/>
        <v>2518.9699999999939</v>
      </c>
      <c r="H182" s="225"/>
      <c r="I182" s="243">
        <f>IF(Table334[[#This Row],[Category]]="Fall Product",Table334[[#This Row],[Account Deposit Amount]]-Table334[[#This Row],[Account Withdrawl Amount]], )</f>
        <v>0</v>
      </c>
      <c r="J182" s="243">
        <f>IF(Table334[[#This Row],[Category]]="Cookies",Table334[[#This Row],[Account Deposit Amount]]-Table334[[#This Row],[Account Withdrawl Amount]], )</f>
        <v>0</v>
      </c>
      <c r="K182" s="243">
        <f>IF(Table334[[#This Row],[Category]]="Additional Money Earning Activities",Table334[[#This Row],[Account Deposit Amount]]-Table334[[#This Row],[Account Withdrawl Amount]], )</f>
        <v>0</v>
      </c>
      <c r="L182" s="243">
        <f>IF(Table334[[#This Row],[Category]]="Sponsorships",Table334[[#This Row],[Account Deposit Amount]]-Table334[[#This Row],[Account Withdrawl Amount]], )</f>
        <v>0</v>
      </c>
      <c r="M182" s="243">
        <f>IF(Table334[[#This Row],[Category]]="Troop Dues",Table334[[#This Row],[Account Deposit Amount]]-Table334[[#This Row],[Account Withdrawl Amount]], )</f>
        <v>0</v>
      </c>
      <c r="N182" s="243">
        <f>IF(Table334[[#This Row],[Category]]="Other Income",Table334[[#This Row],[Account Deposit Amount]]-Table334[[#This Row],[Account Withdrawl Amount]], )</f>
        <v>0</v>
      </c>
      <c r="O182" s="243">
        <f>IF(Table334[[#This Row],[Category]]="Registration",Table334[[#This Row],[Account Deposit Amount]]-Table334[[#This Row],[Account Withdrawl Amount]], )</f>
        <v>0</v>
      </c>
      <c r="P182" s="243">
        <f>IF(Table334[[#This Row],[Category]]="Insignia",Table334[[#This Row],[Account Deposit Amount]]-Table334[[#This Row],[Account Withdrawl Amount]], )</f>
        <v>0</v>
      </c>
      <c r="Q182" s="243">
        <f>IF(Table334[[#This Row],[Category]]="Activities/Program",Table334[[#This Row],[Account Deposit Amount]]-Table334[[#This Row],[Account Withdrawl Amount]], )</f>
        <v>0</v>
      </c>
      <c r="R182" s="243">
        <f>IF(Table334[[#This Row],[Category]]="Travel",Table334[[#This Row],[Account Deposit Amount]]-Table334[[#This Row],[Account Withdrawl Amount]], )</f>
        <v>0</v>
      </c>
      <c r="S182" s="243">
        <f>IF(Table334[[#This Row],[Category]]="Parties Food &amp; Beverages",Table334[[#This Row],[Account Deposit Amount]]-Table334[[#This Row],[Account Withdrawl Amount]], )</f>
        <v>0</v>
      </c>
      <c r="T182" s="243">
        <f>IF(Table334[[#This Row],[Category]]="Service Projects Donation",Table334[[#This Row],[Account Deposit Amount]]-Table334[[#This Row],[Account Withdrawl Amount]], )</f>
        <v>0</v>
      </c>
      <c r="U182" s="243">
        <f>IF(Table334[[#This Row],[Category]]="Cookie Debt",Table334[[#This Row],[Account Deposit Amount]]-Table334[[#This Row],[Account Withdrawl Amount]], )</f>
        <v>0</v>
      </c>
      <c r="V182" s="243">
        <f>IF(Table334[[#This Row],[Category]]="Other Expense",Table334[[#This Row],[Account Deposit Amount]]-Table334[[#This Row],[Account Withdrawl Amount]], )</f>
        <v>0</v>
      </c>
    </row>
    <row r="183" spans="1:22">
      <c r="A183" s="225"/>
      <c r="B183" s="241"/>
      <c r="C183" s="244"/>
      <c r="D183" s="225"/>
      <c r="E183" s="242"/>
      <c r="F183" s="242"/>
      <c r="G183" s="243">
        <f t="shared" si="6"/>
        <v>2518.9699999999939</v>
      </c>
      <c r="H183" s="225"/>
      <c r="I183" s="243">
        <f>IF(Table334[[#This Row],[Category]]="Fall Product",Table334[[#This Row],[Account Deposit Amount]]-Table334[[#This Row],[Account Withdrawl Amount]], )</f>
        <v>0</v>
      </c>
      <c r="J183" s="243">
        <f>IF(Table334[[#This Row],[Category]]="Cookies",Table334[[#This Row],[Account Deposit Amount]]-Table334[[#This Row],[Account Withdrawl Amount]], )</f>
        <v>0</v>
      </c>
      <c r="K183" s="243">
        <f>IF(Table334[[#This Row],[Category]]="Additional Money Earning Activities",Table334[[#This Row],[Account Deposit Amount]]-Table334[[#This Row],[Account Withdrawl Amount]], )</f>
        <v>0</v>
      </c>
      <c r="L183" s="243">
        <f>IF(Table334[[#This Row],[Category]]="Sponsorships",Table334[[#This Row],[Account Deposit Amount]]-Table334[[#This Row],[Account Withdrawl Amount]], )</f>
        <v>0</v>
      </c>
      <c r="M183" s="243">
        <f>IF(Table334[[#This Row],[Category]]="Troop Dues",Table334[[#This Row],[Account Deposit Amount]]-Table334[[#This Row],[Account Withdrawl Amount]], )</f>
        <v>0</v>
      </c>
      <c r="N183" s="243">
        <f>IF(Table334[[#This Row],[Category]]="Other Income",Table334[[#This Row],[Account Deposit Amount]]-Table334[[#This Row],[Account Withdrawl Amount]], )</f>
        <v>0</v>
      </c>
      <c r="O183" s="243">
        <f>IF(Table334[[#This Row],[Category]]="Registration",Table334[[#This Row],[Account Deposit Amount]]-Table334[[#This Row],[Account Withdrawl Amount]], )</f>
        <v>0</v>
      </c>
      <c r="P183" s="243">
        <f>IF(Table334[[#This Row],[Category]]="Insignia",Table334[[#This Row],[Account Deposit Amount]]-Table334[[#This Row],[Account Withdrawl Amount]], )</f>
        <v>0</v>
      </c>
      <c r="Q183" s="243">
        <f>IF(Table334[[#This Row],[Category]]="Activities/Program",Table334[[#This Row],[Account Deposit Amount]]-Table334[[#This Row],[Account Withdrawl Amount]], )</f>
        <v>0</v>
      </c>
      <c r="R183" s="243">
        <f>IF(Table334[[#This Row],[Category]]="Travel",Table334[[#This Row],[Account Deposit Amount]]-Table334[[#This Row],[Account Withdrawl Amount]], )</f>
        <v>0</v>
      </c>
      <c r="S183" s="243">
        <f>IF(Table334[[#This Row],[Category]]="Parties Food &amp; Beverages",Table334[[#This Row],[Account Deposit Amount]]-Table334[[#This Row],[Account Withdrawl Amount]], )</f>
        <v>0</v>
      </c>
      <c r="T183" s="243">
        <f>IF(Table334[[#This Row],[Category]]="Service Projects Donation",Table334[[#This Row],[Account Deposit Amount]]-Table334[[#This Row],[Account Withdrawl Amount]], )</f>
        <v>0</v>
      </c>
      <c r="U183" s="243">
        <f>IF(Table334[[#This Row],[Category]]="Cookie Debt",Table334[[#This Row],[Account Deposit Amount]]-Table334[[#This Row],[Account Withdrawl Amount]], )</f>
        <v>0</v>
      </c>
      <c r="V183" s="243">
        <f>IF(Table334[[#This Row],[Category]]="Other Expense",Table334[[#This Row],[Account Deposit Amount]]-Table334[[#This Row],[Account Withdrawl Amount]], )</f>
        <v>0</v>
      </c>
    </row>
    <row r="184" spans="1:22">
      <c r="A184" s="225"/>
      <c r="B184" s="241"/>
      <c r="C184" s="244"/>
      <c r="D184" s="225"/>
      <c r="E184" s="242"/>
      <c r="F184" s="242"/>
      <c r="G184" s="243">
        <f t="shared" si="6"/>
        <v>2518.9699999999939</v>
      </c>
      <c r="H184" s="225"/>
      <c r="I184" s="243">
        <f>IF(Table334[[#This Row],[Category]]="Fall Product",Table334[[#This Row],[Account Deposit Amount]]-Table334[[#This Row],[Account Withdrawl Amount]], )</f>
        <v>0</v>
      </c>
      <c r="J184" s="243">
        <f>IF(Table334[[#This Row],[Category]]="Cookies",Table334[[#This Row],[Account Deposit Amount]]-Table334[[#This Row],[Account Withdrawl Amount]], )</f>
        <v>0</v>
      </c>
      <c r="K184" s="243">
        <f>IF(Table334[[#This Row],[Category]]="Additional Money Earning Activities",Table334[[#This Row],[Account Deposit Amount]]-Table334[[#This Row],[Account Withdrawl Amount]], )</f>
        <v>0</v>
      </c>
      <c r="L184" s="243">
        <f>IF(Table334[[#This Row],[Category]]="Sponsorships",Table334[[#This Row],[Account Deposit Amount]]-Table334[[#This Row],[Account Withdrawl Amount]], )</f>
        <v>0</v>
      </c>
      <c r="M184" s="243">
        <f>IF(Table334[[#This Row],[Category]]="Troop Dues",Table334[[#This Row],[Account Deposit Amount]]-Table334[[#This Row],[Account Withdrawl Amount]], )</f>
        <v>0</v>
      </c>
      <c r="N184" s="243">
        <f>IF(Table334[[#This Row],[Category]]="Other Income",Table334[[#This Row],[Account Deposit Amount]]-Table334[[#This Row],[Account Withdrawl Amount]], )</f>
        <v>0</v>
      </c>
      <c r="O184" s="243">
        <f>IF(Table334[[#This Row],[Category]]="Registration",Table334[[#This Row],[Account Deposit Amount]]-Table334[[#This Row],[Account Withdrawl Amount]], )</f>
        <v>0</v>
      </c>
      <c r="P184" s="243">
        <f>IF(Table334[[#This Row],[Category]]="Insignia",Table334[[#This Row],[Account Deposit Amount]]-Table334[[#This Row],[Account Withdrawl Amount]], )</f>
        <v>0</v>
      </c>
      <c r="Q184" s="243">
        <f>IF(Table334[[#This Row],[Category]]="Activities/Program",Table334[[#This Row],[Account Deposit Amount]]-Table334[[#This Row],[Account Withdrawl Amount]], )</f>
        <v>0</v>
      </c>
      <c r="R184" s="243">
        <f>IF(Table334[[#This Row],[Category]]="Travel",Table334[[#This Row],[Account Deposit Amount]]-Table334[[#This Row],[Account Withdrawl Amount]], )</f>
        <v>0</v>
      </c>
      <c r="S184" s="243">
        <f>IF(Table334[[#This Row],[Category]]="Parties Food &amp; Beverages",Table334[[#This Row],[Account Deposit Amount]]-Table334[[#This Row],[Account Withdrawl Amount]], )</f>
        <v>0</v>
      </c>
      <c r="T184" s="243">
        <f>IF(Table334[[#This Row],[Category]]="Service Projects Donation",Table334[[#This Row],[Account Deposit Amount]]-Table334[[#This Row],[Account Withdrawl Amount]], )</f>
        <v>0</v>
      </c>
      <c r="U184" s="243">
        <f>IF(Table334[[#This Row],[Category]]="Cookie Debt",Table334[[#This Row],[Account Deposit Amount]]-Table334[[#This Row],[Account Withdrawl Amount]], )</f>
        <v>0</v>
      </c>
      <c r="V184" s="243">
        <f>IF(Table334[[#This Row],[Category]]="Other Expense",Table334[[#This Row],[Account Deposit Amount]]-Table334[[#This Row],[Account Withdrawl Amount]], )</f>
        <v>0</v>
      </c>
    </row>
    <row r="185" spans="1:22">
      <c r="A185" s="225"/>
      <c r="B185" s="241"/>
      <c r="C185" s="244"/>
      <c r="D185" s="225"/>
      <c r="E185" s="242"/>
      <c r="F185" s="242"/>
      <c r="G185" s="243">
        <f t="shared" si="6"/>
        <v>2518.9699999999939</v>
      </c>
      <c r="H185" s="225"/>
      <c r="I185" s="243">
        <f>IF(Table334[[#This Row],[Category]]="Fall Product",Table334[[#This Row],[Account Deposit Amount]]-Table334[[#This Row],[Account Withdrawl Amount]], )</f>
        <v>0</v>
      </c>
      <c r="J185" s="243">
        <f>IF(Table334[[#This Row],[Category]]="Cookies",Table334[[#This Row],[Account Deposit Amount]]-Table334[[#This Row],[Account Withdrawl Amount]], )</f>
        <v>0</v>
      </c>
      <c r="K185" s="243">
        <f>IF(Table334[[#This Row],[Category]]="Additional Money Earning Activities",Table334[[#This Row],[Account Deposit Amount]]-Table334[[#This Row],[Account Withdrawl Amount]], )</f>
        <v>0</v>
      </c>
      <c r="L185" s="243">
        <f>IF(Table334[[#This Row],[Category]]="Sponsorships",Table334[[#This Row],[Account Deposit Amount]]-Table334[[#This Row],[Account Withdrawl Amount]], )</f>
        <v>0</v>
      </c>
      <c r="M185" s="243">
        <f>IF(Table334[[#This Row],[Category]]="Troop Dues",Table334[[#This Row],[Account Deposit Amount]]-Table334[[#This Row],[Account Withdrawl Amount]], )</f>
        <v>0</v>
      </c>
      <c r="N185" s="243">
        <f>IF(Table334[[#This Row],[Category]]="Other Income",Table334[[#This Row],[Account Deposit Amount]]-Table334[[#This Row],[Account Withdrawl Amount]], )</f>
        <v>0</v>
      </c>
      <c r="O185" s="243">
        <f>IF(Table334[[#This Row],[Category]]="Registration",Table334[[#This Row],[Account Deposit Amount]]-Table334[[#This Row],[Account Withdrawl Amount]], )</f>
        <v>0</v>
      </c>
      <c r="P185" s="243">
        <f>IF(Table334[[#This Row],[Category]]="Insignia",Table334[[#This Row],[Account Deposit Amount]]-Table334[[#This Row],[Account Withdrawl Amount]], )</f>
        <v>0</v>
      </c>
      <c r="Q185" s="243">
        <f>IF(Table334[[#This Row],[Category]]="Activities/Program",Table334[[#This Row],[Account Deposit Amount]]-Table334[[#This Row],[Account Withdrawl Amount]], )</f>
        <v>0</v>
      </c>
      <c r="R185" s="243">
        <f>IF(Table334[[#This Row],[Category]]="Travel",Table334[[#This Row],[Account Deposit Amount]]-Table334[[#This Row],[Account Withdrawl Amount]], )</f>
        <v>0</v>
      </c>
      <c r="S185" s="243">
        <f>IF(Table334[[#This Row],[Category]]="Parties Food &amp; Beverages",Table334[[#This Row],[Account Deposit Amount]]-Table334[[#This Row],[Account Withdrawl Amount]], )</f>
        <v>0</v>
      </c>
      <c r="T185" s="243">
        <f>IF(Table334[[#This Row],[Category]]="Service Projects Donation",Table334[[#This Row],[Account Deposit Amount]]-Table334[[#This Row],[Account Withdrawl Amount]], )</f>
        <v>0</v>
      </c>
      <c r="U185" s="243">
        <f>IF(Table334[[#This Row],[Category]]="Cookie Debt",Table334[[#This Row],[Account Deposit Amount]]-Table334[[#This Row],[Account Withdrawl Amount]], )</f>
        <v>0</v>
      </c>
      <c r="V185" s="243">
        <f>IF(Table334[[#This Row],[Category]]="Other Expense",Table334[[#This Row],[Account Deposit Amount]]-Table334[[#This Row],[Account Withdrawl Amount]], )</f>
        <v>0</v>
      </c>
    </row>
    <row r="186" spans="1:22">
      <c r="A186" s="225"/>
      <c r="B186" s="241"/>
      <c r="C186" s="244"/>
      <c r="D186" s="225"/>
      <c r="E186" s="242"/>
      <c r="F186" s="242"/>
      <c r="G186" s="243">
        <f t="shared" si="6"/>
        <v>2518.9699999999939</v>
      </c>
      <c r="H186" s="225"/>
      <c r="I186" s="243">
        <f>IF(Table334[[#This Row],[Category]]="Fall Product",Table334[[#This Row],[Account Deposit Amount]]-Table334[[#This Row],[Account Withdrawl Amount]], )</f>
        <v>0</v>
      </c>
      <c r="J186" s="243">
        <f>IF(Table334[[#This Row],[Category]]="Cookies",Table334[[#This Row],[Account Deposit Amount]]-Table334[[#This Row],[Account Withdrawl Amount]], )</f>
        <v>0</v>
      </c>
      <c r="K186" s="243">
        <f>IF(Table334[[#This Row],[Category]]="Additional Money Earning Activities",Table334[[#This Row],[Account Deposit Amount]]-Table334[[#This Row],[Account Withdrawl Amount]], )</f>
        <v>0</v>
      </c>
      <c r="L186" s="243">
        <f>IF(Table334[[#This Row],[Category]]="Sponsorships",Table334[[#This Row],[Account Deposit Amount]]-Table334[[#This Row],[Account Withdrawl Amount]], )</f>
        <v>0</v>
      </c>
      <c r="M186" s="243">
        <f>IF(Table334[[#This Row],[Category]]="Troop Dues",Table334[[#This Row],[Account Deposit Amount]]-Table334[[#This Row],[Account Withdrawl Amount]], )</f>
        <v>0</v>
      </c>
      <c r="N186" s="243">
        <f>IF(Table334[[#This Row],[Category]]="Other Income",Table334[[#This Row],[Account Deposit Amount]]-Table334[[#This Row],[Account Withdrawl Amount]], )</f>
        <v>0</v>
      </c>
      <c r="O186" s="243">
        <f>IF(Table334[[#This Row],[Category]]="Registration",Table334[[#This Row],[Account Deposit Amount]]-Table334[[#This Row],[Account Withdrawl Amount]], )</f>
        <v>0</v>
      </c>
      <c r="P186" s="243">
        <f>IF(Table334[[#This Row],[Category]]="Insignia",Table334[[#This Row],[Account Deposit Amount]]-Table334[[#This Row],[Account Withdrawl Amount]], )</f>
        <v>0</v>
      </c>
      <c r="Q186" s="243">
        <f>IF(Table334[[#This Row],[Category]]="Activities/Program",Table334[[#This Row],[Account Deposit Amount]]-Table334[[#This Row],[Account Withdrawl Amount]], )</f>
        <v>0</v>
      </c>
      <c r="R186" s="243">
        <f>IF(Table334[[#This Row],[Category]]="Travel",Table334[[#This Row],[Account Deposit Amount]]-Table334[[#This Row],[Account Withdrawl Amount]], )</f>
        <v>0</v>
      </c>
      <c r="S186" s="243">
        <f>IF(Table334[[#This Row],[Category]]="Parties Food &amp; Beverages",Table334[[#This Row],[Account Deposit Amount]]-Table334[[#This Row],[Account Withdrawl Amount]], )</f>
        <v>0</v>
      </c>
      <c r="T186" s="243">
        <f>IF(Table334[[#This Row],[Category]]="Service Projects Donation",Table334[[#This Row],[Account Deposit Amount]]-Table334[[#This Row],[Account Withdrawl Amount]], )</f>
        <v>0</v>
      </c>
      <c r="U186" s="243">
        <f>IF(Table334[[#This Row],[Category]]="Cookie Debt",Table334[[#This Row],[Account Deposit Amount]]-Table334[[#This Row],[Account Withdrawl Amount]], )</f>
        <v>0</v>
      </c>
      <c r="V186" s="243">
        <f>IF(Table334[[#This Row],[Category]]="Other Expense",Table334[[#This Row],[Account Deposit Amount]]-Table334[[#This Row],[Account Withdrawl Amount]], )</f>
        <v>0</v>
      </c>
    </row>
    <row r="187" spans="1:22">
      <c r="A187" s="225"/>
      <c r="B187" s="241"/>
      <c r="C187" s="244"/>
      <c r="D187" s="225"/>
      <c r="E187" s="242"/>
      <c r="F187" s="242"/>
      <c r="G187" s="243">
        <f t="shared" si="6"/>
        <v>2518.9699999999939</v>
      </c>
      <c r="H187" s="225"/>
      <c r="I187" s="243">
        <f>IF(Table334[[#This Row],[Category]]="Fall Product",Table334[[#This Row],[Account Deposit Amount]]-Table334[[#This Row],[Account Withdrawl Amount]], )</f>
        <v>0</v>
      </c>
      <c r="J187" s="243">
        <f>IF(Table334[[#This Row],[Category]]="Cookies",Table334[[#This Row],[Account Deposit Amount]]-Table334[[#This Row],[Account Withdrawl Amount]], )</f>
        <v>0</v>
      </c>
      <c r="K187" s="243">
        <f>IF(Table334[[#This Row],[Category]]="Additional Money Earning Activities",Table334[[#This Row],[Account Deposit Amount]]-Table334[[#This Row],[Account Withdrawl Amount]], )</f>
        <v>0</v>
      </c>
      <c r="L187" s="243">
        <f>IF(Table334[[#This Row],[Category]]="Sponsorships",Table334[[#This Row],[Account Deposit Amount]]-Table334[[#This Row],[Account Withdrawl Amount]], )</f>
        <v>0</v>
      </c>
      <c r="M187" s="243">
        <f>IF(Table334[[#This Row],[Category]]="Troop Dues",Table334[[#This Row],[Account Deposit Amount]]-Table334[[#This Row],[Account Withdrawl Amount]], )</f>
        <v>0</v>
      </c>
      <c r="N187" s="243">
        <f>IF(Table334[[#This Row],[Category]]="Other Income",Table334[[#This Row],[Account Deposit Amount]]-Table334[[#This Row],[Account Withdrawl Amount]], )</f>
        <v>0</v>
      </c>
      <c r="O187" s="243">
        <f>IF(Table334[[#This Row],[Category]]="Registration",Table334[[#This Row],[Account Deposit Amount]]-Table334[[#This Row],[Account Withdrawl Amount]], )</f>
        <v>0</v>
      </c>
      <c r="P187" s="243">
        <f>IF(Table334[[#This Row],[Category]]="Insignia",Table334[[#This Row],[Account Deposit Amount]]-Table334[[#This Row],[Account Withdrawl Amount]], )</f>
        <v>0</v>
      </c>
      <c r="Q187" s="243">
        <f>IF(Table334[[#This Row],[Category]]="Activities/Program",Table334[[#This Row],[Account Deposit Amount]]-Table334[[#This Row],[Account Withdrawl Amount]], )</f>
        <v>0</v>
      </c>
      <c r="R187" s="243">
        <f>IF(Table334[[#This Row],[Category]]="Travel",Table334[[#This Row],[Account Deposit Amount]]-Table334[[#This Row],[Account Withdrawl Amount]], )</f>
        <v>0</v>
      </c>
      <c r="S187" s="243">
        <f>IF(Table334[[#This Row],[Category]]="Parties Food &amp; Beverages",Table334[[#This Row],[Account Deposit Amount]]-Table334[[#This Row],[Account Withdrawl Amount]], )</f>
        <v>0</v>
      </c>
      <c r="T187" s="243">
        <f>IF(Table334[[#This Row],[Category]]="Service Projects Donation",Table334[[#This Row],[Account Deposit Amount]]-Table334[[#This Row],[Account Withdrawl Amount]], )</f>
        <v>0</v>
      </c>
      <c r="U187" s="243">
        <f>IF(Table334[[#This Row],[Category]]="Cookie Debt",Table334[[#This Row],[Account Deposit Amount]]-Table334[[#This Row],[Account Withdrawl Amount]], )</f>
        <v>0</v>
      </c>
      <c r="V187" s="243">
        <f>IF(Table334[[#This Row],[Category]]="Other Expense",Table334[[#This Row],[Account Deposit Amount]]-Table334[[#This Row],[Account Withdrawl Amount]], )</f>
        <v>0</v>
      </c>
    </row>
    <row r="188" spans="1:22">
      <c r="A188" s="225"/>
      <c r="B188" s="241"/>
      <c r="C188" s="244"/>
      <c r="D188" s="225"/>
      <c r="E188" s="242"/>
      <c r="F188" s="242"/>
      <c r="G188" s="243">
        <f t="shared" si="6"/>
        <v>2518.9699999999939</v>
      </c>
      <c r="H188" s="225"/>
      <c r="I188" s="243">
        <f>IF(Table334[[#This Row],[Category]]="Fall Product",Table334[[#This Row],[Account Deposit Amount]]-Table334[[#This Row],[Account Withdrawl Amount]], )</f>
        <v>0</v>
      </c>
      <c r="J188" s="243">
        <f>IF(Table334[[#This Row],[Category]]="Cookies",Table334[[#This Row],[Account Deposit Amount]]-Table334[[#This Row],[Account Withdrawl Amount]], )</f>
        <v>0</v>
      </c>
      <c r="K188" s="243">
        <f>IF(Table334[[#This Row],[Category]]="Additional Money Earning Activities",Table334[[#This Row],[Account Deposit Amount]]-Table334[[#This Row],[Account Withdrawl Amount]], )</f>
        <v>0</v>
      </c>
      <c r="L188" s="243">
        <f>IF(Table334[[#This Row],[Category]]="Sponsorships",Table334[[#This Row],[Account Deposit Amount]]-Table334[[#This Row],[Account Withdrawl Amount]], )</f>
        <v>0</v>
      </c>
      <c r="M188" s="243">
        <f>IF(Table334[[#This Row],[Category]]="Troop Dues",Table334[[#This Row],[Account Deposit Amount]]-Table334[[#This Row],[Account Withdrawl Amount]], )</f>
        <v>0</v>
      </c>
      <c r="N188" s="243">
        <f>IF(Table334[[#This Row],[Category]]="Other Income",Table334[[#This Row],[Account Deposit Amount]]-Table334[[#This Row],[Account Withdrawl Amount]], )</f>
        <v>0</v>
      </c>
      <c r="O188" s="243">
        <f>IF(Table334[[#This Row],[Category]]="Registration",Table334[[#This Row],[Account Deposit Amount]]-Table334[[#This Row],[Account Withdrawl Amount]], )</f>
        <v>0</v>
      </c>
      <c r="P188" s="243">
        <f>IF(Table334[[#This Row],[Category]]="Insignia",Table334[[#This Row],[Account Deposit Amount]]-Table334[[#This Row],[Account Withdrawl Amount]], )</f>
        <v>0</v>
      </c>
      <c r="Q188" s="243">
        <f>IF(Table334[[#This Row],[Category]]="Activities/Program",Table334[[#This Row],[Account Deposit Amount]]-Table334[[#This Row],[Account Withdrawl Amount]], )</f>
        <v>0</v>
      </c>
      <c r="R188" s="243">
        <f>IF(Table334[[#This Row],[Category]]="Travel",Table334[[#This Row],[Account Deposit Amount]]-Table334[[#This Row],[Account Withdrawl Amount]], )</f>
        <v>0</v>
      </c>
      <c r="S188" s="243">
        <f>IF(Table334[[#This Row],[Category]]="Parties Food &amp; Beverages",Table334[[#This Row],[Account Deposit Amount]]-Table334[[#This Row],[Account Withdrawl Amount]], )</f>
        <v>0</v>
      </c>
      <c r="T188" s="243">
        <f>IF(Table334[[#This Row],[Category]]="Service Projects Donation",Table334[[#This Row],[Account Deposit Amount]]-Table334[[#This Row],[Account Withdrawl Amount]], )</f>
        <v>0</v>
      </c>
      <c r="U188" s="243">
        <f>IF(Table334[[#This Row],[Category]]="Cookie Debt",Table334[[#This Row],[Account Deposit Amount]]-Table334[[#This Row],[Account Withdrawl Amount]], )</f>
        <v>0</v>
      </c>
      <c r="V188" s="243">
        <f>IF(Table334[[#This Row],[Category]]="Other Expense",Table334[[#This Row],[Account Deposit Amount]]-Table334[[#This Row],[Account Withdrawl Amount]], )</f>
        <v>0</v>
      </c>
    </row>
    <row r="189" spans="1:22">
      <c r="A189" s="225"/>
      <c r="B189" s="241"/>
      <c r="C189" s="244"/>
      <c r="D189" s="225"/>
      <c r="E189" s="242"/>
      <c r="F189" s="242"/>
      <c r="G189" s="243">
        <f t="shared" si="6"/>
        <v>2518.9699999999939</v>
      </c>
      <c r="H189" s="225"/>
      <c r="I189" s="243">
        <f>IF(Table334[[#This Row],[Category]]="Fall Product",Table334[[#This Row],[Account Deposit Amount]]-Table334[[#This Row],[Account Withdrawl Amount]], )</f>
        <v>0</v>
      </c>
      <c r="J189" s="243">
        <f>IF(Table334[[#This Row],[Category]]="Cookies",Table334[[#This Row],[Account Deposit Amount]]-Table334[[#This Row],[Account Withdrawl Amount]], )</f>
        <v>0</v>
      </c>
      <c r="K189" s="243">
        <f>IF(Table334[[#This Row],[Category]]="Additional Money Earning Activities",Table334[[#This Row],[Account Deposit Amount]]-Table334[[#This Row],[Account Withdrawl Amount]], )</f>
        <v>0</v>
      </c>
      <c r="L189" s="243">
        <f>IF(Table334[[#This Row],[Category]]="Sponsorships",Table334[[#This Row],[Account Deposit Amount]]-Table334[[#This Row],[Account Withdrawl Amount]], )</f>
        <v>0</v>
      </c>
      <c r="M189" s="243">
        <f>IF(Table334[[#This Row],[Category]]="Troop Dues",Table334[[#This Row],[Account Deposit Amount]]-Table334[[#This Row],[Account Withdrawl Amount]], )</f>
        <v>0</v>
      </c>
      <c r="N189" s="243">
        <f>IF(Table334[[#This Row],[Category]]="Other Income",Table334[[#This Row],[Account Deposit Amount]]-Table334[[#This Row],[Account Withdrawl Amount]], )</f>
        <v>0</v>
      </c>
      <c r="O189" s="243">
        <f>IF(Table334[[#This Row],[Category]]="Registration",Table334[[#This Row],[Account Deposit Amount]]-Table334[[#This Row],[Account Withdrawl Amount]], )</f>
        <v>0</v>
      </c>
      <c r="P189" s="243">
        <f>IF(Table334[[#This Row],[Category]]="Insignia",Table334[[#This Row],[Account Deposit Amount]]-Table334[[#This Row],[Account Withdrawl Amount]], )</f>
        <v>0</v>
      </c>
      <c r="Q189" s="243">
        <f>IF(Table334[[#This Row],[Category]]="Activities/Program",Table334[[#This Row],[Account Deposit Amount]]-Table334[[#This Row],[Account Withdrawl Amount]], )</f>
        <v>0</v>
      </c>
      <c r="R189" s="243">
        <f>IF(Table334[[#This Row],[Category]]="Travel",Table334[[#This Row],[Account Deposit Amount]]-Table334[[#This Row],[Account Withdrawl Amount]], )</f>
        <v>0</v>
      </c>
      <c r="S189" s="243">
        <f>IF(Table334[[#This Row],[Category]]="Parties Food &amp; Beverages",Table334[[#This Row],[Account Deposit Amount]]-Table334[[#This Row],[Account Withdrawl Amount]], )</f>
        <v>0</v>
      </c>
      <c r="T189" s="243">
        <f>IF(Table334[[#This Row],[Category]]="Service Projects Donation",Table334[[#This Row],[Account Deposit Amount]]-Table334[[#This Row],[Account Withdrawl Amount]], )</f>
        <v>0</v>
      </c>
      <c r="U189" s="243">
        <f>IF(Table334[[#This Row],[Category]]="Cookie Debt",Table334[[#This Row],[Account Deposit Amount]]-Table334[[#This Row],[Account Withdrawl Amount]], )</f>
        <v>0</v>
      </c>
      <c r="V189" s="243">
        <f>IF(Table334[[#This Row],[Category]]="Other Expense",Table334[[#This Row],[Account Deposit Amount]]-Table334[[#This Row],[Account Withdrawl Amount]], )</f>
        <v>0</v>
      </c>
    </row>
    <row r="190" spans="1:22">
      <c r="A190" s="225"/>
      <c r="B190" s="241"/>
      <c r="C190" s="225"/>
      <c r="D190" s="225"/>
      <c r="E190" s="242"/>
      <c r="F190" s="242"/>
      <c r="G190" s="243">
        <f t="shared" si="6"/>
        <v>2518.9699999999939</v>
      </c>
      <c r="H190" s="225"/>
      <c r="I190" s="243">
        <f>IF(Table334[[#This Row],[Category]]="Fall Product",Table334[[#This Row],[Account Deposit Amount]]-Table334[[#This Row],[Account Withdrawl Amount]], )</f>
        <v>0</v>
      </c>
      <c r="J190" s="243">
        <f>IF(Table334[[#This Row],[Category]]="Cookies",Table334[[#This Row],[Account Deposit Amount]]-Table334[[#This Row],[Account Withdrawl Amount]], )</f>
        <v>0</v>
      </c>
      <c r="K190" s="243">
        <f>IF(Table334[[#This Row],[Category]]="Additional Money Earning Activities",Table334[[#This Row],[Account Deposit Amount]]-Table334[[#This Row],[Account Withdrawl Amount]], )</f>
        <v>0</v>
      </c>
      <c r="L190" s="243">
        <f>IF(Table334[[#This Row],[Category]]="Sponsorships",Table334[[#This Row],[Account Deposit Amount]]-Table334[[#This Row],[Account Withdrawl Amount]], )</f>
        <v>0</v>
      </c>
      <c r="M190" s="243">
        <f>IF(Table334[[#This Row],[Category]]="Troop Dues",Table334[[#This Row],[Account Deposit Amount]]-Table334[[#This Row],[Account Withdrawl Amount]], )</f>
        <v>0</v>
      </c>
      <c r="N190" s="243">
        <f>IF(Table334[[#This Row],[Category]]="Other Income",Table334[[#This Row],[Account Deposit Amount]]-Table334[[#This Row],[Account Withdrawl Amount]], )</f>
        <v>0</v>
      </c>
      <c r="O190" s="243">
        <f>IF(Table334[[#This Row],[Category]]="Registration",Table334[[#This Row],[Account Deposit Amount]]-Table334[[#This Row],[Account Withdrawl Amount]], )</f>
        <v>0</v>
      </c>
      <c r="P190" s="243">
        <f>IF(Table334[[#This Row],[Category]]="Insignia",Table334[[#This Row],[Account Deposit Amount]]-Table334[[#This Row],[Account Withdrawl Amount]], )</f>
        <v>0</v>
      </c>
      <c r="Q190" s="243">
        <f>IF(Table334[[#This Row],[Category]]="Activities/Program",Table334[[#This Row],[Account Deposit Amount]]-Table334[[#This Row],[Account Withdrawl Amount]], )</f>
        <v>0</v>
      </c>
      <c r="R190" s="243">
        <f>IF(Table334[[#This Row],[Category]]="Travel",Table334[[#This Row],[Account Deposit Amount]]-Table334[[#This Row],[Account Withdrawl Amount]], )</f>
        <v>0</v>
      </c>
      <c r="S190" s="243">
        <f>IF(Table334[[#This Row],[Category]]="Parties Food &amp; Beverages",Table334[[#This Row],[Account Deposit Amount]]-Table334[[#This Row],[Account Withdrawl Amount]], )</f>
        <v>0</v>
      </c>
      <c r="T190" s="243">
        <f>IF(Table334[[#This Row],[Category]]="Service Projects Donation",Table334[[#This Row],[Account Deposit Amount]]-Table334[[#This Row],[Account Withdrawl Amount]], )</f>
        <v>0</v>
      </c>
      <c r="U190" s="243">
        <f>IF(Table334[[#This Row],[Category]]="Cookie Debt",Table334[[#This Row],[Account Deposit Amount]]-Table334[[#This Row],[Account Withdrawl Amount]], )</f>
        <v>0</v>
      </c>
      <c r="V190" s="243">
        <f>IF(Table334[[#This Row],[Category]]="Other Expense",Table334[[#This Row],[Account Deposit Amount]]-Table334[[#This Row],[Account Withdrawl Amount]], )</f>
        <v>0</v>
      </c>
    </row>
    <row r="191" spans="1:22">
      <c r="A191" s="225"/>
      <c r="B191" s="241"/>
      <c r="C191" s="225"/>
      <c r="D191" s="225"/>
      <c r="E191" s="242"/>
      <c r="F191" s="242"/>
      <c r="G191" s="243">
        <f t="shared" si="6"/>
        <v>2518.9699999999939</v>
      </c>
      <c r="H191" s="225"/>
      <c r="I191" s="243">
        <f>IF(Table334[[#This Row],[Category]]="Fall Product",Table334[[#This Row],[Account Deposit Amount]]-Table334[[#This Row],[Account Withdrawl Amount]], )</f>
        <v>0</v>
      </c>
      <c r="J191" s="243">
        <f>IF(Table334[[#This Row],[Category]]="Cookies",Table334[[#This Row],[Account Deposit Amount]]-Table334[[#This Row],[Account Withdrawl Amount]], )</f>
        <v>0</v>
      </c>
      <c r="K191" s="243">
        <f>IF(Table334[[#This Row],[Category]]="Additional Money Earning Activities",Table334[[#This Row],[Account Deposit Amount]]-Table334[[#This Row],[Account Withdrawl Amount]], )</f>
        <v>0</v>
      </c>
      <c r="L191" s="243">
        <f>IF(Table334[[#This Row],[Category]]="Sponsorships",Table334[[#This Row],[Account Deposit Amount]]-Table334[[#This Row],[Account Withdrawl Amount]], )</f>
        <v>0</v>
      </c>
      <c r="M191" s="243">
        <f>IF(Table334[[#This Row],[Category]]="Troop Dues",Table334[[#This Row],[Account Deposit Amount]]-Table334[[#This Row],[Account Withdrawl Amount]], )</f>
        <v>0</v>
      </c>
      <c r="N191" s="243">
        <f>IF(Table334[[#This Row],[Category]]="Other Income",Table334[[#This Row],[Account Deposit Amount]]-Table334[[#This Row],[Account Withdrawl Amount]], )</f>
        <v>0</v>
      </c>
      <c r="O191" s="243">
        <f>IF(Table334[[#This Row],[Category]]="Registration",Table334[[#This Row],[Account Deposit Amount]]-Table334[[#This Row],[Account Withdrawl Amount]], )</f>
        <v>0</v>
      </c>
      <c r="P191" s="243">
        <f>IF(Table334[[#This Row],[Category]]="Insignia",Table334[[#This Row],[Account Deposit Amount]]-Table334[[#This Row],[Account Withdrawl Amount]], )</f>
        <v>0</v>
      </c>
      <c r="Q191" s="243">
        <f>IF(Table334[[#This Row],[Category]]="Activities/Program",Table334[[#This Row],[Account Deposit Amount]]-Table334[[#This Row],[Account Withdrawl Amount]], )</f>
        <v>0</v>
      </c>
      <c r="R191" s="243">
        <f>IF(Table334[[#This Row],[Category]]="Travel",Table334[[#This Row],[Account Deposit Amount]]-Table334[[#This Row],[Account Withdrawl Amount]], )</f>
        <v>0</v>
      </c>
      <c r="S191" s="243">
        <f>IF(Table334[[#This Row],[Category]]="Parties Food &amp; Beverages",Table334[[#This Row],[Account Deposit Amount]]-Table334[[#This Row],[Account Withdrawl Amount]], )</f>
        <v>0</v>
      </c>
      <c r="T191" s="243">
        <f>IF(Table334[[#This Row],[Category]]="Service Projects Donation",Table334[[#This Row],[Account Deposit Amount]]-Table334[[#This Row],[Account Withdrawl Amount]], )</f>
        <v>0</v>
      </c>
      <c r="U191" s="243">
        <f>IF(Table334[[#This Row],[Category]]="Cookie Debt",Table334[[#This Row],[Account Deposit Amount]]-Table334[[#This Row],[Account Withdrawl Amount]], )</f>
        <v>0</v>
      </c>
      <c r="V191" s="243">
        <f>IF(Table334[[#This Row],[Category]]="Other Expense",Table334[[#This Row],[Account Deposit Amount]]-Table334[[#This Row],[Account Withdrawl Amount]], )</f>
        <v>0</v>
      </c>
    </row>
    <row r="192" spans="1:22">
      <c r="A192" s="225"/>
      <c r="B192" s="241"/>
      <c r="C192" s="225"/>
      <c r="D192" s="225"/>
      <c r="E192" s="242"/>
      <c r="F192" s="242"/>
      <c r="G192" s="243">
        <f t="shared" si="6"/>
        <v>2518.9699999999939</v>
      </c>
      <c r="H192" s="225"/>
      <c r="I192" s="243">
        <f>IF(Table334[[#This Row],[Category]]="Fall Product",Table334[[#This Row],[Account Deposit Amount]]-Table334[[#This Row],[Account Withdrawl Amount]], )</f>
        <v>0</v>
      </c>
      <c r="J192" s="243">
        <f>IF(Table334[[#This Row],[Category]]="Cookies",Table334[[#This Row],[Account Deposit Amount]]-Table334[[#This Row],[Account Withdrawl Amount]], )</f>
        <v>0</v>
      </c>
      <c r="K192" s="243">
        <f>IF(Table334[[#This Row],[Category]]="Additional Money Earning Activities",Table334[[#This Row],[Account Deposit Amount]]-Table334[[#This Row],[Account Withdrawl Amount]], )</f>
        <v>0</v>
      </c>
      <c r="L192" s="243">
        <f>IF(Table334[[#This Row],[Category]]="Sponsorships",Table334[[#This Row],[Account Deposit Amount]]-Table334[[#This Row],[Account Withdrawl Amount]], )</f>
        <v>0</v>
      </c>
      <c r="M192" s="243">
        <f>IF(Table334[[#This Row],[Category]]="Troop Dues",Table334[[#This Row],[Account Deposit Amount]]-Table334[[#This Row],[Account Withdrawl Amount]], )</f>
        <v>0</v>
      </c>
      <c r="N192" s="243">
        <f>IF(Table334[[#This Row],[Category]]="Other Income",Table334[[#This Row],[Account Deposit Amount]]-Table334[[#This Row],[Account Withdrawl Amount]], )</f>
        <v>0</v>
      </c>
      <c r="O192" s="243">
        <f>IF(Table334[[#This Row],[Category]]="Registration",Table334[[#This Row],[Account Deposit Amount]]-Table334[[#This Row],[Account Withdrawl Amount]], )</f>
        <v>0</v>
      </c>
      <c r="P192" s="243">
        <f>IF(Table334[[#This Row],[Category]]="Insignia",Table334[[#This Row],[Account Deposit Amount]]-Table334[[#This Row],[Account Withdrawl Amount]], )</f>
        <v>0</v>
      </c>
      <c r="Q192" s="243">
        <f>IF(Table334[[#This Row],[Category]]="Activities/Program",Table334[[#This Row],[Account Deposit Amount]]-Table334[[#This Row],[Account Withdrawl Amount]], )</f>
        <v>0</v>
      </c>
      <c r="R192" s="243">
        <f>IF(Table334[[#This Row],[Category]]="Travel",Table334[[#This Row],[Account Deposit Amount]]-Table334[[#This Row],[Account Withdrawl Amount]], )</f>
        <v>0</v>
      </c>
      <c r="S192" s="243">
        <f>IF(Table334[[#This Row],[Category]]="Parties Food &amp; Beverages",Table334[[#This Row],[Account Deposit Amount]]-Table334[[#This Row],[Account Withdrawl Amount]], )</f>
        <v>0</v>
      </c>
      <c r="T192" s="243">
        <f>IF(Table334[[#This Row],[Category]]="Service Projects Donation",Table334[[#This Row],[Account Deposit Amount]]-Table334[[#This Row],[Account Withdrawl Amount]], )</f>
        <v>0</v>
      </c>
      <c r="U192" s="243">
        <f>IF(Table334[[#This Row],[Category]]="Cookie Debt",Table334[[#This Row],[Account Deposit Amount]]-Table334[[#This Row],[Account Withdrawl Amount]], )</f>
        <v>0</v>
      </c>
      <c r="V192" s="243">
        <f>IF(Table334[[#This Row],[Category]]="Other Expense",Table334[[#This Row],[Account Deposit Amount]]-Table334[[#This Row],[Account Withdrawl Amount]], )</f>
        <v>0</v>
      </c>
    </row>
    <row r="193" spans="1:22">
      <c r="A193" s="225"/>
      <c r="B193" s="241"/>
      <c r="C193" s="225"/>
      <c r="D193" s="225"/>
      <c r="E193" s="242"/>
      <c r="F193" s="242"/>
      <c r="G193" s="243">
        <f t="shared" si="6"/>
        <v>2518.9699999999939</v>
      </c>
      <c r="H193" s="225"/>
      <c r="I193" s="243">
        <f>IF(Table334[[#This Row],[Category]]="Fall Product",Table334[[#This Row],[Account Deposit Amount]]-Table334[[#This Row],[Account Withdrawl Amount]], )</f>
        <v>0</v>
      </c>
      <c r="J193" s="243">
        <f>IF(Table334[[#This Row],[Category]]="Cookies",Table334[[#This Row],[Account Deposit Amount]]-Table334[[#This Row],[Account Withdrawl Amount]], )</f>
        <v>0</v>
      </c>
      <c r="K193" s="243">
        <f>IF(Table334[[#This Row],[Category]]="Additional Money Earning Activities",Table334[[#This Row],[Account Deposit Amount]]-Table334[[#This Row],[Account Withdrawl Amount]], )</f>
        <v>0</v>
      </c>
      <c r="L193" s="243">
        <f>IF(Table334[[#This Row],[Category]]="Sponsorships",Table334[[#This Row],[Account Deposit Amount]]-Table334[[#This Row],[Account Withdrawl Amount]], )</f>
        <v>0</v>
      </c>
      <c r="M193" s="243">
        <f>IF(Table334[[#This Row],[Category]]="Troop Dues",Table334[[#This Row],[Account Deposit Amount]]-Table334[[#This Row],[Account Withdrawl Amount]], )</f>
        <v>0</v>
      </c>
      <c r="N193" s="243">
        <f>IF(Table334[[#This Row],[Category]]="Other Income",Table334[[#This Row],[Account Deposit Amount]]-Table334[[#This Row],[Account Withdrawl Amount]], )</f>
        <v>0</v>
      </c>
      <c r="O193" s="243">
        <f>IF(Table334[[#This Row],[Category]]="Registration",Table334[[#This Row],[Account Deposit Amount]]-Table334[[#This Row],[Account Withdrawl Amount]], )</f>
        <v>0</v>
      </c>
      <c r="P193" s="243">
        <f>IF(Table334[[#This Row],[Category]]="Insignia",Table334[[#This Row],[Account Deposit Amount]]-Table334[[#This Row],[Account Withdrawl Amount]], )</f>
        <v>0</v>
      </c>
      <c r="Q193" s="243">
        <f>IF(Table334[[#This Row],[Category]]="Activities/Program",Table334[[#This Row],[Account Deposit Amount]]-Table334[[#This Row],[Account Withdrawl Amount]], )</f>
        <v>0</v>
      </c>
      <c r="R193" s="243">
        <f>IF(Table334[[#This Row],[Category]]="Travel",Table334[[#This Row],[Account Deposit Amount]]-Table334[[#This Row],[Account Withdrawl Amount]], )</f>
        <v>0</v>
      </c>
      <c r="S193" s="243">
        <f>IF(Table334[[#This Row],[Category]]="Parties Food &amp; Beverages",Table334[[#This Row],[Account Deposit Amount]]-Table334[[#This Row],[Account Withdrawl Amount]], )</f>
        <v>0</v>
      </c>
      <c r="T193" s="243">
        <f>IF(Table334[[#This Row],[Category]]="Service Projects Donation",Table334[[#This Row],[Account Deposit Amount]]-Table334[[#This Row],[Account Withdrawl Amount]], )</f>
        <v>0</v>
      </c>
      <c r="U193" s="243">
        <f>IF(Table334[[#This Row],[Category]]="Cookie Debt",Table334[[#This Row],[Account Deposit Amount]]-Table334[[#This Row],[Account Withdrawl Amount]], )</f>
        <v>0</v>
      </c>
      <c r="V193" s="243">
        <f>IF(Table334[[#This Row],[Category]]="Other Expense",Table334[[#This Row],[Account Deposit Amount]]-Table334[[#This Row],[Account Withdrawl Amount]], )</f>
        <v>0</v>
      </c>
    </row>
    <row r="194" spans="1:22">
      <c r="A194" s="225"/>
      <c r="B194" s="241"/>
      <c r="C194" s="225"/>
      <c r="D194" s="225"/>
      <c r="E194" s="242"/>
      <c r="F194" s="242"/>
      <c r="G194" s="243">
        <f t="shared" si="6"/>
        <v>2518.9699999999939</v>
      </c>
      <c r="H194" s="225"/>
      <c r="I194" s="243">
        <f>IF(Table334[[#This Row],[Category]]="Fall Product",Table334[[#This Row],[Account Deposit Amount]]-Table334[[#This Row],[Account Withdrawl Amount]], )</f>
        <v>0</v>
      </c>
      <c r="J194" s="243">
        <f>IF(Table334[[#This Row],[Category]]="Cookies",Table334[[#This Row],[Account Deposit Amount]]-Table334[[#This Row],[Account Withdrawl Amount]], )</f>
        <v>0</v>
      </c>
      <c r="K194" s="243">
        <f>IF(Table334[[#This Row],[Category]]="Additional Money Earning Activities",Table334[[#This Row],[Account Deposit Amount]]-Table334[[#This Row],[Account Withdrawl Amount]], )</f>
        <v>0</v>
      </c>
      <c r="L194" s="243">
        <f>IF(Table334[[#This Row],[Category]]="Sponsorships",Table334[[#This Row],[Account Deposit Amount]]-Table334[[#This Row],[Account Withdrawl Amount]], )</f>
        <v>0</v>
      </c>
      <c r="M194" s="243">
        <f>IF(Table334[[#This Row],[Category]]="Troop Dues",Table334[[#This Row],[Account Deposit Amount]]-Table334[[#This Row],[Account Withdrawl Amount]], )</f>
        <v>0</v>
      </c>
      <c r="N194" s="243">
        <f>IF(Table334[[#This Row],[Category]]="Other Income",Table334[[#This Row],[Account Deposit Amount]]-Table334[[#This Row],[Account Withdrawl Amount]], )</f>
        <v>0</v>
      </c>
      <c r="O194" s="243">
        <f>IF(Table334[[#This Row],[Category]]="Registration",Table334[[#This Row],[Account Deposit Amount]]-Table334[[#This Row],[Account Withdrawl Amount]], )</f>
        <v>0</v>
      </c>
      <c r="P194" s="243">
        <f>IF(Table334[[#This Row],[Category]]="Insignia",Table334[[#This Row],[Account Deposit Amount]]-Table334[[#This Row],[Account Withdrawl Amount]], )</f>
        <v>0</v>
      </c>
      <c r="Q194" s="243">
        <f>IF(Table334[[#This Row],[Category]]="Activities/Program",Table334[[#This Row],[Account Deposit Amount]]-Table334[[#This Row],[Account Withdrawl Amount]], )</f>
        <v>0</v>
      </c>
      <c r="R194" s="243">
        <f>IF(Table334[[#This Row],[Category]]="Travel",Table334[[#This Row],[Account Deposit Amount]]-Table334[[#This Row],[Account Withdrawl Amount]], )</f>
        <v>0</v>
      </c>
      <c r="S194" s="243">
        <f>IF(Table334[[#This Row],[Category]]="Parties Food &amp; Beverages",Table334[[#This Row],[Account Deposit Amount]]-Table334[[#This Row],[Account Withdrawl Amount]], )</f>
        <v>0</v>
      </c>
      <c r="T194" s="243">
        <f>IF(Table334[[#This Row],[Category]]="Service Projects Donation",Table334[[#This Row],[Account Deposit Amount]]-Table334[[#This Row],[Account Withdrawl Amount]], )</f>
        <v>0</v>
      </c>
      <c r="U194" s="243">
        <f>IF(Table334[[#This Row],[Category]]="Cookie Debt",Table334[[#This Row],[Account Deposit Amount]]-Table334[[#This Row],[Account Withdrawl Amount]], )</f>
        <v>0</v>
      </c>
      <c r="V194" s="243">
        <f>IF(Table334[[#This Row],[Category]]="Other Expense",Table334[[#This Row],[Account Deposit Amount]]-Table334[[#This Row],[Account Withdrawl Amount]], )</f>
        <v>0</v>
      </c>
    </row>
    <row r="195" spans="1:22">
      <c r="A195" s="225"/>
      <c r="B195" s="241"/>
      <c r="C195" s="225"/>
      <c r="D195" s="225"/>
      <c r="E195" s="242"/>
      <c r="F195" s="242"/>
      <c r="G195" s="243">
        <f t="shared" si="6"/>
        <v>2518.9699999999939</v>
      </c>
      <c r="H195" s="225"/>
      <c r="I195" s="243">
        <f>IF(Table334[[#This Row],[Category]]="Fall Product",Table334[[#This Row],[Account Deposit Amount]]-Table334[[#This Row],[Account Withdrawl Amount]], )</f>
        <v>0</v>
      </c>
      <c r="J195" s="243">
        <f>IF(Table334[[#This Row],[Category]]="Cookies",Table334[[#This Row],[Account Deposit Amount]]-Table334[[#This Row],[Account Withdrawl Amount]], )</f>
        <v>0</v>
      </c>
      <c r="K195" s="243">
        <f>IF(Table334[[#This Row],[Category]]="Additional Money Earning Activities",Table334[[#This Row],[Account Deposit Amount]]-Table334[[#This Row],[Account Withdrawl Amount]], )</f>
        <v>0</v>
      </c>
      <c r="L195" s="243">
        <f>IF(Table334[[#This Row],[Category]]="Sponsorships",Table334[[#This Row],[Account Deposit Amount]]-Table334[[#This Row],[Account Withdrawl Amount]], )</f>
        <v>0</v>
      </c>
      <c r="M195" s="243">
        <f>IF(Table334[[#This Row],[Category]]="Troop Dues",Table334[[#This Row],[Account Deposit Amount]]-Table334[[#This Row],[Account Withdrawl Amount]], )</f>
        <v>0</v>
      </c>
      <c r="N195" s="243">
        <f>IF(Table334[[#This Row],[Category]]="Other Income",Table334[[#This Row],[Account Deposit Amount]]-Table334[[#This Row],[Account Withdrawl Amount]], )</f>
        <v>0</v>
      </c>
      <c r="O195" s="243">
        <f>IF(Table334[[#This Row],[Category]]="Registration",Table334[[#This Row],[Account Deposit Amount]]-Table334[[#This Row],[Account Withdrawl Amount]], )</f>
        <v>0</v>
      </c>
      <c r="P195" s="243">
        <f>IF(Table334[[#This Row],[Category]]="Insignia",Table334[[#This Row],[Account Deposit Amount]]-Table334[[#This Row],[Account Withdrawl Amount]], )</f>
        <v>0</v>
      </c>
      <c r="Q195" s="243">
        <f>IF(Table334[[#This Row],[Category]]="Activities/Program",Table334[[#This Row],[Account Deposit Amount]]-Table334[[#This Row],[Account Withdrawl Amount]], )</f>
        <v>0</v>
      </c>
      <c r="R195" s="243">
        <f>IF(Table334[[#This Row],[Category]]="Travel",Table334[[#This Row],[Account Deposit Amount]]-Table334[[#This Row],[Account Withdrawl Amount]], )</f>
        <v>0</v>
      </c>
      <c r="S195" s="243">
        <f>IF(Table334[[#This Row],[Category]]="Parties Food &amp; Beverages",Table334[[#This Row],[Account Deposit Amount]]-Table334[[#This Row],[Account Withdrawl Amount]], )</f>
        <v>0</v>
      </c>
      <c r="T195" s="243">
        <f>IF(Table334[[#This Row],[Category]]="Service Projects Donation",Table334[[#This Row],[Account Deposit Amount]]-Table334[[#This Row],[Account Withdrawl Amount]], )</f>
        <v>0</v>
      </c>
      <c r="U195" s="243">
        <f>IF(Table334[[#This Row],[Category]]="Cookie Debt",Table334[[#This Row],[Account Deposit Amount]]-Table334[[#This Row],[Account Withdrawl Amount]], )</f>
        <v>0</v>
      </c>
      <c r="V195" s="243">
        <f>IF(Table334[[#This Row],[Category]]="Other Expense",Table334[[#This Row],[Account Deposit Amount]]-Table334[[#This Row],[Account Withdrawl Amount]], )</f>
        <v>0</v>
      </c>
    </row>
    <row r="196" spans="1:22">
      <c r="A196" s="225"/>
      <c r="B196" s="241"/>
      <c r="C196" s="225"/>
      <c r="D196" s="225"/>
      <c r="E196" s="242"/>
      <c r="F196" s="242"/>
      <c r="G196" s="243">
        <f t="shared" si="6"/>
        <v>2518.9699999999939</v>
      </c>
      <c r="H196" s="225"/>
      <c r="I196" s="243">
        <f>IF(Table334[[#This Row],[Category]]="Fall Product",Table334[[#This Row],[Account Deposit Amount]]-Table334[[#This Row],[Account Withdrawl Amount]], )</f>
        <v>0</v>
      </c>
      <c r="J196" s="243">
        <f>IF(Table334[[#This Row],[Category]]="Cookies",Table334[[#This Row],[Account Deposit Amount]]-Table334[[#This Row],[Account Withdrawl Amount]], )</f>
        <v>0</v>
      </c>
      <c r="K196" s="243">
        <f>IF(Table334[[#This Row],[Category]]="Additional Money Earning Activities",Table334[[#This Row],[Account Deposit Amount]]-Table334[[#This Row],[Account Withdrawl Amount]], )</f>
        <v>0</v>
      </c>
      <c r="L196" s="243">
        <f>IF(Table334[[#This Row],[Category]]="Sponsorships",Table334[[#This Row],[Account Deposit Amount]]-Table334[[#This Row],[Account Withdrawl Amount]], )</f>
        <v>0</v>
      </c>
      <c r="M196" s="243">
        <f>IF(Table334[[#This Row],[Category]]="Troop Dues",Table334[[#This Row],[Account Deposit Amount]]-Table334[[#This Row],[Account Withdrawl Amount]], )</f>
        <v>0</v>
      </c>
      <c r="N196" s="243">
        <f>IF(Table334[[#This Row],[Category]]="Other Income",Table334[[#This Row],[Account Deposit Amount]]-Table334[[#This Row],[Account Withdrawl Amount]], )</f>
        <v>0</v>
      </c>
      <c r="O196" s="243">
        <f>IF(Table334[[#This Row],[Category]]="Registration",Table334[[#This Row],[Account Deposit Amount]]-Table334[[#This Row],[Account Withdrawl Amount]], )</f>
        <v>0</v>
      </c>
      <c r="P196" s="243">
        <f>IF(Table334[[#This Row],[Category]]="Insignia",Table334[[#This Row],[Account Deposit Amount]]-Table334[[#This Row],[Account Withdrawl Amount]], )</f>
        <v>0</v>
      </c>
      <c r="Q196" s="243">
        <f>IF(Table334[[#This Row],[Category]]="Activities/Program",Table334[[#This Row],[Account Deposit Amount]]-Table334[[#This Row],[Account Withdrawl Amount]], )</f>
        <v>0</v>
      </c>
      <c r="R196" s="243">
        <f>IF(Table334[[#This Row],[Category]]="Travel",Table334[[#This Row],[Account Deposit Amount]]-Table334[[#This Row],[Account Withdrawl Amount]], )</f>
        <v>0</v>
      </c>
      <c r="S196" s="243">
        <f>IF(Table334[[#This Row],[Category]]="Parties Food &amp; Beverages",Table334[[#This Row],[Account Deposit Amount]]-Table334[[#This Row],[Account Withdrawl Amount]], )</f>
        <v>0</v>
      </c>
      <c r="T196" s="243">
        <f>IF(Table334[[#This Row],[Category]]="Service Projects Donation",Table334[[#This Row],[Account Deposit Amount]]-Table334[[#This Row],[Account Withdrawl Amount]], )</f>
        <v>0</v>
      </c>
      <c r="U196" s="243">
        <f>IF(Table334[[#This Row],[Category]]="Cookie Debt",Table334[[#This Row],[Account Deposit Amount]]-Table334[[#This Row],[Account Withdrawl Amount]], )</f>
        <v>0</v>
      </c>
      <c r="V196" s="243">
        <f>IF(Table334[[#This Row],[Category]]="Other Expense",Table334[[#This Row],[Account Deposit Amount]]-Table334[[#This Row],[Account Withdrawl Amount]], )</f>
        <v>0</v>
      </c>
    </row>
    <row r="197" spans="1:22">
      <c r="A197" s="225"/>
      <c r="B197" s="241"/>
      <c r="C197" s="225"/>
      <c r="D197" s="225"/>
      <c r="E197" s="242"/>
      <c r="F197" s="242"/>
      <c r="G197" s="243">
        <f t="shared" si="6"/>
        <v>2518.9699999999939</v>
      </c>
      <c r="H197" s="225"/>
      <c r="I197" s="243">
        <f>IF(Table334[[#This Row],[Category]]="Fall Product",Table334[[#This Row],[Account Deposit Amount]]-Table334[[#This Row],[Account Withdrawl Amount]], )</f>
        <v>0</v>
      </c>
      <c r="J197" s="243">
        <f>IF(Table334[[#This Row],[Category]]="Cookies",Table334[[#This Row],[Account Deposit Amount]]-Table334[[#This Row],[Account Withdrawl Amount]], )</f>
        <v>0</v>
      </c>
      <c r="K197" s="243">
        <f>IF(Table334[[#This Row],[Category]]="Additional Money Earning Activities",Table334[[#This Row],[Account Deposit Amount]]-Table334[[#This Row],[Account Withdrawl Amount]], )</f>
        <v>0</v>
      </c>
      <c r="L197" s="243">
        <f>IF(Table334[[#This Row],[Category]]="Sponsorships",Table334[[#This Row],[Account Deposit Amount]]-Table334[[#This Row],[Account Withdrawl Amount]], )</f>
        <v>0</v>
      </c>
      <c r="M197" s="243">
        <f>IF(Table334[[#This Row],[Category]]="Troop Dues",Table334[[#This Row],[Account Deposit Amount]]-Table334[[#This Row],[Account Withdrawl Amount]], )</f>
        <v>0</v>
      </c>
      <c r="N197" s="243">
        <f>IF(Table334[[#This Row],[Category]]="Other Income",Table334[[#This Row],[Account Deposit Amount]]-Table334[[#This Row],[Account Withdrawl Amount]], )</f>
        <v>0</v>
      </c>
      <c r="O197" s="243">
        <f>IF(Table334[[#This Row],[Category]]="Registration",Table334[[#This Row],[Account Deposit Amount]]-Table334[[#This Row],[Account Withdrawl Amount]], )</f>
        <v>0</v>
      </c>
      <c r="P197" s="243">
        <f>IF(Table334[[#This Row],[Category]]="Insignia",Table334[[#This Row],[Account Deposit Amount]]-Table334[[#This Row],[Account Withdrawl Amount]], )</f>
        <v>0</v>
      </c>
      <c r="Q197" s="243">
        <f>IF(Table334[[#This Row],[Category]]="Activities/Program",Table334[[#This Row],[Account Deposit Amount]]-Table334[[#This Row],[Account Withdrawl Amount]], )</f>
        <v>0</v>
      </c>
      <c r="R197" s="243">
        <f>IF(Table334[[#This Row],[Category]]="Travel",Table334[[#This Row],[Account Deposit Amount]]-Table334[[#This Row],[Account Withdrawl Amount]], )</f>
        <v>0</v>
      </c>
      <c r="S197" s="243">
        <f>IF(Table334[[#This Row],[Category]]="Parties Food &amp; Beverages",Table334[[#This Row],[Account Deposit Amount]]-Table334[[#This Row],[Account Withdrawl Amount]], )</f>
        <v>0</v>
      </c>
      <c r="T197" s="243">
        <f>IF(Table334[[#This Row],[Category]]="Service Projects Donation",Table334[[#This Row],[Account Deposit Amount]]-Table334[[#This Row],[Account Withdrawl Amount]], )</f>
        <v>0</v>
      </c>
      <c r="U197" s="243">
        <f>IF(Table334[[#This Row],[Category]]="Cookie Debt",Table334[[#This Row],[Account Deposit Amount]]-Table334[[#This Row],[Account Withdrawl Amount]], )</f>
        <v>0</v>
      </c>
      <c r="V197" s="243">
        <f>IF(Table334[[#This Row],[Category]]="Other Expense",Table334[[#This Row],[Account Deposit Amount]]-Table334[[#This Row],[Account Withdrawl Amount]], )</f>
        <v>0</v>
      </c>
    </row>
    <row r="198" spans="1:22">
      <c r="A198" s="225"/>
      <c r="B198" s="241"/>
      <c r="C198" s="225"/>
      <c r="D198" s="225"/>
      <c r="E198" s="242"/>
      <c r="F198" s="242"/>
      <c r="G198" s="243">
        <f t="shared" si="6"/>
        <v>2518.9699999999939</v>
      </c>
      <c r="H198" s="225"/>
      <c r="I198" s="243">
        <f>IF(Table334[[#This Row],[Category]]="Fall Product",Table334[[#This Row],[Account Deposit Amount]]-Table334[[#This Row],[Account Withdrawl Amount]], )</f>
        <v>0</v>
      </c>
      <c r="J198" s="243">
        <f>IF(Table334[[#This Row],[Category]]="Cookies",Table334[[#This Row],[Account Deposit Amount]]-Table334[[#This Row],[Account Withdrawl Amount]], )</f>
        <v>0</v>
      </c>
      <c r="K198" s="243">
        <f>IF(Table334[[#This Row],[Category]]="Additional Money Earning Activities",Table334[[#This Row],[Account Deposit Amount]]-Table334[[#This Row],[Account Withdrawl Amount]], )</f>
        <v>0</v>
      </c>
      <c r="L198" s="243">
        <f>IF(Table334[[#This Row],[Category]]="Sponsorships",Table334[[#This Row],[Account Deposit Amount]]-Table334[[#This Row],[Account Withdrawl Amount]], )</f>
        <v>0</v>
      </c>
      <c r="M198" s="243">
        <f>IF(Table334[[#This Row],[Category]]="Troop Dues",Table334[[#This Row],[Account Deposit Amount]]-Table334[[#This Row],[Account Withdrawl Amount]], )</f>
        <v>0</v>
      </c>
      <c r="N198" s="243">
        <f>IF(Table334[[#This Row],[Category]]="Other Income",Table334[[#This Row],[Account Deposit Amount]]-Table334[[#This Row],[Account Withdrawl Amount]], )</f>
        <v>0</v>
      </c>
      <c r="O198" s="243">
        <f>IF(Table334[[#This Row],[Category]]="Registration",Table334[[#This Row],[Account Deposit Amount]]-Table334[[#This Row],[Account Withdrawl Amount]], )</f>
        <v>0</v>
      </c>
      <c r="P198" s="243">
        <f>IF(Table334[[#This Row],[Category]]="Insignia",Table334[[#This Row],[Account Deposit Amount]]-Table334[[#This Row],[Account Withdrawl Amount]], )</f>
        <v>0</v>
      </c>
      <c r="Q198" s="243">
        <f>IF(Table334[[#This Row],[Category]]="Activities/Program",Table334[[#This Row],[Account Deposit Amount]]-Table334[[#This Row],[Account Withdrawl Amount]], )</f>
        <v>0</v>
      </c>
      <c r="R198" s="243">
        <f>IF(Table334[[#This Row],[Category]]="Travel",Table334[[#This Row],[Account Deposit Amount]]-Table334[[#This Row],[Account Withdrawl Amount]], )</f>
        <v>0</v>
      </c>
      <c r="S198" s="243">
        <f>IF(Table334[[#This Row],[Category]]="Parties Food &amp; Beverages",Table334[[#This Row],[Account Deposit Amount]]-Table334[[#This Row],[Account Withdrawl Amount]], )</f>
        <v>0</v>
      </c>
      <c r="T198" s="243">
        <f>IF(Table334[[#This Row],[Category]]="Service Projects Donation",Table334[[#This Row],[Account Deposit Amount]]-Table334[[#This Row],[Account Withdrawl Amount]], )</f>
        <v>0</v>
      </c>
      <c r="U198" s="243">
        <f>IF(Table334[[#This Row],[Category]]="Cookie Debt",Table334[[#This Row],[Account Deposit Amount]]-Table334[[#This Row],[Account Withdrawl Amount]], )</f>
        <v>0</v>
      </c>
      <c r="V198" s="243">
        <f>IF(Table334[[#This Row],[Category]]="Other Expense",Table334[[#This Row],[Account Deposit Amount]]-Table334[[#This Row],[Account Withdrawl Amount]], )</f>
        <v>0</v>
      </c>
    </row>
    <row r="199" spans="1:22">
      <c r="A199" s="225"/>
      <c r="B199" s="241"/>
      <c r="C199" s="225"/>
      <c r="D199" s="225"/>
      <c r="E199" s="242"/>
      <c r="F199" s="242"/>
      <c r="G199" s="243">
        <f t="shared" si="6"/>
        <v>2518.9699999999939</v>
      </c>
      <c r="H199" s="225"/>
      <c r="I199" s="243">
        <f>IF(Table334[[#This Row],[Category]]="Fall Product",Table334[[#This Row],[Account Deposit Amount]]-Table334[[#This Row],[Account Withdrawl Amount]], )</f>
        <v>0</v>
      </c>
      <c r="J199" s="243">
        <f>IF(Table334[[#This Row],[Category]]="Cookies",Table334[[#This Row],[Account Deposit Amount]]-Table334[[#This Row],[Account Withdrawl Amount]], )</f>
        <v>0</v>
      </c>
      <c r="K199" s="243">
        <f>IF(Table334[[#This Row],[Category]]="Additional Money Earning Activities",Table334[[#This Row],[Account Deposit Amount]]-Table334[[#This Row],[Account Withdrawl Amount]], )</f>
        <v>0</v>
      </c>
      <c r="L199" s="243">
        <f>IF(Table334[[#This Row],[Category]]="Sponsorships",Table334[[#This Row],[Account Deposit Amount]]-Table334[[#This Row],[Account Withdrawl Amount]], )</f>
        <v>0</v>
      </c>
      <c r="M199" s="243">
        <f>IF(Table334[[#This Row],[Category]]="Troop Dues",Table334[[#This Row],[Account Deposit Amount]]-Table334[[#This Row],[Account Withdrawl Amount]], )</f>
        <v>0</v>
      </c>
      <c r="N199" s="243">
        <f>IF(Table334[[#This Row],[Category]]="Other Income",Table334[[#This Row],[Account Deposit Amount]]-Table334[[#This Row],[Account Withdrawl Amount]], )</f>
        <v>0</v>
      </c>
      <c r="O199" s="243">
        <f>IF(Table334[[#This Row],[Category]]="Registration",Table334[[#This Row],[Account Deposit Amount]]-Table334[[#This Row],[Account Withdrawl Amount]], )</f>
        <v>0</v>
      </c>
      <c r="P199" s="243">
        <f>IF(Table334[[#This Row],[Category]]="Insignia",Table334[[#This Row],[Account Deposit Amount]]-Table334[[#This Row],[Account Withdrawl Amount]], )</f>
        <v>0</v>
      </c>
      <c r="Q199" s="243">
        <f>IF(Table334[[#This Row],[Category]]="Activities/Program",Table334[[#This Row],[Account Deposit Amount]]-Table334[[#This Row],[Account Withdrawl Amount]], )</f>
        <v>0</v>
      </c>
      <c r="R199" s="243">
        <f>IF(Table334[[#This Row],[Category]]="Travel",Table334[[#This Row],[Account Deposit Amount]]-Table334[[#This Row],[Account Withdrawl Amount]], )</f>
        <v>0</v>
      </c>
      <c r="S199" s="243">
        <f>IF(Table334[[#This Row],[Category]]="Parties Food &amp; Beverages",Table334[[#This Row],[Account Deposit Amount]]-Table334[[#This Row],[Account Withdrawl Amount]], )</f>
        <v>0</v>
      </c>
      <c r="T199" s="243">
        <f>IF(Table334[[#This Row],[Category]]="Service Projects Donation",Table334[[#This Row],[Account Deposit Amount]]-Table334[[#This Row],[Account Withdrawl Amount]], )</f>
        <v>0</v>
      </c>
      <c r="U199" s="243">
        <f>IF(Table334[[#This Row],[Category]]="Cookie Debt",Table334[[#This Row],[Account Deposit Amount]]-Table334[[#This Row],[Account Withdrawl Amount]], )</f>
        <v>0</v>
      </c>
      <c r="V199" s="243">
        <f>IF(Table334[[#This Row],[Category]]="Other Expense",Table334[[#This Row],[Account Deposit Amount]]-Table334[[#This Row],[Account Withdrawl Amount]], )</f>
        <v>0</v>
      </c>
    </row>
    <row r="200" spans="1:22">
      <c r="A200" s="225"/>
      <c r="B200" s="241"/>
      <c r="C200" s="225"/>
      <c r="D200" s="225"/>
      <c r="E200" s="242"/>
      <c r="F200" s="242"/>
      <c r="G200" s="243">
        <f t="shared" si="6"/>
        <v>2518.9699999999939</v>
      </c>
      <c r="H200" s="225"/>
      <c r="I200" s="243">
        <f>IF(Table334[[#This Row],[Category]]="Fall Product",Table334[[#This Row],[Account Deposit Amount]]-Table334[[#This Row],[Account Withdrawl Amount]], )</f>
        <v>0</v>
      </c>
      <c r="J200" s="243">
        <f>IF(Table334[[#This Row],[Category]]="Cookies",Table334[[#This Row],[Account Deposit Amount]]-Table334[[#This Row],[Account Withdrawl Amount]], )</f>
        <v>0</v>
      </c>
      <c r="K200" s="243">
        <f>IF(Table334[[#This Row],[Category]]="Additional Money Earning Activities",Table334[[#This Row],[Account Deposit Amount]]-Table334[[#This Row],[Account Withdrawl Amount]], )</f>
        <v>0</v>
      </c>
      <c r="L200" s="243">
        <f>IF(Table334[[#This Row],[Category]]="Sponsorships",Table334[[#This Row],[Account Deposit Amount]]-Table334[[#This Row],[Account Withdrawl Amount]], )</f>
        <v>0</v>
      </c>
      <c r="M200" s="243">
        <f>IF(Table334[[#This Row],[Category]]="Troop Dues",Table334[[#This Row],[Account Deposit Amount]]-Table334[[#This Row],[Account Withdrawl Amount]], )</f>
        <v>0</v>
      </c>
      <c r="N200" s="243">
        <f>IF(Table334[[#This Row],[Category]]="Other Income",Table334[[#This Row],[Account Deposit Amount]]-Table334[[#This Row],[Account Withdrawl Amount]], )</f>
        <v>0</v>
      </c>
      <c r="O200" s="243">
        <f>IF(Table334[[#This Row],[Category]]="Registration",Table334[[#This Row],[Account Deposit Amount]]-Table334[[#This Row],[Account Withdrawl Amount]], )</f>
        <v>0</v>
      </c>
      <c r="P200" s="243">
        <f>IF(Table334[[#This Row],[Category]]="Insignia",Table334[[#This Row],[Account Deposit Amount]]-Table334[[#This Row],[Account Withdrawl Amount]], )</f>
        <v>0</v>
      </c>
      <c r="Q200" s="243">
        <f>IF(Table334[[#This Row],[Category]]="Activities/Program",Table334[[#This Row],[Account Deposit Amount]]-Table334[[#This Row],[Account Withdrawl Amount]], )</f>
        <v>0</v>
      </c>
      <c r="R200" s="243">
        <f>IF(Table334[[#This Row],[Category]]="Travel",Table334[[#This Row],[Account Deposit Amount]]-Table334[[#This Row],[Account Withdrawl Amount]], )</f>
        <v>0</v>
      </c>
      <c r="S200" s="243">
        <f>IF(Table334[[#This Row],[Category]]="Parties Food &amp; Beverages",Table334[[#This Row],[Account Deposit Amount]]-Table334[[#This Row],[Account Withdrawl Amount]], )</f>
        <v>0</v>
      </c>
      <c r="T200" s="243">
        <f>IF(Table334[[#This Row],[Category]]="Service Projects Donation",Table334[[#This Row],[Account Deposit Amount]]-Table334[[#This Row],[Account Withdrawl Amount]], )</f>
        <v>0</v>
      </c>
      <c r="U200" s="243">
        <f>IF(Table334[[#This Row],[Category]]="Cookie Debt",Table334[[#This Row],[Account Deposit Amount]]-Table334[[#This Row],[Account Withdrawl Amount]], )</f>
        <v>0</v>
      </c>
      <c r="V200" s="243">
        <f>IF(Table334[[#This Row],[Category]]="Other Expense",Table334[[#This Row],[Account Deposit Amount]]-Table334[[#This Row],[Account Withdrawl Amount]], )</f>
        <v>0</v>
      </c>
    </row>
    <row r="201" spans="1:22">
      <c r="A201" s="225"/>
      <c r="B201" s="241"/>
      <c r="C201" s="225"/>
      <c r="D201" s="225"/>
      <c r="E201" s="242"/>
      <c r="F201" s="242"/>
      <c r="G201" s="243">
        <f t="shared" si="6"/>
        <v>2518.9699999999939</v>
      </c>
      <c r="H201" s="225"/>
      <c r="I201" s="243">
        <f>IF(Table334[[#This Row],[Category]]="Fall Product",Table334[[#This Row],[Account Deposit Amount]]-Table334[[#This Row],[Account Withdrawl Amount]], )</f>
        <v>0</v>
      </c>
      <c r="J201" s="243">
        <f>IF(Table334[[#This Row],[Category]]="Cookies",Table334[[#This Row],[Account Deposit Amount]]-Table334[[#This Row],[Account Withdrawl Amount]], )</f>
        <v>0</v>
      </c>
      <c r="K201" s="243">
        <f>IF(Table334[[#This Row],[Category]]="Additional Money Earning Activities",Table334[[#This Row],[Account Deposit Amount]]-Table334[[#This Row],[Account Withdrawl Amount]], )</f>
        <v>0</v>
      </c>
      <c r="L201" s="243">
        <f>IF(Table334[[#This Row],[Category]]="Sponsorships",Table334[[#This Row],[Account Deposit Amount]]-Table334[[#This Row],[Account Withdrawl Amount]], )</f>
        <v>0</v>
      </c>
      <c r="M201" s="243">
        <f>IF(Table334[[#This Row],[Category]]="Troop Dues",Table334[[#This Row],[Account Deposit Amount]]-Table334[[#This Row],[Account Withdrawl Amount]], )</f>
        <v>0</v>
      </c>
      <c r="N201" s="243">
        <f>IF(Table334[[#This Row],[Category]]="Other Income",Table334[[#This Row],[Account Deposit Amount]]-Table334[[#This Row],[Account Withdrawl Amount]], )</f>
        <v>0</v>
      </c>
      <c r="O201" s="243">
        <f>IF(Table334[[#This Row],[Category]]="Registration",Table334[[#This Row],[Account Deposit Amount]]-Table334[[#This Row],[Account Withdrawl Amount]], )</f>
        <v>0</v>
      </c>
      <c r="P201" s="243">
        <f>IF(Table334[[#This Row],[Category]]="Insignia",Table334[[#This Row],[Account Deposit Amount]]-Table334[[#This Row],[Account Withdrawl Amount]], )</f>
        <v>0</v>
      </c>
      <c r="Q201" s="243">
        <f>IF(Table334[[#This Row],[Category]]="Activities/Program",Table334[[#This Row],[Account Deposit Amount]]-Table334[[#This Row],[Account Withdrawl Amount]], )</f>
        <v>0</v>
      </c>
      <c r="R201" s="243">
        <f>IF(Table334[[#This Row],[Category]]="Travel",Table334[[#This Row],[Account Deposit Amount]]-Table334[[#This Row],[Account Withdrawl Amount]], )</f>
        <v>0</v>
      </c>
      <c r="S201" s="243">
        <f>IF(Table334[[#This Row],[Category]]="Parties Food &amp; Beverages",Table334[[#This Row],[Account Deposit Amount]]-Table334[[#This Row],[Account Withdrawl Amount]], )</f>
        <v>0</v>
      </c>
      <c r="T201" s="243">
        <f>IF(Table334[[#This Row],[Category]]="Service Projects Donation",Table334[[#This Row],[Account Deposit Amount]]-Table334[[#This Row],[Account Withdrawl Amount]], )</f>
        <v>0</v>
      </c>
      <c r="U201" s="243">
        <f>IF(Table334[[#This Row],[Category]]="Cookie Debt",Table334[[#This Row],[Account Deposit Amount]]-Table334[[#This Row],[Account Withdrawl Amount]], )</f>
        <v>0</v>
      </c>
      <c r="V201" s="243">
        <f>IF(Table334[[#This Row],[Category]]="Other Expense",Table334[[#This Row],[Account Deposit Amount]]-Table334[[#This Row],[Account Withdrawl Amount]], )</f>
        <v>0</v>
      </c>
    </row>
    <row r="202" spans="1:22">
      <c r="A202" s="225"/>
      <c r="B202" s="241"/>
      <c r="C202" s="225"/>
      <c r="D202" s="225"/>
      <c r="E202" s="242"/>
      <c r="F202" s="242"/>
      <c r="G202" s="243">
        <f t="shared" si="6"/>
        <v>2518.9699999999939</v>
      </c>
      <c r="H202" s="225"/>
      <c r="I202" s="243">
        <f>IF(Table334[[#This Row],[Category]]="Fall Product",Table334[[#This Row],[Account Deposit Amount]]-Table334[[#This Row],[Account Withdrawl Amount]], )</f>
        <v>0</v>
      </c>
      <c r="J202" s="243">
        <f>IF(Table334[[#This Row],[Category]]="Cookies",Table334[[#This Row],[Account Deposit Amount]]-Table334[[#This Row],[Account Withdrawl Amount]], )</f>
        <v>0</v>
      </c>
      <c r="K202" s="243">
        <f>IF(Table334[[#This Row],[Category]]="Additional Money Earning Activities",Table334[[#This Row],[Account Deposit Amount]]-Table334[[#This Row],[Account Withdrawl Amount]], )</f>
        <v>0</v>
      </c>
      <c r="L202" s="243">
        <f>IF(Table334[[#This Row],[Category]]="Sponsorships",Table334[[#This Row],[Account Deposit Amount]]-Table334[[#This Row],[Account Withdrawl Amount]], )</f>
        <v>0</v>
      </c>
      <c r="M202" s="243">
        <f>IF(Table334[[#This Row],[Category]]="Troop Dues",Table334[[#This Row],[Account Deposit Amount]]-Table334[[#This Row],[Account Withdrawl Amount]], )</f>
        <v>0</v>
      </c>
      <c r="N202" s="243">
        <f>IF(Table334[[#This Row],[Category]]="Other Income",Table334[[#This Row],[Account Deposit Amount]]-Table334[[#This Row],[Account Withdrawl Amount]], )</f>
        <v>0</v>
      </c>
      <c r="O202" s="243">
        <f>IF(Table334[[#This Row],[Category]]="Registration",Table334[[#This Row],[Account Deposit Amount]]-Table334[[#This Row],[Account Withdrawl Amount]], )</f>
        <v>0</v>
      </c>
      <c r="P202" s="243">
        <f>IF(Table334[[#This Row],[Category]]="Insignia",Table334[[#This Row],[Account Deposit Amount]]-Table334[[#This Row],[Account Withdrawl Amount]], )</f>
        <v>0</v>
      </c>
      <c r="Q202" s="243">
        <f>IF(Table334[[#This Row],[Category]]="Activities/Program",Table334[[#This Row],[Account Deposit Amount]]-Table334[[#This Row],[Account Withdrawl Amount]], )</f>
        <v>0</v>
      </c>
      <c r="R202" s="243">
        <f>IF(Table334[[#This Row],[Category]]="Travel",Table334[[#This Row],[Account Deposit Amount]]-Table334[[#This Row],[Account Withdrawl Amount]], )</f>
        <v>0</v>
      </c>
      <c r="S202" s="243">
        <f>IF(Table334[[#This Row],[Category]]="Parties Food &amp; Beverages",Table334[[#This Row],[Account Deposit Amount]]-Table334[[#This Row],[Account Withdrawl Amount]], )</f>
        <v>0</v>
      </c>
      <c r="T202" s="243">
        <f>IF(Table334[[#This Row],[Category]]="Service Projects Donation",Table334[[#This Row],[Account Deposit Amount]]-Table334[[#This Row],[Account Withdrawl Amount]], )</f>
        <v>0</v>
      </c>
      <c r="U202" s="243">
        <f>IF(Table334[[#This Row],[Category]]="Cookie Debt",Table334[[#This Row],[Account Deposit Amount]]-Table334[[#This Row],[Account Withdrawl Amount]], )</f>
        <v>0</v>
      </c>
      <c r="V202" s="243">
        <f>IF(Table334[[#This Row],[Category]]="Other Expense",Table334[[#This Row],[Account Deposit Amount]]-Table334[[#This Row],[Account Withdrawl Amount]], )</f>
        <v>0</v>
      </c>
    </row>
    <row r="203" spans="1:22">
      <c r="A203" s="225"/>
      <c r="B203" s="241"/>
      <c r="C203" s="225"/>
      <c r="D203" s="225"/>
      <c r="E203" s="242"/>
      <c r="F203" s="242"/>
      <c r="G203" s="243">
        <f t="shared" si="6"/>
        <v>2518.9699999999939</v>
      </c>
      <c r="H203" s="225"/>
      <c r="I203" s="243">
        <f>IF(Table334[[#This Row],[Category]]="Fall Product",Table334[[#This Row],[Account Deposit Amount]]-Table334[[#This Row],[Account Withdrawl Amount]], )</f>
        <v>0</v>
      </c>
      <c r="J203" s="243">
        <f>IF(Table334[[#This Row],[Category]]="Cookies",Table334[[#This Row],[Account Deposit Amount]]-Table334[[#This Row],[Account Withdrawl Amount]], )</f>
        <v>0</v>
      </c>
      <c r="K203" s="243">
        <f>IF(Table334[[#This Row],[Category]]="Additional Money Earning Activities",Table334[[#This Row],[Account Deposit Amount]]-Table334[[#This Row],[Account Withdrawl Amount]], )</f>
        <v>0</v>
      </c>
      <c r="L203" s="243">
        <f>IF(Table334[[#This Row],[Category]]="Sponsorships",Table334[[#This Row],[Account Deposit Amount]]-Table334[[#This Row],[Account Withdrawl Amount]], )</f>
        <v>0</v>
      </c>
      <c r="M203" s="243">
        <f>IF(Table334[[#This Row],[Category]]="Troop Dues",Table334[[#This Row],[Account Deposit Amount]]-Table334[[#This Row],[Account Withdrawl Amount]], )</f>
        <v>0</v>
      </c>
      <c r="N203" s="243">
        <f>IF(Table334[[#This Row],[Category]]="Other Income",Table334[[#This Row],[Account Deposit Amount]]-Table334[[#This Row],[Account Withdrawl Amount]], )</f>
        <v>0</v>
      </c>
      <c r="O203" s="243">
        <f>IF(Table334[[#This Row],[Category]]="Registration",Table334[[#This Row],[Account Deposit Amount]]-Table334[[#This Row],[Account Withdrawl Amount]], )</f>
        <v>0</v>
      </c>
      <c r="P203" s="243">
        <f>IF(Table334[[#This Row],[Category]]="Insignia",Table334[[#This Row],[Account Deposit Amount]]-Table334[[#This Row],[Account Withdrawl Amount]], )</f>
        <v>0</v>
      </c>
      <c r="Q203" s="243">
        <f>IF(Table334[[#This Row],[Category]]="Activities/Program",Table334[[#This Row],[Account Deposit Amount]]-Table334[[#This Row],[Account Withdrawl Amount]], )</f>
        <v>0</v>
      </c>
      <c r="R203" s="243">
        <f>IF(Table334[[#This Row],[Category]]="Travel",Table334[[#This Row],[Account Deposit Amount]]-Table334[[#This Row],[Account Withdrawl Amount]], )</f>
        <v>0</v>
      </c>
      <c r="S203" s="243">
        <f>IF(Table334[[#This Row],[Category]]="Parties Food &amp; Beverages",Table334[[#This Row],[Account Deposit Amount]]-Table334[[#This Row],[Account Withdrawl Amount]], )</f>
        <v>0</v>
      </c>
      <c r="T203" s="243">
        <f>IF(Table334[[#This Row],[Category]]="Service Projects Donation",Table334[[#This Row],[Account Deposit Amount]]-Table334[[#This Row],[Account Withdrawl Amount]], )</f>
        <v>0</v>
      </c>
      <c r="U203" s="243">
        <f>IF(Table334[[#This Row],[Category]]="Cookie Debt",Table334[[#This Row],[Account Deposit Amount]]-Table334[[#This Row],[Account Withdrawl Amount]], )</f>
        <v>0</v>
      </c>
      <c r="V203" s="243">
        <f>IF(Table334[[#This Row],[Category]]="Other Expense",Table334[[#This Row],[Account Deposit Amount]]-Table334[[#This Row],[Account Withdrawl Amount]], )</f>
        <v>0</v>
      </c>
    </row>
    <row r="204" spans="1:22">
      <c r="A204" s="225"/>
      <c r="B204" s="241"/>
      <c r="C204" s="225"/>
      <c r="D204" s="225"/>
      <c r="E204" s="242"/>
      <c r="F204" s="242"/>
      <c r="G204" s="243">
        <f t="shared" si="6"/>
        <v>2518.9699999999939</v>
      </c>
      <c r="H204" s="225"/>
      <c r="I204" s="243">
        <f>IF(Table334[[#This Row],[Category]]="Fall Product",Table334[[#This Row],[Account Deposit Amount]]-Table334[[#This Row],[Account Withdrawl Amount]], )</f>
        <v>0</v>
      </c>
      <c r="J204" s="243">
        <f>IF(Table334[[#This Row],[Category]]="Cookies",Table334[[#This Row],[Account Deposit Amount]]-Table334[[#This Row],[Account Withdrawl Amount]], )</f>
        <v>0</v>
      </c>
      <c r="K204" s="243">
        <f>IF(Table334[[#This Row],[Category]]="Additional Money Earning Activities",Table334[[#This Row],[Account Deposit Amount]]-Table334[[#This Row],[Account Withdrawl Amount]], )</f>
        <v>0</v>
      </c>
      <c r="L204" s="243">
        <f>IF(Table334[[#This Row],[Category]]="Sponsorships",Table334[[#This Row],[Account Deposit Amount]]-Table334[[#This Row],[Account Withdrawl Amount]], )</f>
        <v>0</v>
      </c>
      <c r="M204" s="243">
        <f>IF(Table334[[#This Row],[Category]]="Troop Dues",Table334[[#This Row],[Account Deposit Amount]]-Table334[[#This Row],[Account Withdrawl Amount]], )</f>
        <v>0</v>
      </c>
      <c r="N204" s="243">
        <f>IF(Table334[[#This Row],[Category]]="Other Income",Table334[[#This Row],[Account Deposit Amount]]-Table334[[#This Row],[Account Withdrawl Amount]], )</f>
        <v>0</v>
      </c>
      <c r="O204" s="243">
        <f>IF(Table334[[#This Row],[Category]]="Registration",Table334[[#This Row],[Account Deposit Amount]]-Table334[[#This Row],[Account Withdrawl Amount]], )</f>
        <v>0</v>
      </c>
      <c r="P204" s="243">
        <f>IF(Table334[[#This Row],[Category]]="Insignia",Table334[[#This Row],[Account Deposit Amount]]-Table334[[#This Row],[Account Withdrawl Amount]], )</f>
        <v>0</v>
      </c>
      <c r="Q204" s="243">
        <f>IF(Table334[[#This Row],[Category]]="Activities/Program",Table334[[#This Row],[Account Deposit Amount]]-Table334[[#This Row],[Account Withdrawl Amount]], )</f>
        <v>0</v>
      </c>
      <c r="R204" s="243">
        <f>IF(Table334[[#This Row],[Category]]="Travel",Table334[[#This Row],[Account Deposit Amount]]-Table334[[#This Row],[Account Withdrawl Amount]], )</f>
        <v>0</v>
      </c>
      <c r="S204" s="243">
        <f>IF(Table334[[#This Row],[Category]]="Parties Food &amp; Beverages",Table334[[#This Row],[Account Deposit Amount]]-Table334[[#This Row],[Account Withdrawl Amount]], )</f>
        <v>0</v>
      </c>
      <c r="T204" s="243">
        <f>IF(Table334[[#This Row],[Category]]="Service Projects Donation",Table334[[#This Row],[Account Deposit Amount]]-Table334[[#This Row],[Account Withdrawl Amount]], )</f>
        <v>0</v>
      </c>
      <c r="U204" s="243">
        <f>IF(Table334[[#This Row],[Category]]="Cookie Debt",Table334[[#This Row],[Account Deposit Amount]]-Table334[[#This Row],[Account Withdrawl Amount]], )</f>
        <v>0</v>
      </c>
      <c r="V204" s="243">
        <f>IF(Table334[[#This Row],[Category]]="Other Expense",Table334[[#This Row],[Account Deposit Amount]]-Table334[[#This Row],[Account Withdrawl Amount]], )</f>
        <v>0</v>
      </c>
    </row>
    <row r="205" spans="1:22">
      <c r="A205" s="225"/>
      <c r="B205" s="241"/>
      <c r="C205" s="225"/>
      <c r="D205" s="225"/>
      <c r="E205" s="242"/>
      <c r="F205" s="242"/>
      <c r="G205" s="243">
        <f t="shared" si="6"/>
        <v>2518.9699999999939</v>
      </c>
      <c r="H205" s="225"/>
      <c r="I205" s="243">
        <f>IF(Table334[[#This Row],[Category]]="Fall Product",Table334[[#This Row],[Account Deposit Amount]]-Table334[[#This Row],[Account Withdrawl Amount]], )</f>
        <v>0</v>
      </c>
      <c r="J205" s="243">
        <f>IF(Table334[[#This Row],[Category]]="Cookies",Table334[[#This Row],[Account Deposit Amount]]-Table334[[#This Row],[Account Withdrawl Amount]], )</f>
        <v>0</v>
      </c>
      <c r="K205" s="243">
        <f>IF(Table334[[#This Row],[Category]]="Additional Money Earning Activities",Table334[[#This Row],[Account Deposit Amount]]-Table334[[#This Row],[Account Withdrawl Amount]], )</f>
        <v>0</v>
      </c>
      <c r="L205" s="243">
        <f>IF(Table334[[#This Row],[Category]]="Sponsorships",Table334[[#This Row],[Account Deposit Amount]]-Table334[[#This Row],[Account Withdrawl Amount]], )</f>
        <v>0</v>
      </c>
      <c r="M205" s="243">
        <f>IF(Table334[[#This Row],[Category]]="Troop Dues",Table334[[#This Row],[Account Deposit Amount]]-Table334[[#This Row],[Account Withdrawl Amount]], )</f>
        <v>0</v>
      </c>
      <c r="N205" s="243">
        <f>IF(Table334[[#This Row],[Category]]="Other Income",Table334[[#This Row],[Account Deposit Amount]]-Table334[[#This Row],[Account Withdrawl Amount]], )</f>
        <v>0</v>
      </c>
      <c r="O205" s="243">
        <f>IF(Table334[[#This Row],[Category]]="Registration",Table334[[#This Row],[Account Deposit Amount]]-Table334[[#This Row],[Account Withdrawl Amount]], )</f>
        <v>0</v>
      </c>
      <c r="P205" s="243">
        <f>IF(Table334[[#This Row],[Category]]="Insignia",Table334[[#This Row],[Account Deposit Amount]]-Table334[[#This Row],[Account Withdrawl Amount]], )</f>
        <v>0</v>
      </c>
      <c r="Q205" s="243">
        <f>IF(Table334[[#This Row],[Category]]="Activities/Program",Table334[[#This Row],[Account Deposit Amount]]-Table334[[#This Row],[Account Withdrawl Amount]], )</f>
        <v>0</v>
      </c>
      <c r="R205" s="243">
        <f>IF(Table334[[#This Row],[Category]]="Travel",Table334[[#This Row],[Account Deposit Amount]]-Table334[[#This Row],[Account Withdrawl Amount]], )</f>
        <v>0</v>
      </c>
      <c r="S205" s="243">
        <f>IF(Table334[[#This Row],[Category]]="Parties Food &amp; Beverages",Table334[[#This Row],[Account Deposit Amount]]-Table334[[#This Row],[Account Withdrawl Amount]], )</f>
        <v>0</v>
      </c>
      <c r="T205" s="243">
        <f>IF(Table334[[#This Row],[Category]]="Service Projects Donation",Table334[[#This Row],[Account Deposit Amount]]-Table334[[#This Row],[Account Withdrawl Amount]], )</f>
        <v>0</v>
      </c>
      <c r="U205" s="243">
        <f>IF(Table334[[#This Row],[Category]]="Cookie Debt",Table334[[#This Row],[Account Deposit Amount]]-Table334[[#This Row],[Account Withdrawl Amount]], )</f>
        <v>0</v>
      </c>
      <c r="V205" s="243">
        <f>IF(Table334[[#This Row],[Category]]="Other Expense",Table334[[#This Row],[Account Deposit Amount]]-Table334[[#This Row],[Account Withdrawl Amount]], )</f>
        <v>0</v>
      </c>
    </row>
    <row r="206" spans="1:22">
      <c r="A206" s="225"/>
      <c r="B206" s="241"/>
      <c r="C206" s="225"/>
      <c r="D206" s="225"/>
      <c r="E206" s="242"/>
      <c r="F206" s="242"/>
      <c r="G206" s="243">
        <f t="shared" si="6"/>
        <v>2518.9699999999939</v>
      </c>
      <c r="H206" s="225"/>
      <c r="I206" s="243">
        <f>IF(Table334[[#This Row],[Category]]="Fall Product",Table334[[#This Row],[Account Deposit Amount]]-Table334[[#This Row],[Account Withdrawl Amount]], )</f>
        <v>0</v>
      </c>
      <c r="J206" s="243">
        <f>IF(Table334[[#This Row],[Category]]="Cookies",Table334[[#This Row],[Account Deposit Amount]]-Table334[[#This Row],[Account Withdrawl Amount]], )</f>
        <v>0</v>
      </c>
      <c r="K206" s="243">
        <f>IF(Table334[[#This Row],[Category]]="Additional Money Earning Activities",Table334[[#This Row],[Account Deposit Amount]]-Table334[[#This Row],[Account Withdrawl Amount]], )</f>
        <v>0</v>
      </c>
      <c r="L206" s="243">
        <f>IF(Table334[[#This Row],[Category]]="Sponsorships",Table334[[#This Row],[Account Deposit Amount]]-Table334[[#This Row],[Account Withdrawl Amount]], )</f>
        <v>0</v>
      </c>
      <c r="M206" s="243">
        <f>IF(Table334[[#This Row],[Category]]="Troop Dues",Table334[[#This Row],[Account Deposit Amount]]-Table334[[#This Row],[Account Withdrawl Amount]], )</f>
        <v>0</v>
      </c>
      <c r="N206" s="243">
        <f>IF(Table334[[#This Row],[Category]]="Other Income",Table334[[#This Row],[Account Deposit Amount]]-Table334[[#This Row],[Account Withdrawl Amount]], )</f>
        <v>0</v>
      </c>
      <c r="O206" s="243">
        <f>IF(Table334[[#This Row],[Category]]="Registration",Table334[[#This Row],[Account Deposit Amount]]-Table334[[#This Row],[Account Withdrawl Amount]], )</f>
        <v>0</v>
      </c>
      <c r="P206" s="243">
        <f>IF(Table334[[#This Row],[Category]]="Insignia",Table334[[#This Row],[Account Deposit Amount]]-Table334[[#This Row],[Account Withdrawl Amount]], )</f>
        <v>0</v>
      </c>
      <c r="Q206" s="243">
        <f>IF(Table334[[#This Row],[Category]]="Activities/Program",Table334[[#This Row],[Account Deposit Amount]]-Table334[[#This Row],[Account Withdrawl Amount]], )</f>
        <v>0</v>
      </c>
      <c r="R206" s="243">
        <f>IF(Table334[[#This Row],[Category]]="Travel",Table334[[#This Row],[Account Deposit Amount]]-Table334[[#This Row],[Account Withdrawl Amount]], )</f>
        <v>0</v>
      </c>
      <c r="S206" s="243">
        <f>IF(Table334[[#This Row],[Category]]="Parties Food &amp; Beverages",Table334[[#This Row],[Account Deposit Amount]]-Table334[[#This Row],[Account Withdrawl Amount]], )</f>
        <v>0</v>
      </c>
      <c r="T206" s="243">
        <f>IF(Table334[[#This Row],[Category]]="Service Projects Donation",Table334[[#This Row],[Account Deposit Amount]]-Table334[[#This Row],[Account Withdrawl Amount]], )</f>
        <v>0</v>
      </c>
      <c r="U206" s="243">
        <f>IF(Table334[[#This Row],[Category]]="Cookie Debt",Table334[[#This Row],[Account Deposit Amount]]-Table334[[#This Row],[Account Withdrawl Amount]], )</f>
        <v>0</v>
      </c>
      <c r="V206" s="243">
        <f>IF(Table334[[#This Row],[Category]]="Other Expense",Table334[[#This Row],[Account Deposit Amount]]-Table334[[#This Row],[Account Withdrawl Amount]], )</f>
        <v>0</v>
      </c>
    </row>
    <row r="207" spans="1:22">
      <c r="A207" s="225"/>
      <c r="B207" s="241"/>
      <c r="C207" s="225"/>
      <c r="D207" s="225"/>
      <c r="E207" s="242"/>
      <c r="F207" s="242"/>
      <c r="G207" s="243">
        <f t="shared" si="6"/>
        <v>2518.9699999999939</v>
      </c>
      <c r="H207" s="225"/>
      <c r="I207" s="243">
        <f>IF(Table334[[#This Row],[Category]]="Fall Product",Table334[[#This Row],[Account Deposit Amount]]-Table334[[#This Row],[Account Withdrawl Amount]], )</f>
        <v>0</v>
      </c>
      <c r="J207" s="243">
        <f>IF(Table334[[#This Row],[Category]]="Cookies",Table334[[#This Row],[Account Deposit Amount]]-Table334[[#This Row],[Account Withdrawl Amount]], )</f>
        <v>0</v>
      </c>
      <c r="K207" s="243">
        <f>IF(Table334[[#This Row],[Category]]="Additional Money Earning Activities",Table334[[#This Row],[Account Deposit Amount]]-Table334[[#This Row],[Account Withdrawl Amount]], )</f>
        <v>0</v>
      </c>
      <c r="L207" s="243">
        <f>IF(Table334[[#This Row],[Category]]="Sponsorships",Table334[[#This Row],[Account Deposit Amount]]-Table334[[#This Row],[Account Withdrawl Amount]], )</f>
        <v>0</v>
      </c>
      <c r="M207" s="243">
        <f>IF(Table334[[#This Row],[Category]]="Troop Dues",Table334[[#This Row],[Account Deposit Amount]]-Table334[[#This Row],[Account Withdrawl Amount]], )</f>
        <v>0</v>
      </c>
      <c r="N207" s="243">
        <f>IF(Table334[[#This Row],[Category]]="Other Income",Table334[[#This Row],[Account Deposit Amount]]-Table334[[#This Row],[Account Withdrawl Amount]], )</f>
        <v>0</v>
      </c>
      <c r="O207" s="243">
        <f>IF(Table334[[#This Row],[Category]]="Registration",Table334[[#This Row],[Account Deposit Amount]]-Table334[[#This Row],[Account Withdrawl Amount]], )</f>
        <v>0</v>
      </c>
      <c r="P207" s="243">
        <f>IF(Table334[[#This Row],[Category]]="Insignia",Table334[[#This Row],[Account Deposit Amount]]-Table334[[#This Row],[Account Withdrawl Amount]], )</f>
        <v>0</v>
      </c>
      <c r="Q207" s="243">
        <f>IF(Table334[[#This Row],[Category]]="Activities/Program",Table334[[#This Row],[Account Deposit Amount]]-Table334[[#This Row],[Account Withdrawl Amount]], )</f>
        <v>0</v>
      </c>
      <c r="R207" s="243">
        <f>IF(Table334[[#This Row],[Category]]="Travel",Table334[[#This Row],[Account Deposit Amount]]-Table334[[#This Row],[Account Withdrawl Amount]], )</f>
        <v>0</v>
      </c>
      <c r="S207" s="243">
        <f>IF(Table334[[#This Row],[Category]]="Parties Food &amp; Beverages",Table334[[#This Row],[Account Deposit Amount]]-Table334[[#This Row],[Account Withdrawl Amount]], )</f>
        <v>0</v>
      </c>
      <c r="T207" s="243">
        <f>IF(Table334[[#This Row],[Category]]="Service Projects Donation",Table334[[#This Row],[Account Deposit Amount]]-Table334[[#This Row],[Account Withdrawl Amount]], )</f>
        <v>0</v>
      </c>
      <c r="U207" s="243">
        <f>IF(Table334[[#This Row],[Category]]="Cookie Debt",Table334[[#This Row],[Account Deposit Amount]]-Table334[[#This Row],[Account Withdrawl Amount]], )</f>
        <v>0</v>
      </c>
      <c r="V207" s="243">
        <f>IF(Table334[[#This Row],[Category]]="Other Expense",Table334[[#This Row],[Account Deposit Amount]]-Table334[[#This Row],[Account Withdrawl Amount]], )</f>
        <v>0</v>
      </c>
    </row>
    <row r="208" spans="1:22">
      <c r="A208" s="225"/>
      <c r="B208" s="241"/>
      <c r="C208" s="225"/>
      <c r="D208" s="225"/>
      <c r="E208" s="242"/>
      <c r="F208" s="242"/>
      <c r="G208" s="243">
        <f t="shared" si="6"/>
        <v>2518.9699999999939</v>
      </c>
      <c r="H208" s="225"/>
      <c r="I208" s="243">
        <f>IF(Table334[[#This Row],[Category]]="Fall Product",Table334[[#This Row],[Account Deposit Amount]]-Table334[[#This Row],[Account Withdrawl Amount]], )</f>
        <v>0</v>
      </c>
      <c r="J208" s="243">
        <f>IF(Table334[[#This Row],[Category]]="Cookies",Table334[[#This Row],[Account Deposit Amount]]-Table334[[#This Row],[Account Withdrawl Amount]], )</f>
        <v>0</v>
      </c>
      <c r="K208" s="243">
        <f>IF(Table334[[#This Row],[Category]]="Additional Money Earning Activities",Table334[[#This Row],[Account Deposit Amount]]-Table334[[#This Row],[Account Withdrawl Amount]], )</f>
        <v>0</v>
      </c>
      <c r="L208" s="243">
        <f>IF(Table334[[#This Row],[Category]]="Sponsorships",Table334[[#This Row],[Account Deposit Amount]]-Table334[[#This Row],[Account Withdrawl Amount]], )</f>
        <v>0</v>
      </c>
      <c r="M208" s="243">
        <f>IF(Table334[[#This Row],[Category]]="Troop Dues",Table334[[#This Row],[Account Deposit Amount]]-Table334[[#This Row],[Account Withdrawl Amount]], )</f>
        <v>0</v>
      </c>
      <c r="N208" s="243">
        <f>IF(Table334[[#This Row],[Category]]="Other Income",Table334[[#This Row],[Account Deposit Amount]]-Table334[[#This Row],[Account Withdrawl Amount]], )</f>
        <v>0</v>
      </c>
      <c r="O208" s="243">
        <f>IF(Table334[[#This Row],[Category]]="Registration",Table334[[#This Row],[Account Deposit Amount]]-Table334[[#This Row],[Account Withdrawl Amount]], )</f>
        <v>0</v>
      </c>
      <c r="P208" s="243">
        <f>IF(Table334[[#This Row],[Category]]="Insignia",Table334[[#This Row],[Account Deposit Amount]]-Table334[[#This Row],[Account Withdrawl Amount]], )</f>
        <v>0</v>
      </c>
      <c r="Q208" s="243">
        <f>IF(Table334[[#This Row],[Category]]="Activities/Program",Table334[[#This Row],[Account Deposit Amount]]-Table334[[#This Row],[Account Withdrawl Amount]], )</f>
        <v>0</v>
      </c>
      <c r="R208" s="243">
        <f>IF(Table334[[#This Row],[Category]]="Travel",Table334[[#This Row],[Account Deposit Amount]]-Table334[[#This Row],[Account Withdrawl Amount]], )</f>
        <v>0</v>
      </c>
      <c r="S208" s="243">
        <f>IF(Table334[[#This Row],[Category]]="Parties Food &amp; Beverages",Table334[[#This Row],[Account Deposit Amount]]-Table334[[#This Row],[Account Withdrawl Amount]], )</f>
        <v>0</v>
      </c>
      <c r="T208" s="243">
        <f>IF(Table334[[#This Row],[Category]]="Service Projects Donation",Table334[[#This Row],[Account Deposit Amount]]-Table334[[#This Row],[Account Withdrawl Amount]], )</f>
        <v>0</v>
      </c>
      <c r="U208" s="243">
        <f>IF(Table334[[#This Row],[Category]]="Cookie Debt",Table334[[#This Row],[Account Deposit Amount]]-Table334[[#This Row],[Account Withdrawl Amount]], )</f>
        <v>0</v>
      </c>
      <c r="V208" s="243">
        <f>IF(Table334[[#This Row],[Category]]="Other Expense",Table334[[#This Row],[Account Deposit Amount]]-Table334[[#This Row],[Account Withdrawl Amount]], )</f>
        <v>0</v>
      </c>
    </row>
    <row r="209" spans="1:22">
      <c r="A209" s="225"/>
      <c r="B209" s="241"/>
      <c r="C209" s="225"/>
      <c r="D209" s="225"/>
      <c r="E209" s="242"/>
      <c r="F209" s="242"/>
      <c r="G209" s="243">
        <f t="shared" si="6"/>
        <v>2518.9699999999939</v>
      </c>
      <c r="H209" s="225"/>
      <c r="I209" s="243">
        <f>IF(Table334[[#This Row],[Category]]="Fall Product",Table334[[#This Row],[Account Deposit Amount]]-Table334[[#This Row],[Account Withdrawl Amount]], )</f>
        <v>0</v>
      </c>
      <c r="J209" s="243">
        <f>IF(Table334[[#This Row],[Category]]="Cookies",Table334[[#This Row],[Account Deposit Amount]]-Table334[[#This Row],[Account Withdrawl Amount]], )</f>
        <v>0</v>
      </c>
      <c r="K209" s="243">
        <f>IF(Table334[[#This Row],[Category]]="Additional Money Earning Activities",Table334[[#This Row],[Account Deposit Amount]]-Table334[[#This Row],[Account Withdrawl Amount]], )</f>
        <v>0</v>
      </c>
      <c r="L209" s="243">
        <f>IF(Table334[[#This Row],[Category]]="Sponsorships",Table334[[#This Row],[Account Deposit Amount]]-Table334[[#This Row],[Account Withdrawl Amount]], )</f>
        <v>0</v>
      </c>
      <c r="M209" s="243">
        <f>IF(Table334[[#This Row],[Category]]="Troop Dues",Table334[[#This Row],[Account Deposit Amount]]-Table334[[#This Row],[Account Withdrawl Amount]], )</f>
        <v>0</v>
      </c>
      <c r="N209" s="243">
        <f>IF(Table334[[#This Row],[Category]]="Other Income",Table334[[#This Row],[Account Deposit Amount]]-Table334[[#This Row],[Account Withdrawl Amount]], )</f>
        <v>0</v>
      </c>
      <c r="O209" s="243">
        <f>IF(Table334[[#This Row],[Category]]="Registration",Table334[[#This Row],[Account Deposit Amount]]-Table334[[#This Row],[Account Withdrawl Amount]], )</f>
        <v>0</v>
      </c>
      <c r="P209" s="243">
        <f>IF(Table334[[#This Row],[Category]]="Insignia",Table334[[#This Row],[Account Deposit Amount]]-Table334[[#This Row],[Account Withdrawl Amount]], )</f>
        <v>0</v>
      </c>
      <c r="Q209" s="243">
        <f>IF(Table334[[#This Row],[Category]]="Activities/Program",Table334[[#This Row],[Account Deposit Amount]]-Table334[[#This Row],[Account Withdrawl Amount]], )</f>
        <v>0</v>
      </c>
      <c r="R209" s="243">
        <f>IF(Table334[[#This Row],[Category]]="Travel",Table334[[#This Row],[Account Deposit Amount]]-Table334[[#This Row],[Account Withdrawl Amount]], )</f>
        <v>0</v>
      </c>
      <c r="S209" s="243">
        <f>IF(Table334[[#This Row],[Category]]="Parties Food &amp; Beverages",Table334[[#This Row],[Account Deposit Amount]]-Table334[[#This Row],[Account Withdrawl Amount]], )</f>
        <v>0</v>
      </c>
      <c r="T209" s="243">
        <f>IF(Table334[[#This Row],[Category]]="Service Projects Donation",Table334[[#This Row],[Account Deposit Amount]]-Table334[[#This Row],[Account Withdrawl Amount]], )</f>
        <v>0</v>
      </c>
      <c r="U209" s="243">
        <f>IF(Table334[[#This Row],[Category]]="Cookie Debt",Table334[[#This Row],[Account Deposit Amount]]-Table334[[#This Row],[Account Withdrawl Amount]], )</f>
        <v>0</v>
      </c>
      <c r="V209" s="243">
        <f>IF(Table334[[#This Row],[Category]]="Other Expense",Table334[[#This Row],[Account Deposit Amount]]-Table334[[#This Row],[Account Withdrawl Amount]], )</f>
        <v>0</v>
      </c>
    </row>
    <row r="210" spans="1:22">
      <c r="A210" s="225"/>
      <c r="B210" s="241"/>
      <c r="C210" s="225"/>
      <c r="D210" s="225"/>
      <c r="E210" s="242"/>
      <c r="F210" s="242"/>
      <c r="G210" s="243">
        <f t="shared" si="6"/>
        <v>2518.9699999999939</v>
      </c>
      <c r="H210" s="225"/>
      <c r="I210" s="243">
        <f>IF(Table334[[#This Row],[Category]]="Fall Product",Table334[[#This Row],[Account Deposit Amount]]-Table334[[#This Row],[Account Withdrawl Amount]], )</f>
        <v>0</v>
      </c>
      <c r="J210" s="243">
        <f>IF(Table334[[#This Row],[Category]]="Cookies",Table334[[#This Row],[Account Deposit Amount]]-Table334[[#This Row],[Account Withdrawl Amount]], )</f>
        <v>0</v>
      </c>
      <c r="K210" s="243">
        <f>IF(Table334[[#This Row],[Category]]="Additional Money Earning Activities",Table334[[#This Row],[Account Deposit Amount]]-Table334[[#This Row],[Account Withdrawl Amount]], )</f>
        <v>0</v>
      </c>
      <c r="L210" s="243">
        <f>IF(Table334[[#This Row],[Category]]="Sponsorships",Table334[[#This Row],[Account Deposit Amount]]-Table334[[#This Row],[Account Withdrawl Amount]], )</f>
        <v>0</v>
      </c>
      <c r="M210" s="243">
        <f>IF(Table334[[#This Row],[Category]]="Troop Dues",Table334[[#This Row],[Account Deposit Amount]]-Table334[[#This Row],[Account Withdrawl Amount]], )</f>
        <v>0</v>
      </c>
      <c r="N210" s="243">
        <f>IF(Table334[[#This Row],[Category]]="Other Income",Table334[[#This Row],[Account Deposit Amount]]-Table334[[#This Row],[Account Withdrawl Amount]], )</f>
        <v>0</v>
      </c>
      <c r="O210" s="243">
        <f>IF(Table334[[#This Row],[Category]]="Registration",Table334[[#This Row],[Account Deposit Amount]]-Table334[[#This Row],[Account Withdrawl Amount]], )</f>
        <v>0</v>
      </c>
      <c r="P210" s="243">
        <f>IF(Table334[[#This Row],[Category]]="Insignia",Table334[[#This Row],[Account Deposit Amount]]-Table334[[#This Row],[Account Withdrawl Amount]], )</f>
        <v>0</v>
      </c>
      <c r="Q210" s="243">
        <f>IF(Table334[[#This Row],[Category]]="Activities/Program",Table334[[#This Row],[Account Deposit Amount]]-Table334[[#This Row],[Account Withdrawl Amount]], )</f>
        <v>0</v>
      </c>
      <c r="R210" s="243">
        <f>IF(Table334[[#This Row],[Category]]="Travel",Table334[[#This Row],[Account Deposit Amount]]-Table334[[#This Row],[Account Withdrawl Amount]], )</f>
        <v>0</v>
      </c>
      <c r="S210" s="243">
        <f>IF(Table334[[#This Row],[Category]]="Parties Food &amp; Beverages",Table334[[#This Row],[Account Deposit Amount]]-Table334[[#This Row],[Account Withdrawl Amount]], )</f>
        <v>0</v>
      </c>
      <c r="T210" s="243">
        <f>IF(Table334[[#This Row],[Category]]="Service Projects Donation",Table334[[#This Row],[Account Deposit Amount]]-Table334[[#This Row],[Account Withdrawl Amount]], )</f>
        <v>0</v>
      </c>
      <c r="U210" s="243">
        <f>IF(Table334[[#This Row],[Category]]="Cookie Debt",Table334[[#This Row],[Account Deposit Amount]]-Table334[[#This Row],[Account Withdrawl Amount]], )</f>
        <v>0</v>
      </c>
      <c r="V210" s="243">
        <f>IF(Table334[[#This Row],[Category]]="Other Expense",Table334[[#This Row],[Account Deposit Amount]]-Table334[[#This Row],[Account Withdrawl Amount]], )</f>
        <v>0</v>
      </c>
    </row>
    <row r="211" spans="1:22">
      <c r="A211" s="225"/>
      <c r="B211" s="241"/>
      <c r="C211" s="225"/>
      <c r="D211" s="225"/>
      <c r="E211" s="242"/>
      <c r="F211" s="242"/>
      <c r="G211" s="243">
        <f t="shared" si="6"/>
        <v>2518.9699999999939</v>
      </c>
      <c r="H211" s="225"/>
      <c r="I211" s="243">
        <f>IF(Table334[[#This Row],[Category]]="Fall Product",Table334[[#This Row],[Account Deposit Amount]]-Table334[[#This Row],[Account Withdrawl Amount]], )</f>
        <v>0</v>
      </c>
      <c r="J211" s="243">
        <f>IF(Table334[[#This Row],[Category]]="Cookies",Table334[[#This Row],[Account Deposit Amount]]-Table334[[#This Row],[Account Withdrawl Amount]], )</f>
        <v>0</v>
      </c>
      <c r="K211" s="243">
        <f>IF(Table334[[#This Row],[Category]]="Additional Money Earning Activities",Table334[[#This Row],[Account Deposit Amount]]-Table334[[#This Row],[Account Withdrawl Amount]], )</f>
        <v>0</v>
      </c>
      <c r="L211" s="243">
        <f>IF(Table334[[#This Row],[Category]]="Sponsorships",Table334[[#This Row],[Account Deposit Amount]]-Table334[[#This Row],[Account Withdrawl Amount]], )</f>
        <v>0</v>
      </c>
      <c r="M211" s="243">
        <f>IF(Table334[[#This Row],[Category]]="Troop Dues",Table334[[#This Row],[Account Deposit Amount]]-Table334[[#This Row],[Account Withdrawl Amount]], )</f>
        <v>0</v>
      </c>
      <c r="N211" s="243">
        <f>IF(Table334[[#This Row],[Category]]="Other Income",Table334[[#This Row],[Account Deposit Amount]]-Table334[[#This Row],[Account Withdrawl Amount]], )</f>
        <v>0</v>
      </c>
      <c r="O211" s="243">
        <f>IF(Table334[[#This Row],[Category]]="Registration",Table334[[#This Row],[Account Deposit Amount]]-Table334[[#This Row],[Account Withdrawl Amount]], )</f>
        <v>0</v>
      </c>
      <c r="P211" s="243">
        <f>IF(Table334[[#This Row],[Category]]="Insignia",Table334[[#This Row],[Account Deposit Amount]]-Table334[[#This Row],[Account Withdrawl Amount]], )</f>
        <v>0</v>
      </c>
      <c r="Q211" s="243">
        <f>IF(Table334[[#This Row],[Category]]="Activities/Program",Table334[[#This Row],[Account Deposit Amount]]-Table334[[#This Row],[Account Withdrawl Amount]], )</f>
        <v>0</v>
      </c>
      <c r="R211" s="243">
        <f>IF(Table334[[#This Row],[Category]]="Travel",Table334[[#This Row],[Account Deposit Amount]]-Table334[[#This Row],[Account Withdrawl Amount]], )</f>
        <v>0</v>
      </c>
      <c r="S211" s="243">
        <f>IF(Table334[[#This Row],[Category]]="Parties Food &amp; Beverages",Table334[[#This Row],[Account Deposit Amount]]-Table334[[#This Row],[Account Withdrawl Amount]], )</f>
        <v>0</v>
      </c>
      <c r="T211" s="243">
        <f>IF(Table334[[#This Row],[Category]]="Service Projects Donation",Table334[[#This Row],[Account Deposit Amount]]-Table334[[#This Row],[Account Withdrawl Amount]], )</f>
        <v>0</v>
      </c>
      <c r="U211" s="243">
        <f>IF(Table334[[#This Row],[Category]]="Cookie Debt",Table334[[#This Row],[Account Deposit Amount]]-Table334[[#This Row],[Account Withdrawl Amount]], )</f>
        <v>0</v>
      </c>
      <c r="V211" s="243">
        <f>IF(Table334[[#This Row],[Category]]="Other Expense",Table334[[#This Row],[Account Deposit Amount]]-Table334[[#This Row],[Account Withdrawl Amount]], )</f>
        <v>0</v>
      </c>
    </row>
    <row r="212" spans="1:22">
      <c r="A212" s="225"/>
      <c r="B212" s="241"/>
      <c r="C212" s="225"/>
      <c r="D212" s="225"/>
      <c r="E212" s="242"/>
      <c r="F212" s="242"/>
      <c r="G212" s="243">
        <f t="shared" si="6"/>
        <v>2518.9699999999939</v>
      </c>
      <c r="H212" s="225"/>
      <c r="I212" s="243">
        <f>IF(Table334[[#This Row],[Category]]="Fall Product",Table334[[#This Row],[Account Deposit Amount]]-Table334[[#This Row],[Account Withdrawl Amount]], )</f>
        <v>0</v>
      </c>
      <c r="J212" s="243">
        <f>IF(Table334[[#This Row],[Category]]="Cookies",Table334[[#This Row],[Account Deposit Amount]]-Table334[[#This Row],[Account Withdrawl Amount]], )</f>
        <v>0</v>
      </c>
      <c r="K212" s="243">
        <f>IF(Table334[[#This Row],[Category]]="Additional Money Earning Activities",Table334[[#This Row],[Account Deposit Amount]]-Table334[[#This Row],[Account Withdrawl Amount]], )</f>
        <v>0</v>
      </c>
      <c r="L212" s="243">
        <f>IF(Table334[[#This Row],[Category]]="Sponsorships",Table334[[#This Row],[Account Deposit Amount]]-Table334[[#This Row],[Account Withdrawl Amount]], )</f>
        <v>0</v>
      </c>
      <c r="M212" s="243">
        <f>IF(Table334[[#This Row],[Category]]="Troop Dues",Table334[[#This Row],[Account Deposit Amount]]-Table334[[#This Row],[Account Withdrawl Amount]], )</f>
        <v>0</v>
      </c>
      <c r="N212" s="243">
        <f>IF(Table334[[#This Row],[Category]]="Other Income",Table334[[#This Row],[Account Deposit Amount]]-Table334[[#This Row],[Account Withdrawl Amount]], )</f>
        <v>0</v>
      </c>
      <c r="O212" s="243">
        <f>IF(Table334[[#This Row],[Category]]="Registration",Table334[[#This Row],[Account Deposit Amount]]-Table334[[#This Row],[Account Withdrawl Amount]], )</f>
        <v>0</v>
      </c>
      <c r="P212" s="243">
        <f>IF(Table334[[#This Row],[Category]]="Insignia",Table334[[#This Row],[Account Deposit Amount]]-Table334[[#This Row],[Account Withdrawl Amount]], )</f>
        <v>0</v>
      </c>
      <c r="Q212" s="243">
        <f>IF(Table334[[#This Row],[Category]]="Activities/Program",Table334[[#This Row],[Account Deposit Amount]]-Table334[[#This Row],[Account Withdrawl Amount]], )</f>
        <v>0</v>
      </c>
      <c r="R212" s="243">
        <f>IF(Table334[[#This Row],[Category]]="Travel",Table334[[#This Row],[Account Deposit Amount]]-Table334[[#This Row],[Account Withdrawl Amount]], )</f>
        <v>0</v>
      </c>
      <c r="S212" s="243">
        <f>IF(Table334[[#This Row],[Category]]="Parties Food &amp; Beverages",Table334[[#This Row],[Account Deposit Amount]]-Table334[[#This Row],[Account Withdrawl Amount]], )</f>
        <v>0</v>
      </c>
      <c r="T212" s="243">
        <f>IF(Table334[[#This Row],[Category]]="Service Projects Donation",Table334[[#This Row],[Account Deposit Amount]]-Table334[[#This Row],[Account Withdrawl Amount]], )</f>
        <v>0</v>
      </c>
      <c r="U212" s="243">
        <f>IF(Table334[[#This Row],[Category]]="Cookie Debt",Table334[[#This Row],[Account Deposit Amount]]-Table334[[#This Row],[Account Withdrawl Amount]], )</f>
        <v>0</v>
      </c>
      <c r="V212" s="243">
        <f>IF(Table334[[#This Row],[Category]]="Other Expense",Table334[[#This Row],[Account Deposit Amount]]-Table334[[#This Row],[Account Withdrawl Amount]], )</f>
        <v>0</v>
      </c>
    </row>
    <row r="213" spans="1:22">
      <c r="A213" s="225"/>
      <c r="B213" s="241"/>
      <c r="C213" s="225"/>
      <c r="D213" s="225"/>
      <c r="E213" s="242"/>
      <c r="F213" s="242"/>
      <c r="G213" s="243">
        <f t="shared" si="6"/>
        <v>2518.9699999999939</v>
      </c>
      <c r="H213" s="225"/>
      <c r="I213" s="243">
        <f>IF(Table334[[#This Row],[Category]]="Fall Product",Table334[[#This Row],[Account Deposit Amount]]-Table334[[#This Row],[Account Withdrawl Amount]], )</f>
        <v>0</v>
      </c>
      <c r="J213" s="243">
        <f>IF(Table334[[#This Row],[Category]]="Cookies",Table334[[#This Row],[Account Deposit Amount]]-Table334[[#This Row],[Account Withdrawl Amount]], )</f>
        <v>0</v>
      </c>
      <c r="K213" s="243">
        <f>IF(Table334[[#This Row],[Category]]="Additional Money Earning Activities",Table334[[#This Row],[Account Deposit Amount]]-Table334[[#This Row],[Account Withdrawl Amount]], )</f>
        <v>0</v>
      </c>
      <c r="L213" s="243">
        <f>IF(Table334[[#This Row],[Category]]="Sponsorships",Table334[[#This Row],[Account Deposit Amount]]-Table334[[#This Row],[Account Withdrawl Amount]], )</f>
        <v>0</v>
      </c>
      <c r="M213" s="243">
        <f>IF(Table334[[#This Row],[Category]]="Troop Dues",Table334[[#This Row],[Account Deposit Amount]]-Table334[[#This Row],[Account Withdrawl Amount]], )</f>
        <v>0</v>
      </c>
      <c r="N213" s="243">
        <f>IF(Table334[[#This Row],[Category]]="Other Income",Table334[[#This Row],[Account Deposit Amount]]-Table334[[#This Row],[Account Withdrawl Amount]], )</f>
        <v>0</v>
      </c>
      <c r="O213" s="243">
        <f>IF(Table334[[#This Row],[Category]]="Registration",Table334[[#This Row],[Account Deposit Amount]]-Table334[[#This Row],[Account Withdrawl Amount]], )</f>
        <v>0</v>
      </c>
      <c r="P213" s="243">
        <f>IF(Table334[[#This Row],[Category]]="Insignia",Table334[[#This Row],[Account Deposit Amount]]-Table334[[#This Row],[Account Withdrawl Amount]], )</f>
        <v>0</v>
      </c>
      <c r="Q213" s="243">
        <f>IF(Table334[[#This Row],[Category]]="Activities/Program",Table334[[#This Row],[Account Deposit Amount]]-Table334[[#This Row],[Account Withdrawl Amount]], )</f>
        <v>0</v>
      </c>
      <c r="R213" s="243">
        <f>IF(Table334[[#This Row],[Category]]="Travel",Table334[[#This Row],[Account Deposit Amount]]-Table334[[#This Row],[Account Withdrawl Amount]], )</f>
        <v>0</v>
      </c>
      <c r="S213" s="243">
        <f>IF(Table334[[#This Row],[Category]]="Parties Food &amp; Beverages",Table334[[#This Row],[Account Deposit Amount]]-Table334[[#This Row],[Account Withdrawl Amount]], )</f>
        <v>0</v>
      </c>
      <c r="T213" s="243">
        <f>IF(Table334[[#This Row],[Category]]="Service Projects Donation",Table334[[#This Row],[Account Deposit Amount]]-Table334[[#This Row],[Account Withdrawl Amount]], )</f>
        <v>0</v>
      </c>
      <c r="U213" s="243">
        <f>IF(Table334[[#This Row],[Category]]="Cookie Debt",Table334[[#This Row],[Account Deposit Amount]]-Table334[[#This Row],[Account Withdrawl Amount]], )</f>
        <v>0</v>
      </c>
      <c r="V213" s="243">
        <f>IF(Table334[[#This Row],[Category]]="Other Expense",Table334[[#This Row],[Account Deposit Amount]]-Table334[[#This Row],[Account Withdrawl Amount]], )</f>
        <v>0</v>
      </c>
    </row>
    <row r="214" spans="1:22">
      <c r="A214" s="225"/>
      <c r="B214" s="241"/>
      <c r="C214" s="225"/>
      <c r="D214" s="225"/>
      <c r="E214" s="242"/>
      <c r="F214" s="242"/>
      <c r="G214" s="243">
        <f t="shared" si="6"/>
        <v>2518.9699999999939</v>
      </c>
      <c r="H214" s="225"/>
      <c r="I214" s="243">
        <f>IF(Table334[[#This Row],[Category]]="Fall Product",Table334[[#This Row],[Account Deposit Amount]]-Table334[[#This Row],[Account Withdrawl Amount]], )</f>
        <v>0</v>
      </c>
      <c r="J214" s="243">
        <f>IF(Table334[[#This Row],[Category]]="Cookies",Table334[[#This Row],[Account Deposit Amount]]-Table334[[#This Row],[Account Withdrawl Amount]], )</f>
        <v>0</v>
      </c>
      <c r="K214" s="243">
        <f>IF(Table334[[#This Row],[Category]]="Additional Money Earning Activities",Table334[[#This Row],[Account Deposit Amount]]-Table334[[#This Row],[Account Withdrawl Amount]], )</f>
        <v>0</v>
      </c>
      <c r="L214" s="243">
        <f>IF(Table334[[#This Row],[Category]]="Sponsorships",Table334[[#This Row],[Account Deposit Amount]]-Table334[[#This Row],[Account Withdrawl Amount]], )</f>
        <v>0</v>
      </c>
      <c r="M214" s="243">
        <f>IF(Table334[[#This Row],[Category]]="Troop Dues",Table334[[#This Row],[Account Deposit Amount]]-Table334[[#This Row],[Account Withdrawl Amount]], )</f>
        <v>0</v>
      </c>
      <c r="N214" s="243">
        <f>IF(Table334[[#This Row],[Category]]="Other Income",Table334[[#This Row],[Account Deposit Amount]]-Table334[[#This Row],[Account Withdrawl Amount]], )</f>
        <v>0</v>
      </c>
      <c r="O214" s="243">
        <f>IF(Table334[[#This Row],[Category]]="Registration",Table334[[#This Row],[Account Deposit Amount]]-Table334[[#This Row],[Account Withdrawl Amount]], )</f>
        <v>0</v>
      </c>
      <c r="P214" s="243">
        <f>IF(Table334[[#This Row],[Category]]="Insignia",Table334[[#This Row],[Account Deposit Amount]]-Table334[[#This Row],[Account Withdrawl Amount]], )</f>
        <v>0</v>
      </c>
      <c r="Q214" s="243">
        <f>IF(Table334[[#This Row],[Category]]="Activities/Program",Table334[[#This Row],[Account Deposit Amount]]-Table334[[#This Row],[Account Withdrawl Amount]], )</f>
        <v>0</v>
      </c>
      <c r="R214" s="243">
        <f>IF(Table334[[#This Row],[Category]]="Travel",Table334[[#This Row],[Account Deposit Amount]]-Table334[[#This Row],[Account Withdrawl Amount]], )</f>
        <v>0</v>
      </c>
      <c r="S214" s="243">
        <f>IF(Table334[[#This Row],[Category]]="Parties Food &amp; Beverages",Table334[[#This Row],[Account Deposit Amount]]-Table334[[#This Row],[Account Withdrawl Amount]], )</f>
        <v>0</v>
      </c>
      <c r="T214" s="243">
        <f>IF(Table334[[#This Row],[Category]]="Service Projects Donation",Table334[[#This Row],[Account Deposit Amount]]-Table334[[#This Row],[Account Withdrawl Amount]], )</f>
        <v>0</v>
      </c>
      <c r="U214" s="243">
        <f>IF(Table334[[#This Row],[Category]]="Cookie Debt",Table334[[#This Row],[Account Deposit Amount]]-Table334[[#This Row],[Account Withdrawl Amount]], )</f>
        <v>0</v>
      </c>
      <c r="V214" s="243">
        <f>IF(Table334[[#This Row],[Category]]="Other Expense",Table334[[#This Row],[Account Deposit Amount]]-Table334[[#This Row],[Account Withdrawl Amount]], )</f>
        <v>0</v>
      </c>
    </row>
    <row r="215" spans="1:22">
      <c r="A215" s="225"/>
      <c r="B215" s="241"/>
      <c r="C215" s="225"/>
      <c r="D215" s="225"/>
      <c r="E215" s="242"/>
      <c r="F215" s="242"/>
      <c r="G215" s="243">
        <f t="shared" si="6"/>
        <v>2518.9699999999939</v>
      </c>
      <c r="H215" s="225"/>
      <c r="I215" s="243">
        <f>IF(Table334[[#This Row],[Category]]="Fall Product",Table334[[#This Row],[Account Deposit Amount]]-Table334[[#This Row],[Account Withdrawl Amount]], )</f>
        <v>0</v>
      </c>
      <c r="J215" s="243">
        <f>IF(Table334[[#This Row],[Category]]="Cookies",Table334[[#This Row],[Account Deposit Amount]]-Table334[[#This Row],[Account Withdrawl Amount]], )</f>
        <v>0</v>
      </c>
      <c r="K215" s="243">
        <f>IF(Table334[[#This Row],[Category]]="Additional Money Earning Activities",Table334[[#This Row],[Account Deposit Amount]]-Table334[[#This Row],[Account Withdrawl Amount]], )</f>
        <v>0</v>
      </c>
      <c r="L215" s="243">
        <f>IF(Table334[[#This Row],[Category]]="Sponsorships",Table334[[#This Row],[Account Deposit Amount]]-Table334[[#This Row],[Account Withdrawl Amount]], )</f>
        <v>0</v>
      </c>
      <c r="M215" s="243">
        <f>IF(Table334[[#This Row],[Category]]="Troop Dues",Table334[[#This Row],[Account Deposit Amount]]-Table334[[#This Row],[Account Withdrawl Amount]], )</f>
        <v>0</v>
      </c>
      <c r="N215" s="243">
        <f>IF(Table334[[#This Row],[Category]]="Other Income",Table334[[#This Row],[Account Deposit Amount]]-Table334[[#This Row],[Account Withdrawl Amount]], )</f>
        <v>0</v>
      </c>
      <c r="O215" s="243">
        <f>IF(Table334[[#This Row],[Category]]="Registration",Table334[[#This Row],[Account Deposit Amount]]-Table334[[#This Row],[Account Withdrawl Amount]], )</f>
        <v>0</v>
      </c>
      <c r="P215" s="243">
        <f>IF(Table334[[#This Row],[Category]]="Insignia",Table334[[#This Row],[Account Deposit Amount]]-Table334[[#This Row],[Account Withdrawl Amount]], )</f>
        <v>0</v>
      </c>
      <c r="Q215" s="243">
        <f>IF(Table334[[#This Row],[Category]]="Activities/Program",Table334[[#This Row],[Account Deposit Amount]]-Table334[[#This Row],[Account Withdrawl Amount]], )</f>
        <v>0</v>
      </c>
      <c r="R215" s="243">
        <f>IF(Table334[[#This Row],[Category]]="Travel",Table334[[#This Row],[Account Deposit Amount]]-Table334[[#This Row],[Account Withdrawl Amount]], )</f>
        <v>0</v>
      </c>
      <c r="S215" s="243">
        <f>IF(Table334[[#This Row],[Category]]="Parties Food &amp; Beverages",Table334[[#This Row],[Account Deposit Amount]]-Table334[[#This Row],[Account Withdrawl Amount]], )</f>
        <v>0</v>
      </c>
      <c r="T215" s="243">
        <f>IF(Table334[[#This Row],[Category]]="Service Projects Donation",Table334[[#This Row],[Account Deposit Amount]]-Table334[[#This Row],[Account Withdrawl Amount]], )</f>
        <v>0</v>
      </c>
      <c r="U215" s="243">
        <f>IF(Table334[[#This Row],[Category]]="Cookie Debt",Table334[[#This Row],[Account Deposit Amount]]-Table334[[#This Row],[Account Withdrawl Amount]], )</f>
        <v>0</v>
      </c>
      <c r="V215" s="243">
        <f>IF(Table334[[#This Row],[Category]]="Other Expense",Table334[[#This Row],[Account Deposit Amount]]-Table334[[#This Row],[Account Withdrawl Amount]], )</f>
        <v>0</v>
      </c>
    </row>
    <row r="216" spans="1:22">
      <c r="A216" s="225"/>
      <c r="B216" s="241"/>
      <c r="C216" s="225"/>
      <c r="D216" s="225"/>
      <c r="E216" s="242"/>
      <c r="F216" s="242"/>
      <c r="G216" s="243">
        <f t="shared" si="6"/>
        <v>2518.9699999999939</v>
      </c>
      <c r="H216" s="225"/>
      <c r="I216" s="243">
        <f>IF(Table334[[#This Row],[Category]]="Fall Product",Table334[[#This Row],[Account Deposit Amount]]-Table334[[#This Row],[Account Withdrawl Amount]], )</f>
        <v>0</v>
      </c>
      <c r="J216" s="243">
        <f>IF(Table334[[#This Row],[Category]]="Cookies",Table334[[#This Row],[Account Deposit Amount]]-Table334[[#This Row],[Account Withdrawl Amount]], )</f>
        <v>0</v>
      </c>
      <c r="K216" s="243">
        <f>IF(Table334[[#This Row],[Category]]="Additional Money Earning Activities",Table334[[#This Row],[Account Deposit Amount]]-Table334[[#This Row],[Account Withdrawl Amount]], )</f>
        <v>0</v>
      </c>
      <c r="L216" s="243">
        <f>IF(Table334[[#This Row],[Category]]="Sponsorships",Table334[[#This Row],[Account Deposit Amount]]-Table334[[#This Row],[Account Withdrawl Amount]], )</f>
        <v>0</v>
      </c>
      <c r="M216" s="243">
        <f>IF(Table334[[#This Row],[Category]]="Troop Dues",Table334[[#This Row],[Account Deposit Amount]]-Table334[[#This Row],[Account Withdrawl Amount]], )</f>
        <v>0</v>
      </c>
      <c r="N216" s="243">
        <f>IF(Table334[[#This Row],[Category]]="Other Income",Table334[[#This Row],[Account Deposit Amount]]-Table334[[#This Row],[Account Withdrawl Amount]], )</f>
        <v>0</v>
      </c>
      <c r="O216" s="243">
        <f>IF(Table334[[#This Row],[Category]]="Registration",Table334[[#This Row],[Account Deposit Amount]]-Table334[[#This Row],[Account Withdrawl Amount]], )</f>
        <v>0</v>
      </c>
      <c r="P216" s="243">
        <f>IF(Table334[[#This Row],[Category]]="Insignia",Table334[[#This Row],[Account Deposit Amount]]-Table334[[#This Row],[Account Withdrawl Amount]], )</f>
        <v>0</v>
      </c>
      <c r="Q216" s="243">
        <f>IF(Table334[[#This Row],[Category]]="Activities/Program",Table334[[#This Row],[Account Deposit Amount]]-Table334[[#This Row],[Account Withdrawl Amount]], )</f>
        <v>0</v>
      </c>
      <c r="R216" s="243">
        <f>IF(Table334[[#This Row],[Category]]="Travel",Table334[[#This Row],[Account Deposit Amount]]-Table334[[#This Row],[Account Withdrawl Amount]], )</f>
        <v>0</v>
      </c>
      <c r="S216" s="243">
        <f>IF(Table334[[#This Row],[Category]]="Parties Food &amp; Beverages",Table334[[#This Row],[Account Deposit Amount]]-Table334[[#This Row],[Account Withdrawl Amount]], )</f>
        <v>0</v>
      </c>
      <c r="T216" s="243">
        <f>IF(Table334[[#This Row],[Category]]="Service Projects Donation",Table334[[#This Row],[Account Deposit Amount]]-Table334[[#This Row],[Account Withdrawl Amount]], )</f>
        <v>0</v>
      </c>
      <c r="U216" s="243">
        <f>IF(Table334[[#This Row],[Category]]="Cookie Debt",Table334[[#This Row],[Account Deposit Amount]]-Table334[[#This Row],[Account Withdrawl Amount]], )</f>
        <v>0</v>
      </c>
      <c r="V216" s="243">
        <f>IF(Table334[[#This Row],[Category]]="Other Expense",Table334[[#This Row],[Account Deposit Amount]]-Table334[[#This Row],[Account Withdrawl Amount]], )</f>
        <v>0</v>
      </c>
    </row>
    <row r="217" spans="1:22">
      <c r="A217" s="225"/>
      <c r="B217" s="241"/>
      <c r="C217" s="225"/>
      <c r="D217" s="225"/>
      <c r="E217" s="242"/>
      <c r="F217" s="242"/>
      <c r="G217" s="243">
        <f t="shared" si="6"/>
        <v>2518.9699999999939</v>
      </c>
      <c r="H217" s="225"/>
      <c r="I217" s="243">
        <f>IF(Table334[[#This Row],[Category]]="Fall Product",Table334[[#This Row],[Account Deposit Amount]]-Table334[[#This Row],[Account Withdrawl Amount]], )</f>
        <v>0</v>
      </c>
      <c r="J217" s="243">
        <f>IF(Table334[[#This Row],[Category]]="Cookies",Table334[[#This Row],[Account Deposit Amount]]-Table334[[#This Row],[Account Withdrawl Amount]], )</f>
        <v>0</v>
      </c>
      <c r="K217" s="243">
        <f>IF(Table334[[#This Row],[Category]]="Additional Money Earning Activities",Table334[[#This Row],[Account Deposit Amount]]-Table334[[#This Row],[Account Withdrawl Amount]], )</f>
        <v>0</v>
      </c>
      <c r="L217" s="243">
        <f>IF(Table334[[#This Row],[Category]]="Sponsorships",Table334[[#This Row],[Account Deposit Amount]]-Table334[[#This Row],[Account Withdrawl Amount]], )</f>
        <v>0</v>
      </c>
      <c r="M217" s="243">
        <f>IF(Table334[[#This Row],[Category]]="Troop Dues",Table334[[#This Row],[Account Deposit Amount]]-Table334[[#This Row],[Account Withdrawl Amount]], )</f>
        <v>0</v>
      </c>
      <c r="N217" s="243">
        <f>IF(Table334[[#This Row],[Category]]="Other Income",Table334[[#This Row],[Account Deposit Amount]]-Table334[[#This Row],[Account Withdrawl Amount]], )</f>
        <v>0</v>
      </c>
      <c r="O217" s="243">
        <f>IF(Table334[[#This Row],[Category]]="Registration",Table334[[#This Row],[Account Deposit Amount]]-Table334[[#This Row],[Account Withdrawl Amount]], )</f>
        <v>0</v>
      </c>
      <c r="P217" s="243">
        <f>IF(Table334[[#This Row],[Category]]="Insignia",Table334[[#This Row],[Account Deposit Amount]]-Table334[[#This Row],[Account Withdrawl Amount]], )</f>
        <v>0</v>
      </c>
      <c r="Q217" s="243">
        <f>IF(Table334[[#This Row],[Category]]="Activities/Program",Table334[[#This Row],[Account Deposit Amount]]-Table334[[#This Row],[Account Withdrawl Amount]], )</f>
        <v>0</v>
      </c>
      <c r="R217" s="243">
        <f>IF(Table334[[#This Row],[Category]]="Travel",Table334[[#This Row],[Account Deposit Amount]]-Table334[[#This Row],[Account Withdrawl Amount]], )</f>
        <v>0</v>
      </c>
      <c r="S217" s="243">
        <f>IF(Table334[[#This Row],[Category]]="Parties Food &amp; Beverages",Table334[[#This Row],[Account Deposit Amount]]-Table334[[#This Row],[Account Withdrawl Amount]], )</f>
        <v>0</v>
      </c>
      <c r="T217" s="243">
        <f>IF(Table334[[#This Row],[Category]]="Service Projects Donation",Table334[[#This Row],[Account Deposit Amount]]-Table334[[#This Row],[Account Withdrawl Amount]], )</f>
        <v>0</v>
      </c>
      <c r="U217" s="243">
        <f>IF(Table334[[#This Row],[Category]]="Cookie Debt",Table334[[#This Row],[Account Deposit Amount]]-Table334[[#This Row],[Account Withdrawl Amount]], )</f>
        <v>0</v>
      </c>
      <c r="V217" s="243">
        <f>IF(Table334[[#This Row],[Category]]="Other Expense",Table334[[#This Row],[Account Deposit Amount]]-Table334[[#This Row],[Account Withdrawl Amount]], )</f>
        <v>0</v>
      </c>
    </row>
    <row r="218" spans="1:22">
      <c r="A218" s="225"/>
      <c r="B218" s="241"/>
      <c r="C218" s="225"/>
      <c r="D218" s="225"/>
      <c r="E218" s="242"/>
      <c r="F218" s="242"/>
      <c r="G218" s="243">
        <f t="shared" si="6"/>
        <v>2518.9699999999939</v>
      </c>
      <c r="H218" s="225"/>
      <c r="I218" s="243">
        <f>IF(Table334[[#This Row],[Category]]="Fall Product",Table334[[#This Row],[Account Deposit Amount]]-Table334[[#This Row],[Account Withdrawl Amount]], )</f>
        <v>0</v>
      </c>
      <c r="J218" s="243">
        <f>IF(Table334[[#This Row],[Category]]="Cookies",Table334[[#This Row],[Account Deposit Amount]]-Table334[[#This Row],[Account Withdrawl Amount]], )</f>
        <v>0</v>
      </c>
      <c r="K218" s="243">
        <f>IF(Table334[[#This Row],[Category]]="Additional Money Earning Activities",Table334[[#This Row],[Account Deposit Amount]]-Table334[[#This Row],[Account Withdrawl Amount]], )</f>
        <v>0</v>
      </c>
      <c r="L218" s="243">
        <f>IF(Table334[[#This Row],[Category]]="Sponsorships",Table334[[#This Row],[Account Deposit Amount]]-Table334[[#This Row],[Account Withdrawl Amount]], )</f>
        <v>0</v>
      </c>
      <c r="M218" s="243">
        <f>IF(Table334[[#This Row],[Category]]="Troop Dues",Table334[[#This Row],[Account Deposit Amount]]-Table334[[#This Row],[Account Withdrawl Amount]], )</f>
        <v>0</v>
      </c>
      <c r="N218" s="243">
        <f>IF(Table334[[#This Row],[Category]]="Other Income",Table334[[#This Row],[Account Deposit Amount]]-Table334[[#This Row],[Account Withdrawl Amount]], )</f>
        <v>0</v>
      </c>
      <c r="O218" s="243">
        <f>IF(Table334[[#This Row],[Category]]="Registration",Table334[[#This Row],[Account Deposit Amount]]-Table334[[#This Row],[Account Withdrawl Amount]], )</f>
        <v>0</v>
      </c>
      <c r="P218" s="243">
        <f>IF(Table334[[#This Row],[Category]]="Insignia",Table334[[#This Row],[Account Deposit Amount]]-Table334[[#This Row],[Account Withdrawl Amount]], )</f>
        <v>0</v>
      </c>
      <c r="Q218" s="243">
        <f>IF(Table334[[#This Row],[Category]]="Activities/Program",Table334[[#This Row],[Account Deposit Amount]]-Table334[[#This Row],[Account Withdrawl Amount]], )</f>
        <v>0</v>
      </c>
      <c r="R218" s="243">
        <f>IF(Table334[[#This Row],[Category]]="Travel",Table334[[#This Row],[Account Deposit Amount]]-Table334[[#This Row],[Account Withdrawl Amount]], )</f>
        <v>0</v>
      </c>
      <c r="S218" s="243">
        <f>IF(Table334[[#This Row],[Category]]="Parties Food &amp; Beverages",Table334[[#This Row],[Account Deposit Amount]]-Table334[[#This Row],[Account Withdrawl Amount]], )</f>
        <v>0</v>
      </c>
      <c r="T218" s="243">
        <f>IF(Table334[[#This Row],[Category]]="Service Projects Donation",Table334[[#This Row],[Account Deposit Amount]]-Table334[[#This Row],[Account Withdrawl Amount]], )</f>
        <v>0</v>
      </c>
      <c r="U218" s="243">
        <f>IF(Table334[[#This Row],[Category]]="Cookie Debt",Table334[[#This Row],[Account Deposit Amount]]-Table334[[#This Row],[Account Withdrawl Amount]], )</f>
        <v>0</v>
      </c>
      <c r="V218" s="243">
        <f>IF(Table334[[#This Row],[Category]]="Other Expense",Table334[[#This Row],[Account Deposit Amount]]-Table334[[#This Row],[Account Withdrawl Amount]], )</f>
        <v>0</v>
      </c>
    </row>
    <row r="219" spans="1:22">
      <c r="A219" s="225"/>
      <c r="B219" s="241"/>
      <c r="C219" s="225"/>
      <c r="D219" s="225"/>
      <c r="E219" s="242"/>
      <c r="F219" s="242"/>
      <c r="G219" s="243">
        <f t="shared" si="6"/>
        <v>2518.9699999999939</v>
      </c>
      <c r="H219" s="225"/>
      <c r="I219" s="243">
        <f>IF(Table334[[#This Row],[Category]]="Fall Product",Table334[[#This Row],[Account Deposit Amount]]-Table334[[#This Row],[Account Withdrawl Amount]], )</f>
        <v>0</v>
      </c>
      <c r="J219" s="243">
        <f>IF(Table334[[#This Row],[Category]]="Cookies",Table334[[#This Row],[Account Deposit Amount]]-Table334[[#This Row],[Account Withdrawl Amount]], )</f>
        <v>0</v>
      </c>
      <c r="K219" s="243">
        <f>IF(Table334[[#This Row],[Category]]="Additional Money Earning Activities",Table334[[#This Row],[Account Deposit Amount]]-Table334[[#This Row],[Account Withdrawl Amount]], )</f>
        <v>0</v>
      </c>
      <c r="L219" s="243">
        <f>IF(Table334[[#This Row],[Category]]="Sponsorships",Table334[[#This Row],[Account Deposit Amount]]-Table334[[#This Row],[Account Withdrawl Amount]], )</f>
        <v>0</v>
      </c>
      <c r="M219" s="243">
        <f>IF(Table334[[#This Row],[Category]]="Troop Dues",Table334[[#This Row],[Account Deposit Amount]]-Table334[[#This Row],[Account Withdrawl Amount]], )</f>
        <v>0</v>
      </c>
      <c r="N219" s="243">
        <f>IF(Table334[[#This Row],[Category]]="Other Income",Table334[[#This Row],[Account Deposit Amount]]-Table334[[#This Row],[Account Withdrawl Amount]], )</f>
        <v>0</v>
      </c>
      <c r="O219" s="243">
        <f>IF(Table334[[#This Row],[Category]]="Registration",Table334[[#This Row],[Account Deposit Amount]]-Table334[[#This Row],[Account Withdrawl Amount]], )</f>
        <v>0</v>
      </c>
      <c r="P219" s="243">
        <f>IF(Table334[[#This Row],[Category]]="Insignia",Table334[[#This Row],[Account Deposit Amount]]-Table334[[#This Row],[Account Withdrawl Amount]], )</f>
        <v>0</v>
      </c>
      <c r="Q219" s="243">
        <f>IF(Table334[[#This Row],[Category]]="Activities/Program",Table334[[#This Row],[Account Deposit Amount]]-Table334[[#This Row],[Account Withdrawl Amount]], )</f>
        <v>0</v>
      </c>
      <c r="R219" s="243">
        <f>IF(Table334[[#This Row],[Category]]="Travel",Table334[[#This Row],[Account Deposit Amount]]-Table334[[#This Row],[Account Withdrawl Amount]], )</f>
        <v>0</v>
      </c>
      <c r="S219" s="243">
        <f>IF(Table334[[#This Row],[Category]]="Parties Food &amp; Beverages",Table334[[#This Row],[Account Deposit Amount]]-Table334[[#This Row],[Account Withdrawl Amount]], )</f>
        <v>0</v>
      </c>
      <c r="T219" s="243">
        <f>IF(Table334[[#This Row],[Category]]="Service Projects Donation",Table334[[#This Row],[Account Deposit Amount]]-Table334[[#This Row],[Account Withdrawl Amount]], )</f>
        <v>0</v>
      </c>
      <c r="U219" s="243">
        <f>IF(Table334[[#This Row],[Category]]="Cookie Debt",Table334[[#This Row],[Account Deposit Amount]]-Table334[[#This Row],[Account Withdrawl Amount]], )</f>
        <v>0</v>
      </c>
      <c r="V219" s="243">
        <f>IF(Table334[[#This Row],[Category]]="Other Expense",Table334[[#This Row],[Account Deposit Amount]]-Table334[[#This Row],[Account Withdrawl Amount]], )</f>
        <v>0</v>
      </c>
    </row>
    <row r="220" spans="1:22">
      <c r="A220" s="225"/>
      <c r="B220" s="241"/>
      <c r="C220" s="225"/>
      <c r="D220" s="225"/>
      <c r="E220" s="242"/>
      <c r="F220" s="242"/>
      <c r="G220" s="243">
        <f t="shared" si="6"/>
        <v>2518.9699999999939</v>
      </c>
      <c r="H220" s="225"/>
      <c r="I220" s="243">
        <f>IF(Table334[[#This Row],[Category]]="Fall Product",Table334[[#This Row],[Account Deposit Amount]]-Table334[[#This Row],[Account Withdrawl Amount]], )</f>
        <v>0</v>
      </c>
      <c r="J220" s="243">
        <f>IF(Table334[[#This Row],[Category]]="Cookies",Table334[[#This Row],[Account Deposit Amount]]-Table334[[#This Row],[Account Withdrawl Amount]], )</f>
        <v>0</v>
      </c>
      <c r="K220" s="243">
        <f>IF(Table334[[#This Row],[Category]]="Additional Money Earning Activities",Table334[[#This Row],[Account Deposit Amount]]-Table334[[#This Row],[Account Withdrawl Amount]], )</f>
        <v>0</v>
      </c>
      <c r="L220" s="243">
        <f>IF(Table334[[#This Row],[Category]]="Sponsorships",Table334[[#This Row],[Account Deposit Amount]]-Table334[[#This Row],[Account Withdrawl Amount]], )</f>
        <v>0</v>
      </c>
      <c r="M220" s="243">
        <f>IF(Table334[[#This Row],[Category]]="Troop Dues",Table334[[#This Row],[Account Deposit Amount]]-Table334[[#This Row],[Account Withdrawl Amount]], )</f>
        <v>0</v>
      </c>
      <c r="N220" s="243">
        <f>IF(Table334[[#This Row],[Category]]="Other Income",Table334[[#This Row],[Account Deposit Amount]]-Table334[[#This Row],[Account Withdrawl Amount]], )</f>
        <v>0</v>
      </c>
      <c r="O220" s="243">
        <f>IF(Table334[[#This Row],[Category]]="Registration",Table334[[#This Row],[Account Deposit Amount]]-Table334[[#This Row],[Account Withdrawl Amount]], )</f>
        <v>0</v>
      </c>
      <c r="P220" s="243">
        <f>IF(Table334[[#This Row],[Category]]="Insignia",Table334[[#This Row],[Account Deposit Amount]]-Table334[[#This Row],[Account Withdrawl Amount]], )</f>
        <v>0</v>
      </c>
      <c r="Q220" s="243">
        <f>IF(Table334[[#This Row],[Category]]="Activities/Program",Table334[[#This Row],[Account Deposit Amount]]-Table334[[#This Row],[Account Withdrawl Amount]], )</f>
        <v>0</v>
      </c>
      <c r="R220" s="243">
        <f>IF(Table334[[#This Row],[Category]]="Travel",Table334[[#This Row],[Account Deposit Amount]]-Table334[[#This Row],[Account Withdrawl Amount]], )</f>
        <v>0</v>
      </c>
      <c r="S220" s="243">
        <f>IF(Table334[[#This Row],[Category]]="Parties Food &amp; Beverages",Table334[[#This Row],[Account Deposit Amount]]-Table334[[#This Row],[Account Withdrawl Amount]], )</f>
        <v>0</v>
      </c>
      <c r="T220" s="243">
        <f>IF(Table334[[#This Row],[Category]]="Service Projects Donation",Table334[[#This Row],[Account Deposit Amount]]-Table334[[#This Row],[Account Withdrawl Amount]], )</f>
        <v>0</v>
      </c>
      <c r="U220" s="243">
        <f>IF(Table334[[#This Row],[Category]]="Cookie Debt",Table334[[#This Row],[Account Deposit Amount]]-Table334[[#This Row],[Account Withdrawl Amount]], )</f>
        <v>0</v>
      </c>
      <c r="V220" s="243">
        <f>IF(Table334[[#This Row],[Category]]="Other Expense",Table334[[#This Row],[Account Deposit Amount]]-Table334[[#This Row],[Account Withdrawl Amount]], )</f>
        <v>0</v>
      </c>
    </row>
    <row r="221" spans="1:22">
      <c r="A221" s="225"/>
      <c r="B221" s="241"/>
      <c r="C221" s="225"/>
      <c r="D221" s="225"/>
      <c r="E221" s="242"/>
      <c r="F221" s="242"/>
      <c r="G221" s="243">
        <f t="shared" si="6"/>
        <v>2518.9699999999939</v>
      </c>
      <c r="H221" s="225"/>
      <c r="I221" s="243">
        <f>IF(Table334[[#This Row],[Category]]="Fall Product",Table334[[#This Row],[Account Deposit Amount]]-Table334[[#This Row],[Account Withdrawl Amount]], )</f>
        <v>0</v>
      </c>
      <c r="J221" s="243">
        <f>IF(Table334[[#This Row],[Category]]="Cookies",Table334[[#This Row],[Account Deposit Amount]]-Table334[[#This Row],[Account Withdrawl Amount]], )</f>
        <v>0</v>
      </c>
      <c r="K221" s="243">
        <f>IF(Table334[[#This Row],[Category]]="Additional Money Earning Activities",Table334[[#This Row],[Account Deposit Amount]]-Table334[[#This Row],[Account Withdrawl Amount]], )</f>
        <v>0</v>
      </c>
      <c r="L221" s="243">
        <f>IF(Table334[[#This Row],[Category]]="Sponsorships",Table334[[#This Row],[Account Deposit Amount]]-Table334[[#This Row],[Account Withdrawl Amount]], )</f>
        <v>0</v>
      </c>
      <c r="M221" s="243">
        <f>IF(Table334[[#This Row],[Category]]="Troop Dues",Table334[[#This Row],[Account Deposit Amount]]-Table334[[#This Row],[Account Withdrawl Amount]], )</f>
        <v>0</v>
      </c>
      <c r="N221" s="243">
        <f>IF(Table334[[#This Row],[Category]]="Other Income",Table334[[#This Row],[Account Deposit Amount]]-Table334[[#This Row],[Account Withdrawl Amount]], )</f>
        <v>0</v>
      </c>
      <c r="O221" s="243">
        <f>IF(Table334[[#This Row],[Category]]="Registration",Table334[[#This Row],[Account Deposit Amount]]-Table334[[#This Row],[Account Withdrawl Amount]], )</f>
        <v>0</v>
      </c>
      <c r="P221" s="243">
        <f>IF(Table334[[#This Row],[Category]]="Insignia",Table334[[#This Row],[Account Deposit Amount]]-Table334[[#This Row],[Account Withdrawl Amount]], )</f>
        <v>0</v>
      </c>
      <c r="Q221" s="243">
        <f>IF(Table334[[#This Row],[Category]]="Activities/Program",Table334[[#This Row],[Account Deposit Amount]]-Table334[[#This Row],[Account Withdrawl Amount]], )</f>
        <v>0</v>
      </c>
      <c r="R221" s="243">
        <f>IF(Table334[[#This Row],[Category]]="Travel",Table334[[#This Row],[Account Deposit Amount]]-Table334[[#This Row],[Account Withdrawl Amount]], )</f>
        <v>0</v>
      </c>
      <c r="S221" s="243">
        <f>IF(Table334[[#This Row],[Category]]="Parties Food &amp; Beverages",Table334[[#This Row],[Account Deposit Amount]]-Table334[[#This Row],[Account Withdrawl Amount]], )</f>
        <v>0</v>
      </c>
      <c r="T221" s="243">
        <f>IF(Table334[[#This Row],[Category]]="Service Projects Donation",Table334[[#This Row],[Account Deposit Amount]]-Table334[[#This Row],[Account Withdrawl Amount]], )</f>
        <v>0</v>
      </c>
      <c r="U221" s="243">
        <f>IF(Table334[[#This Row],[Category]]="Cookie Debt",Table334[[#This Row],[Account Deposit Amount]]-Table334[[#This Row],[Account Withdrawl Amount]], )</f>
        <v>0</v>
      </c>
      <c r="V221" s="243">
        <f>IF(Table334[[#This Row],[Category]]="Other Expense",Table334[[#This Row],[Account Deposit Amount]]-Table334[[#This Row],[Account Withdrawl Amount]], )</f>
        <v>0</v>
      </c>
    </row>
    <row r="222" spans="1:22">
      <c r="A222" s="225"/>
      <c r="B222" s="241"/>
      <c r="C222" s="225"/>
      <c r="D222" s="225"/>
      <c r="E222" s="242"/>
      <c r="F222" s="242"/>
      <c r="G222" s="243">
        <f t="shared" si="6"/>
        <v>2518.9699999999939</v>
      </c>
      <c r="H222" s="225"/>
      <c r="I222" s="243">
        <f>IF(Table334[[#This Row],[Category]]="Fall Product",Table334[[#This Row],[Account Deposit Amount]]-Table334[[#This Row],[Account Withdrawl Amount]], )</f>
        <v>0</v>
      </c>
      <c r="J222" s="243">
        <f>IF(Table334[[#This Row],[Category]]="Cookies",Table334[[#This Row],[Account Deposit Amount]]-Table334[[#This Row],[Account Withdrawl Amount]], )</f>
        <v>0</v>
      </c>
      <c r="K222" s="243">
        <f>IF(Table334[[#This Row],[Category]]="Additional Money Earning Activities",Table334[[#This Row],[Account Deposit Amount]]-Table334[[#This Row],[Account Withdrawl Amount]], )</f>
        <v>0</v>
      </c>
      <c r="L222" s="243">
        <f>IF(Table334[[#This Row],[Category]]="Sponsorships",Table334[[#This Row],[Account Deposit Amount]]-Table334[[#This Row],[Account Withdrawl Amount]], )</f>
        <v>0</v>
      </c>
      <c r="M222" s="243">
        <f>IF(Table334[[#This Row],[Category]]="Troop Dues",Table334[[#This Row],[Account Deposit Amount]]-Table334[[#This Row],[Account Withdrawl Amount]], )</f>
        <v>0</v>
      </c>
      <c r="N222" s="243">
        <f>IF(Table334[[#This Row],[Category]]="Other Income",Table334[[#This Row],[Account Deposit Amount]]-Table334[[#This Row],[Account Withdrawl Amount]], )</f>
        <v>0</v>
      </c>
      <c r="O222" s="243">
        <f>IF(Table334[[#This Row],[Category]]="Registration",Table334[[#This Row],[Account Deposit Amount]]-Table334[[#This Row],[Account Withdrawl Amount]], )</f>
        <v>0</v>
      </c>
      <c r="P222" s="243">
        <f>IF(Table334[[#This Row],[Category]]="Insignia",Table334[[#This Row],[Account Deposit Amount]]-Table334[[#This Row],[Account Withdrawl Amount]], )</f>
        <v>0</v>
      </c>
      <c r="Q222" s="243">
        <f>IF(Table334[[#This Row],[Category]]="Activities/Program",Table334[[#This Row],[Account Deposit Amount]]-Table334[[#This Row],[Account Withdrawl Amount]], )</f>
        <v>0</v>
      </c>
      <c r="R222" s="243">
        <f>IF(Table334[[#This Row],[Category]]="Travel",Table334[[#This Row],[Account Deposit Amount]]-Table334[[#This Row],[Account Withdrawl Amount]], )</f>
        <v>0</v>
      </c>
      <c r="S222" s="243">
        <f>IF(Table334[[#This Row],[Category]]="Parties Food &amp; Beverages",Table334[[#This Row],[Account Deposit Amount]]-Table334[[#This Row],[Account Withdrawl Amount]], )</f>
        <v>0</v>
      </c>
      <c r="T222" s="243">
        <f>IF(Table334[[#This Row],[Category]]="Service Projects Donation",Table334[[#This Row],[Account Deposit Amount]]-Table334[[#This Row],[Account Withdrawl Amount]], )</f>
        <v>0</v>
      </c>
      <c r="U222" s="243">
        <f>IF(Table334[[#This Row],[Category]]="Cookie Debt",Table334[[#This Row],[Account Deposit Amount]]-Table334[[#This Row],[Account Withdrawl Amount]], )</f>
        <v>0</v>
      </c>
      <c r="V222" s="243">
        <f>IF(Table334[[#This Row],[Category]]="Other Expense",Table334[[#This Row],[Account Deposit Amount]]-Table334[[#This Row],[Account Withdrawl Amount]], )</f>
        <v>0</v>
      </c>
    </row>
    <row r="223" spans="1:22">
      <c r="A223" s="225"/>
      <c r="B223" s="241"/>
      <c r="C223" s="225"/>
      <c r="D223" s="225"/>
      <c r="E223" s="242"/>
      <c r="F223" s="242"/>
      <c r="G223" s="243">
        <f t="shared" si="6"/>
        <v>2518.9699999999939</v>
      </c>
      <c r="H223" s="225"/>
      <c r="I223" s="243">
        <f>IF(Table334[[#This Row],[Category]]="Fall Product",Table334[[#This Row],[Account Deposit Amount]]-Table334[[#This Row],[Account Withdrawl Amount]], )</f>
        <v>0</v>
      </c>
      <c r="J223" s="243">
        <f>IF(Table334[[#This Row],[Category]]="Cookies",Table334[[#This Row],[Account Deposit Amount]]-Table334[[#This Row],[Account Withdrawl Amount]], )</f>
        <v>0</v>
      </c>
      <c r="K223" s="243">
        <f>IF(Table334[[#This Row],[Category]]="Additional Money Earning Activities",Table334[[#This Row],[Account Deposit Amount]]-Table334[[#This Row],[Account Withdrawl Amount]], )</f>
        <v>0</v>
      </c>
      <c r="L223" s="243">
        <f>IF(Table334[[#This Row],[Category]]="Sponsorships",Table334[[#This Row],[Account Deposit Amount]]-Table334[[#This Row],[Account Withdrawl Amount]], )</f>
        <v>0</v>
      </c>
      <c r="M223" s="243">
        <f>IF(Table334[[#This Row],[Category]]="Troop Dues",Table334[[#This Row],[Account Deposit Amount]]-Table334[[#This Row],[Account Withdrawl Amount]], )</f>
        <v>0</v>
      </c>
      <c r="N223" s="243">
        <f>IF(Table334[[#This Row],[Category]]="Other Income",Table334[[#This Row],[Account Deposit Amount]]-Table334[[#This Row],[Account Withdrawl Amount]], )</f>
        <v>0</v>
      </c>
      <c r="O223" s="243">
        <f>IF(Table334[[#This Row],[Category]]="Registration",Table334[[#This Row],[Account Deposit Amount]]-Table334[[#This Row],[Account Withdrawl Amount]], )</f>
        <v>0</v>
      </c>
      <c r="P223" s="243">
        <f>IF(Table334[[#This Row],[Category]]="Insignia",Table334[[#This Row],[Account Deposit Amount]]-Table334[[#This Row],[Account Withdrawl Amount]], )</f>
        <v>0</v>
      </c>
      <c r="Q223" s="243">
        <f>IF(Table334[[#This Row],[Category]]="Activities/Program",Table334[[#This Row],[Account Deposit Amount]]-Table334[[#This Row],[Account Withdrawl Amount]], )</f>
        <v>0</v>
      </c>
      <c r="R223" s="243">
        <f>IF(Table334[[#This Row],[Category]]="Travel",Table334[[#This Row],[Account Deposit Amount]]-Table334[[#This Row],[Account Withdrawl Amount]], )</f>
        <v>0</v>
      </c>
      <c r="S223" s="243">
        <f>IF(Table334[[#This Row],[Category]]="Parties Food &amp; Beverages",Table334[[#This Row],[Account Deposit Amount]]-Table334[[#This Row],[Account Withdrawl Amount]], )</f>
        <v>0</v>
      </c>
      <c r="T223" s="243">
        <f>IF(Table334[[#This Row],[Category]]="Service Projects Donation",Table334[[#This Row],[Account Deposit Amount]]-Table334[[#This Row],[Account Withdrawl Amount]], )</f>
        <v>0</v>
      </c>
      <c r="U223" s="243">
        <f>IF(Table334[[#This Row],[Category]]="Cookie Debt",Table334[[#This Row],[Account Deposit Amount]]-Table334[[#This Row],[Account Withdrawl Amount]], )</f>
        <v>0</v>
      </c>
      <c r="V223" s="243">
        <f>IF(Table334[[#This Row],[Category]]="Other Expense",Table334[[#This Row],[Account Deposit Amount]]-Table334[[#This Row],[Account Withdrawl Amount]], )</f>
        <v>0</v>
      </c>
    </row>
    <row r="224" spans="1:22">
      <c r="A224" s="225"/>
      <c r="B224" s="241"/>
      <c r="C224" s="225"/>
      <c r="D224" s="225"/>
      <c r="E224" s="242"/>
      <c r="F224" s="242"/>
      <c r="G224" s="243">
        <f t="shared" si="6"/>
        <v>2518.9699999999939</v>
      </c>
      <c r="H224" s="225"/>
      <c r="I224" s="243">
        <f>IF(Table334[[#This Row],[Category]]="Fall Product",Table334[[#This Row],[Account Deposit Amount]]-Table334[[#This Row],[Account Withdrawl Amount]], )</f>
        <v>0</v>
      </c>
      <c r="J224" s="243">
        <f>IF(Table334[[#This Row],[Category]]="Cookies",Table334[[#This Row],[Account Deposit Amount]]-Table334[[#This Row],[Account Withdrawl Amount]], )</f>
        <v>0</v>
      </c>
      <c r="K224" s="243">
        <f>IF(Table334[[#This Row],[Category]]="Additional Money Earning Activities",Table334[[#This Row],[Account Deposit Amount]]-Table334[[#This Row],[Account Withdrawl Amount]], )</f>
        <v>0</v>
      </c>
      <c r="L224" s="243">
        <f>IF(Table334[[#This Row],[Category]]="Sponsorships",Table334[[#This Row],[Account Deposit Amount]]-Table334[[#This Row],[Account Withdrawl Amount]], )</f>
        <v>0</v>
      </c>
      <c r="M224" s="243">
        <f>IF(Table334[[#This Row],[Category]]="Troop Dues",Table334[[#This Row],[Account Deposit Amount]]-Table334[[#This Row],[Account Withdrawl Amount]], )</f>
        <v>0</v>
      </c>
      <c r="N224" s="243">
        <f>IF(Table334[[#This Row],[Category]]="Other Income",Table334[[#This Row],[Account Deposit Amount]]-Table334[[#This Row],[Account Withdrawl Amount]], )</f>
        <v>0</v>
      </c>
      <c r="O224" s="243">
        <f>IF(Table334[[#This Row],[Category]]="Registration",Table334[[#This Row],[Account Deposit Amount]]-Table334[[#This Row],[Account Withdrawl Amount]], )</f>
        <v>0</v>
      </c>
      <c r="P224" s="243">
        <f>IF(Table334[[#This Row],[Category]]="Insignia",Table334[[#This Row],[Account Deposit Amount]]-Table334[[#This Row],[Account Withdrawl Amount]], )</f>
        <v>0</v>
      </c>
      <c r="Q224" s="243">
        <f>IF(Table334[[#This Row],[Category]]="Activities/Program",Table334[[#This Row],[Account Deposit Amount]]-Table334[[#This Row],[Account Withdrawl Amount]], )</f>
        <v>0</v>
      </c>
      <c r="R224" s="243">
        <f>IF(Table334[[#This Row],[Category]]="Travel",Table334[[#This Row],[Account Deposit Amount]]-Table334[[#This Row],[Account Withdrawl Amount]], )</f>
        <v>0</v>
      </c>
      <c r="S224" s="243">
        <f>IF(Table334[[#This Row],[Category]]="Parties Food &amp; Beverages",Table334[[#This Row],[Account Deposit Amount]]-Table334[[#This Row],[Account Withdrawl Amount]], )</f>
        <v>0</v>
      </c>
      <c r="T224" s="243">
        <f>IF(Table334[[#This Row],[Category]]="Service Projects Donation",Table334[[#This Row],[Account Deposit Amount]]-Table334[[#This Row],[Account Withdrawl Amount]], )</f>
        <v>0</v>
      </c>
      <c r="U224" s="243">
        <f>IF(Table334[[#This Row],[Category]]="Cookie Debt",Table334[[#This Row],[Account Deposit Amount]]-Table334[[#This Row],[Account Withdrawl Amount]], )</f>
        <v>0</v>
      </c>
      <c r="V224" s="243">
        <f>IF(Table334[[#This Row],[Category]]="Other Expense",Table334[[#This Row],[Account Deposit Amount]]-Table334[[#This Row],[Account Withdrawl Amount]], )</f>
        <v>0</v>
      </c>
    </row>
    <row r="225" spans="1:22">
      <c r="A225" s="225"/>
      <c r="B225" s="241"/>
      <c r="C225" s="225"/>
      <c r="D225" s="225"/>
      <c r="E225" s="242"/>
      <c r="F225" s="242"/>
      <c r="G225" s="243">
        <f t="shared" si="6"/>
        <v>2518.9699999999939</v>
      </c>
      <c r="H225" s="225"/>
      <c r="I225" s="243">
        <f>IF(Table334[[#This Row],[Category]]="Fall Product",Table334[[#This Row],[Account Deposit Amount]]-Table334[[#This Row],[Account Withdrawl Amount]], )</f>
        <v>0</v>
      </c>
      <c r="J225" s="243">
        <f>IF(Table334[[#This Row],[Category]]="Cookies",Table334[[#This Row],[Account Deposit Amount]]-Table334[[#This Row],[Account Withdrawl Amount]], )</f>
        <v>0</v>
      </c>
      <c r="K225" s="243">
        <f>IF(Table334[[#This Row],[Category]]="Additional Money Earning Activities",Table334[[#This Row],[Account Deposit Amount]]-Table334[[#This Row],[Account Withdrawl Amount]], )</f>
        <v>0</v>
      </c>
      <c r="L225" s="243">
        <f>IF(Table334[[#This Row],[Category]]="Sponsorships",Table334[[#This Row],[Account Deposit Amount]]-Table334[[#This Row],[Account Withdrawl Amount]], )</f>
        <v>0</v>
      </c>
      <c r="M225" s="243">
        <f>IF(Table334[[#This Row],[Category]]="Troop Dues",Table334[[#This Row],[Account Deposit Amount]]-Table334[[#This Row],[Account Withdrawl Amount]], )</f>
        <v>0</v>
      </c>
      <c r="N225" s="243">
        <f>IF(Table334[[#This Row],[Category]]="Other Income",Table334[[#This Row],[Account Deposit Amount]]-Table334[[#This Row],[Account Withdrawl Amount]], )</f>
        <v>0</v>
      </c>
      <c r="O225" s="243">
        <f>IF(Table334[[#This Row],[Category]]="Registration",Table334[[#This Row],[Account Deposit Amount]]-Table334[[#This Row],[Account Withdrawl Amount]], )</f>
        <v>0</v>
      </c>
      <c r="P225" s="243">
        <f>IF(Table334[[#This Row],[Category]]="Insignia",Table334[[#This Row],[Account Deposit Amount]]-Table334[[#This Row],[Account Withdrawl Amount]], )</f>
        <v>0</v>
      </c>
      <c r="Q225" s="243">
        <f>IF(Table334[[#This Row],[Category]]="Activities/Program",Table334[[#This Row],[Account Deposit Amount]]-Table334[[#This Row],[Account Withdrawl Amount]], )</f>
        <v>0</v>
      </c>
      <c r="R225" s="243">
        <f>IF(Table334[[#This Row],[Category]]="Travel",Table334[[#This Row],[Account Deposit Amount]]-Table334[[#This Row],[Account Withdrawl Amount]], )</f>
        <v>0</v>
      </c>
      <c r="S225" s="243">
        <f>IF(Table334[[#This Row],[Category]]="Parties Food &amp; Beverages",Table334[[#This Row],[Account Deposit Amount]]-Table334[[#This Row],[Account Withdrawl Amount]], )</f>
        <v>0</v>
      </c>
      <c r="T225" s="243">
        <f>IF(Table334[[#This Row],[Category]]="Service Projects Donation",Table334[[#This Row],[Account Deposit Amount]]-Table334[[#This Row],[Account Withdrawl Amount]], )</f>
        <v>0</v>
      </c>
      <c r="U225" s="243">
        <f>IF(Table334[[#This Row],[Category]]="Cookie Debt",Table334[[#This Row],[Account Deposit Amount]]-Table334[[#This Row],[Account Withdrawl Amount]], )</f>
        <v>0</v>
      </c>
      <c r="V225" s="243">
        <f>IF(Table334[[#This Row],[Category]]="Other Expense",Table334[[#This Row],[Account Deposit Amount]]-Table334[[#This Row],[Account Withdrawl Amount]], )</f>
        <v>0</v>
      </c>
    </row>
    <row r="226" spans="1:22">
      <c r="A226" s="225"/>
      <c r="B226" s="241"/>
      <c r="C226" s="225"/>
      <c r="D226" s="225"/>
      <c r="E226" s="242"/>
      <c r="F226" s="242"/>
      <c r="G226" s="243">
        <f t="shared" si="6"/>
        <v>2518.9699999999939</v>
      </c>
      <c r="H226" s="225"/>
      <c r="I226" s="243">
        <f>IF(Table334[[#This Row],[Category]]="Fall Product",Table334[[#This Row],[Account Deposit Amount]]-Table334[[#This Row],[Account Withdrawl Amount]], )</f>
        <v>0</v>
      </c>
      <c r="J226" s="243">
        <f>IF(Table334[[#This Row],[Category]]="Cookies",Table334[[#This Row],[Account Deposit Amount]]-Table334[[#This Row],[Account Withdrawl Amount]], )</f>
        <v>0</v>
      </c>
      <c r="K226" s="243">
        <f>IF(Table334[[#This Row],[Category]]="Additional Money Earning Activities",Table334[[#This Row],[Account Deposit Amount]]-Table334[[#This Row],[Account Withdrawl Amount]], )</f>
        <v>0</v>
      </c>
      <c r="L226" s="243">
        <f>IF(Table334[[#This Row],[Category]]="Sponsorships",Table334[[#This Row],[Account Deposit Amount]]-Table334[[#This Row],[Account Withdrawl Amount]], )</f>
        <v>0</v>
      </c>
      <c r="M226" s="243">
        <f>IF(Table334[[#This Row],[Category]]="Troop Dues",Table334[[#This Row],[Account Deposit Amount]]-Table334[[#This Row],[Account Withdrawl Amount]], )</f>
        <v>0</v>
      </c>
      <c r="N226" s="243">
        <f>IF(Table334[[#This Row],[Category]]="Other Income",Table334[[#This Row],[Account Deposit Amount]]-Table334[[#This Row],[Account Withdrawl Amount]], )</f>
        <v>0</v>
      </c>
      <c r="O226" s="243">
        <f>IF(Table334[[#This Row],[Category]]="Registration",Table334[[#This Row],[Account Deposit Amount]]-Table334[[#This Row],[Account Withdrawl Amount]], )</f>
        <v>0</v>
      </c>
      <c r="P226" s="243">
        <f>IF(Table334[[#This Row],[Category]]="Insignia",Table334[[#This Row],[Account Deposit Amount]]-Table334[[#This Row],[Account Withdrawl Amount]], )</f>
        <v>0</v>
      </c>
      <c r="Q226" s="243">
        <f>IF(Table334[[#This Row],[Category]]="Activities/Program",Table334[[#This Row],[Account Deposit Amount]]-Table334[[#This Row],[Account Withdrawl Amount]], )</f>
        <v>0</v>
      </c>
      <c r="R226" s="243">
        <f>IF(Table334[[#This Row],[Category]]="Travel",Table334[[#This Row],[Account Deposit Amount]]-Table334[[#This Row],[Account Withdrawl Amount]], )</f>
        <v>0</v>
      </c>
      <c r="S226" s="243">
        <f>IF(Table334[[#This Row],[Category]]="Parties Food &amp; Beverages",Table334[[#This Row],[Account Deposit Amount]]-Table334[[#This Row],[Account Withdrawl Amount]], )</f>
        <v>0</v>
      </c>
      <c r="T226" s="243">
        <f>IF(Table334[[#This Row],[Category]]="Service Projects Donation",Table334[[#This Row],[Account Deposit Amount]]-Table334[[#This Row],[Account Withdrawl Amount]], )</f>
        <v>0</v>
      </c>
      <c r="U226" s="243">
        <f>IF(Table334[[#This Row],[Category]]="Cookie Debt",Table334[[#This Row],[Account Deposit Amount]]-Table334[[#This Row],[Account Withdrawl Amount]], )</f>
        <v>0</v>
      </c>
      <c r="V226" s="243">
        <f>IF(Table334[[#This Row],[Category]]="Other Expense",Table334[[#This Row],[Account Deposit Amount]]-Table334[[#This Row],[Account Withdrawl Amount]], )</f>
        <v>0</v>
      </c>
    </row>
    <row r="227" spans="1:22">
      <c r="A227" s="225"/>
      <c r="B227" s="241"/>
      <c r="C227" s="225"/>
      <c r="D227" s="225"/>
      <c r="E227" s="242"/>
      <c r="F227" s="242"/>
      <c r="G227" s="243">
        <f t="shared" si="6"/>
        <v>2518.9699999999939</v>
      </c>
      <c r="H227" s="225"/>
      <c r="I227" s="243">
        <f>IF(Table334[[#This Row],[Category]]="Fall Product",Table334[[#This Row],[Account Deposit Amount]]-Table334[[#This Row],[Account Withdrawl Amount]], )</f>
        <v>0</v>
      </c>
      <c r="J227" s="243">
        <f>IF(Table334[[#This Row],[Category]]="Cookies",Table334[[#This Row],[Account Deposit Amount]]-Table334[[#This Row],[Account Withdrawl Amount]], )</f>
        <v>0</v>
      </c>
      <c r="K227" s="243">
        <f>IF(Table334[[#This Row],[Category]]="Additional Money Earning Activities",Table334[[#This Row],[Account Deposit Amount]]-Table334[[#This Row],[Account Withdrawl Amount]], )</f>
        <v>0</v>
      </c>
      <c r="L227" s="243">
        <f>IF(Table334[[#This Row],[Category]]="Sponsorships",Table334[[#This Row],[Account Deposit Amount]]-Table334[[#This Row],[Account Withdrawl Amount]], )</f>
        <v>0</v>
      </c>
      <c r="M227" s="243">
        <f>IF(Table334[[#This Row],[Category]]="Troop Dues",Table334[[#This Row],[Account Deposit Amount]]-Table334[[#This Row],[Account Withdrawl Amount]], )</f>
        <v>0</v>
      </c>
      <c r="N227" s="243">
        <f>IF(Table334[[#This Row],[Category]]="Other Income",Table334[[#This Row],[Account Deposit Amount]]-Table334[[#This Row],[Account Withdrawl Amount]], )</f>
        <v>0</v>
      </c>
      <c r="O227" s="243">
        <f>IF(Table334[[#This Row],[Category]]="Registration",Table334[[#This Row],[Account Deposit Amount]]-Table334[[#This Row],[Account Withdrawl Amount]], )</f>
        <v>0</v>
      </c>
      <c r="P227" s="243">
        <f>IF(Table334[[#This Row],[Category]]="Insignia",Table334[[#This Row],[Account Deposit Amount]]-Table334[[#This Row],[Account Withdrawl Amount]], )</f>
        <v>0</v>
      </c>
      <c r="Q227" s="243">
        <f>IF(Table334[[#This Row],[Category]]="Activities/Program",Table334[[#This Row],[Account Deposit Amount]]-Table334[[#This Row],[Account Withdrawl Amount]], )</f>
        <v>0</v>
      </c>
      <c r="R227" s="243">
        <f>IF(Table334[[#This Row],[Category]]="Travel",Table334[[#This Row],[Account Deposit Amount]]-Table334[[#This Row],[Account Withdrawl Amount]], )</f>
        <v>0</v>
      </c>
      <c r="S227" s="243">
        <f>IF(Table334[[#This Row],[Category]]="Parties Food &amp; Beverages",Table334[[#This Row],[Account Deposit Amount]]-Table334[[#This Row],[Account Withdrawl Amount]], )</f>
        <v>0</v>
      </c>
      <c r="T227" s="243">
        <f>IF(Table334[[#This Row],[Category]]="Service Projects Donation",Table334[[#This Row],[Account Deposit Amount]]-Table334[[#This Row],[Account Withdrawl Amount]], )</f>
        <v>0</v>
      </c>
      <c r="U227" s="243">
        <f>IF(Table334[[#This Row],[Category]]="Cookie Debt",Table334[[#This Row],[Account Deposit Amount]]-Table334[[#This Row],[Account Withdrawl Amount]], )</f>
        <v>0</v>
      </c>
      <c r="V227" s="243">
        <f>IF(Table334[[#This Row],[Category]]="Other Expense",Table334[[#This Row],[Account Deposit Amount]]-Table334[[#This Row],[Account Withdrawl Amount]], )</f>
        <v>0</v>
      </c>
    </row>
    <row r="228" spans="1:22">
      <c r="A228" s="225"/>
      <c r="B228" s="241"/>
      <c r="C228" s="225"/>
      <c r="D228" s="225"/>
      <c r="E228" s="242"/>
      <c r="F228" s="242"/>
      <c r="G228" s="243">
        <f t="shared" si="6"/>
        <v>2518.9699999999939</v>
      </c>
      <c r="H228" s="225"/>
      <c r="I228" s="243">
        <f>IF(Table334[[#This Row],[Category]]="Fall Product",Table334[[#This Row],[Account Deposit Amount]]-Table334[[#This Row],[Account Withdrawl Amount]], )</f>
        <v>0</v>
      </c>
      <c r="J228" s="243">
        <f>IF(Table334[[#This Row],[Category]]="Cookies",Table334[[#This Row],[Account Deposit Amount]]-Table334[[#This Row],[Account Withdrawl Amount]], )</f>
        <v>0</v>
      </c>
      <c r="K228" s="243">
        <f>IF(Table334[[#This Row],[Category]]="Additional Money Earning Activities",Table334[[#This Row],[Account Deposit Amount]]-Table334[[#This Row],[Account Withdrawl Amount]], )</f>
        <v>0</v>
      </c>
      <c r="L228" s="243">
        <f>IF(Table334[[#This Row],[Category]]="Sponsorships",Table334[[#This Row],[Account Deposit Amount]]-Table334[[#This Row],[Account Withdrawl Amount]], )</f>
        <v>0</v>
      </c>
      <c r="M228" s="243">
        <f>IF(Table334[[#This Row],[Category]]="Troop Dues",Table334[[#This Row],[Account Deposit Amount]]-Table334[[#This Row],[Account Withdrawl Amount]], )</f>
        <v>0</v>
      </c>
      <c r="N228" s="243">
        <f>IF(Table334[[#This Row],[Category]]="Other Income",Table334[[#This Row],[Account Deposit Amount]]-Table334[[#This Row],[Account Withdrawl Amount]], )</f>
        <v>0</v>
      </c>
      <c r="O228" s="243">
        <f>IF(Table334[[#This Row],[Category]]="Registration",Table334[[#This Row],[Account Deposit Amount]]-Table334[[#This Row],[Account Withdrawl Amount]], )</f>
        <v>0</v>
      </c>
      <c r="P228" s="243">
        <f>IF(Table334[[#This Row],[Category]]="Insignia",Table334[[#This Row],[Account Deposit Amount]]-Table334[[#This Row],[Account Withdrawl Amount]], )</f>
        <v>0</v>
      </c>
      <c r="Q228" s="243">
        <f>IF(Table334[[#This Row],[Category]]="Activities/Program",Table334[[#This Row],[Account Deposit Amount]]-Table334[[#This Row],[Account Withdrawl Amount]], )</f>
        <v>0</v>
      </c>
      <c r="R228" s="243">
        <f>IF(Table334[[#This Row],[Category]]="Travel",Table334[[#This Row],[Account Deposit Amount]]-Table334[[#This Row],[Account Withdrawl Amount]], )</f>
        <v>0</v>
      </c>
      <c r="S228" s="243">
        <f>IF(Table334[[#This Row],[Category]]="Parties Food &amp; Beverages",Table334[[#This Row],[Account Deposit Amount]]-Table334[[#This Row],[Account Withdrawl Amount]], )</f>
        <v>0</v>
      </c>
      <c r="T228" s="243">
        <f>IF(Table334[[#This Row],[Category]]="Service Projects Donation",Table334[[#This Row],[Account Deposit Amount]]-Table334[[#This Row],[Account Withdrawl Amount]], )</f>
        <v>0</v>
      </c>
      <c r="U228" s="243">
        <f>IF(Table334[[#This Row],[Category]]="Cookie Debt",Table334[[#This Row],[Account Deposit Amount]]-Table334[[#This Row],[Account Withdrawl Amount]], )</f>
        <v>0</v>
      </c>
      <c r="V228" s="243">
        <f>IF(Table334[[#This Row],[Category]]="Other Expense",Table334[[#This Row],[Account Deposit Amount]]-Table334[[#This Row],[Account Withdrawl Amount]], )</f>
        <v>0</v>
      </c>
    </row>
    <row r="229" spans="1:22">
      <c r="A229" s="225"/>
      <c r="B229" s="241"/>
      <c r="C229" s="225"/>
      <c r="D229" s="225"/>
      <c r="E229" s="242"/>
      <c r="F229" s="242"/>
      <c r="G229" s="243">
        <f t="shared" si="6"/>
        <v>2518.9699999999939</v>
      </c>
      <c r="H229" s="225"/>
      <c r="I229" s="243">
        <f>IF(Table334[[#This Row],[Category]]="Fall Product",Table334[[#This Row],[Account Deposit Amount]]-Table334[[#This Row],[Account Withdrawl Amount]], )</f>
        <v>0</v>
      </c>
      <c r="J229" s="243">
        <f>IF(Table334[[#This Row],[Category]]="Cookies",Table334[[#This Row],[Account Deposit Amount]]-Table334[[#This Row],[Account Withdrawl Amount]], )</f>
        <v>0</v>
      </c>
      <c r="K229" s="243">
        <f>IF(Table334[[#This Row],[Category]]="Additional Money Earning Activities",Table334[[#This Row],[Account Deposit Amount]]-Table334[[#This Row],[Account Withdrawl Amount]], )</f>
        <v>0</v>
      </c>
      <c r="L229" s="243">
        <f>IF(Table334[[#This Row],[Category]]="Sponsorships",Table334[[#This Row],[Account Deposit Amount]]-Table334[[#This Row],[Account Withdrawl Amount]], )</f>
        <v>0</v>
      </c>
      <c r="M229" s="243">
        <f>IF(Table334[[#This Row],[Category]]="Troop Dues",Table334[[#This Row],[Account Deposit Amount]]-Table334[[#This Row],[Account Withdrawl Amount]], )</f>
        <v>0</v>
      </c>
      <c r="N229" s="243">
        <f>IF(Table334[[#This Row],[Category]]="Other Income",Table334[[#This Row],[Account Deposit Amount]]-Table334[[#This Row],[Account Withdrawl Amount]], )</f>
        <v>0</v>
      </c>
      <c r="O229" s="243">
        <f>IF(Table334[[#This Row],[Category]]="Registration",Table334[[#This Row],[Account Deposit Amount]]-Table334[[#This Row],[Account Withdrawl Amount]], )</f>
        <v>0</v>
      </c>
      <c r="P229" s="243">
        <f>IF(Table334[[#This Row],[Category]]="Insignia",Table334[[#This Row],[Account Deposit Amount]]-Table334[[#This Row],[Account Withdrawl Amount]], )</f>
        <v>0</v>
      </c>
      <c r="Q229" s="243">
        <f>IF(Table334[[#This Row],[Category]]="Activities/Program",Table334[[#This Row],[Account Deposit Amount]]-Table334[[#This Row],[Account Withdrawl Amount]], )</f>
        <v>0</v>
      </c>
      <c r="R229" s="243">
        <f>IF(Table334[[#This Row],[Category]]="Travel",Table334[[#This Row],[Account Deposit Amount]]-Table334[[#This Row],[Account Withdrawl Amount]], )</f>
        <v>0</v>
      </c>
      <c r="S229" s="243">
        <f>IF(Table334[[#This Row],[Category]]="Parties Food &amp; Beverages",Table334[[#This Row],[Account Deposit Amount]]-Table334[[#This Row],[Account Withdrawl Amount]], )</f>
        <v>0</v>
      </c>
      <c r="T229" s="243">
        <f>IF(Table334[[#This Row],[Category]]="Service Projects Donation",Table334[[#This Row],[Account Deposit Amount]]-Table334[[#This Row],[Account Withdrawl Amount]], )</f>
        <v>0</v>
      </c>
      <c r="U229" s="243">
        <f>IF(Table334[[#This Row],[Category]]="Cookie Debt",Table334[[#This Row],[Account Deposit Amount]]-Table334[[#This Row],[Account Withdrawl Amount]], )</f>
        <v>0</v>
      </c>
      <c r="V229" s="243">
        <f>IF(Table334[[#This Row],[Category]]="Other Expense",Table334[[#This Row],[Account Deposit Amount]]-Table334[[#This Row],[Account Withdrawl Amount]], )</f>
        <v>0</v>
      </c>
    </row>
    <row r="230" spans="1:22">
      <c r="A230" s="225"/>
      <c r="B230" s="241"/>
      <c r="C230" s="225"/>
      <c r="D230" s="225"/>
      <c r="E230" s="242"/>
      <c r="F230" s="242"/>
      <c r="G230" s="243">
        <f t="shared" si="6"/>
        <v>2518.9699999999939</v>
      </c>
      <c r="H230" s="225"/>
      <c r="I230" s="243">
        <f>IF(Table334[[#This Row],[Category]]="Fall Product",Table334[[#This Row],[Account Deposit Amount]]-Table334[[#This Row],[Account Withdrawl Amount]], )</f>
        <v>0</v>
      </c>
      <c r="J230" s="243">
        <f>IF(Table334[[#This Row],[Category]]="Cookies",Table334[[#This Row],[Account Deposit Amount]]-Table334[[#This Row],[Account Withdrawl Amount]], )</f>
        <v>0</v>
      </c>
      <c r="K230" s="243">
        <f>IF(Table334[[#This Row],[Category]]="Additional Money Earning Activities",Table334[[#This Row],[Account Deposit Amount]]-Table334[[#This Row],[Account Withdrawl Amount]], )</f>
        <v>0</v>
      </c>
      <c r="L230" s="243">
        <f>IF(Table334[[#This Row],[Category]]="Sponsorships",Table334[[#This Row],[Account Deposit Amount]]-Table334[[#This Row],[Account Withdrawl Amount]], )</f>
        <v>0</v>
      </c>
      <c r="M230" s="243">
        <f>IF(Table334[[#This Row],[Category]]="Troop Dues",Table334[[#This Row],[Account Deposit Amount]]-Table334[[#This Row],[Account Withdrawl Amount]], )</f>
        <v>0</v>
      </c>
      <c r="N230" s="243">
        <f>IF(Table334[[#This Row],[Category]]="Other Income",Table334[[#This Row],[Account Deposit Amount]]-Table334[[#This Row],[Account Withdrawl Amount]], )</f>
        <v>0</v>
      </c>
      <c r="O230" s="243">
        <f>IF(Table334[[#This Row],[Category]]="Registration",Table334[[#This Row],[Account Deposit Amount]]-Table334[[#This Row],[Account Withdrawl Amount]], )</f>
        <v>0</v>
      </c>
      <c r="P230" s="243">
        <f>IF(Table334[[#This Row],[Category]]="Insignia",Table334[[#This Row],[Account Deposit Amount]]-Table334[[#This Row],[Account Withdrawl Amount]], )</f>
        <v>0</v>
      </c>
      <c r="Q230" s="243">
        <f>IF(Table334[[#This Row],[Category]]="Activities/Program",Table334[[#This Row],[Account Deposit Amount]]-Table334[[#This Row],[Account Withdrawl Amount]], )</f>
        <v>0</v>
      </c>
      <c r="R230" s="243">
        <f>IF(Table334[[#This Row],[Category]]="Travel",Table334[[#This Row],[Account Deposit Amount]]-Table334[[#This Row],[Account Withdrawl Amount]], )</f>
        <v>0</v>
      </c>
      <c r="S230" s="243">
        <f>IF(Table334[[#This Row],[Category]]="Parties Food &amp; Beverages",Table334[[#This Row],[Account Deposit Amount]]-Table334[[#This Row],[Account Withdrawl Amount]], )</f>
        <v>0</v>
      </c>
      <c r="T230" s="243">
        <f>IF(Table334[[#This Row],[Category]]="Service Projects Donation",Table334[[#This Row],[Account Deposit Amount]]-Table334[[#This Row],[Account Withdrawl Amount]], )</f>
        <v>0</v>
      </c>
      <c r="U230" s="243">
        <f>IF(Table334[[#This Row],[Category]]="Cookie Debt",Table334[[#This Row],[Account Deposit Amount]]-Table334[[#This Row],[Account Withdrawl Amount]], )</f>
        <v>0</v>
      </c>
      <c r="V230" s="243">
        <f>IF(Table334[[#This Row],[Category]]="Other Expense",Table334[[#This Row],[Account Deposit Amount]]-Table334[[#This Row],[Account Withdrawl Amount]], )</f>
        <v>0</v>
      </c>
    </row>
    <row r="231" spans="1:22">
      <c r="A231" s="225"/>
      <c r="B231" s="241"/>
      <c r="C231" s="225"/>
      <c r="D231" s="225"/>
      <c r="E231" s="242"/>
      <c r="F231" s="242"/>
      <c r="G231" s="243">
        <f t="shared" si="6"/>
        <v>2518.9699999999939</v>
      </c>
      <c r="H231" s="225"/>
      <c r="I231" s="243">
        <f>IF(Table334[[#This Row],[Category]]="Fall Product",Table334[[#This Row],[Account Deposit Amount]]-Table334[[#This Row],[Account Withdrawl Amount]], )</f>
        <v>0</v>
      </c>
      <c r="J231" s="243">
        <f>IF(Table334[[#This Row],[Category]]="Cookies",Table334[[#This Row],[Account Deposit Amount]]-Table334[[#This Row],[Account Withdrawl Amount]], )</f>
        <v>0</v>
      </c>
      <c r="K231" s="243">
        <f>IF(Table334[[#This Row],[Category]]="Additional Money Earning Activities",Table334[[#This Row],[Account Deposit Amount]]-Table334[[#This Row],[Account Withdrawl Amount]], )</f>
        <v>0</v>
      </c>
      <c r="L231" s="243">
        <f>IF(Table334[[#This Row],[Category]]="Sponsorships",Table334[[#This Row],[Account Deposit Amount]]-Table334[[#This Row],[Account Withdrawl Amount]], )</f>
        <v>0</v>
      </c>
      <c r="M231" s="243">
        <f>IF(Table334[[#This Row],[Category]]="Troop Dues",Table334[[#This Row],[Account Deposit Amount]]-Table334[[#This Row],[Account Withdrawl Amount]], )</f>
        <v>0</v>
      </c>
      <c r="N231" s="243">
        <f>IF(Table334[[#This Row],[Category]]="Other Income",Table334[[#This Row],[Account Deposit Amount]]-Table334[[#This Row],[Account Withdrawl Amount]], )</f>
        <v>0</v>
      </c>
      <c r="O231" s="243">
        <f>IF(Table334[[#This Row],[Category]]="Registration",Table334[[#This Row],[Account Deposit Amount]]-Table334[[#This Row],[Account Withdrawl Amount]], )</f>
        <v>0</v>
      </c>
      <c r="P231" s="243">
        <f>IF(Table334[[#This Row],[Category]]="Insignia",Table334[[#This Row],[Account Deposit Amount]]-Table334[[#This Row],[Account Withdrawl Amount]], )</f>
        <v>0</v>
      </c>
      <c r="Q231" s="243">
        <f>IF(Table334[[#This Row],[Category]]="Activities/Program",Table334[[#This Row],[Account Deposit Amount]]-Table334[[#This Row],[Account Withdrawl Amount]], )</f>
        <v>0</v>
      </c>
      <c r="R231" s="243">
        <f>IF(Table334[[#This Row],[Category]]="Travel",Table334[[#This Row],[Account Deposit Amount]]-Table334[[#This Row],[Account Withdrawl Amount]], )</f>
        <v>0</v>
      </c>
      <c r="S231" s="243">
        <f>IF(Table334[[#This Row],[Category]]="Parties Food &amp; Beverages",Table334[[#This Row],[Account Deposit Amount]]-Table334[[#This Row],[Account Withdrawl Amount]], )</f>
        <v>0</v>
      </c>
      <c r="T231" s="243">
        <f>IF(Table334[[#This Row],[Category]]="Service Projects Donation",Table334[[#This Row],[Account Deposit Amount]]-Table334[[#This Row],[Account Withdrawl Amount]], )</f>
        <v>0</v>
      </c>
      <c r="U231" s="243">
        <f>IF(Table334[[#This Row],[Category]]="Cookie Debt",Table334[[#This Row],[Account Deposit Amount]]-Table334[[#This Row],[Account Withdrawl Amount]], )</f>
        <v>0</v>
      </c>
      <c r="V231" s="243">
        <f>IF(Table334[[#This Row],[Category]]="Other Expense",Table334[[#This Row],[Account Deposit Amount]]-Table334[[#This Row],[Account Withdrawl Amount]], )</f>
        <v>0</v>
      </c>
    </row>
    <row r="232" spans="1:22">
      <c r="A232" s="225"/>
      <c r="B232" s="241"/>
      <c r="C232" s="225"/>
      <c r="D232" s="225"/>
      <c r="E232" s="242"/>
      <c r="F232" s="242"/>
      <c r="G232" s="243">
        <f t="shared" si="6"/>
        <v>2518.9699999999939</v>
      </c>
      <c r="H232" s="225"/>
      <c r="I232" s="243">
        <f>IF(Table334[[#This Row],[Category]]="Fall Product",Table334[[#This Row],[Account Deposit Amount]]-Table334[[#This Row],[Account Withdrawl Amount]], )</f>
        <v>0</v>
      </c>
      <c r="J232" s="243">
        <f>IF(Table334[[#This Row],[Category]]="Cookies",Table334[[#This Row],[Account Deposit Amount]]-Table334[[#This Row],[Account Withdrawl Amount]], )</f>
        <v>0</v>
      </c>
      <c r="K232" s="243">
        <f>IF(Table334[[#This Row],[Category]]="Additional Money Earning Activities",Table334[[#This Row],[Account Deposit Amount]]-Table334[[#This Row],[Account Withdrawl Amount]], )</f>
        <v>0</v>
      </c>
      <c r="L232" s="243">
        <f>IF(Table334[[#This Row],[Category]]="Sponsorships",Table334[[#This Row],[Account Deposit Amount]]-Table334[[#This Row],[Account Withdrawl Amount]], )</f>
        <v>0</v>
      </c>
      <c r="M232" s="243">
        <f>IF(Table334[[#This Row],[Category]]="Troop Dues",Table334[[#This Row],[Account Deposit Amount]]-Table334[[#This Row],[Account Withdrawl Amount]], )</f>
        <v>0</v>
      </c>
      <c r="N232" s="243">
        <f>IF(Table334[[#This Row],[Category]]="Other Income",Table334[[#This Row],[Account Deposit Amount]]-Table334[[#This Row],[Account Withdrawl Amount]], )</f>
        <v>0</v>
      </c>
      <c r="O232" s="243">
        <f>IF(Table334[[#This Row],[Category]]="Registration",Table334[[#This Row],[Account Deposit Amount]]-Table334[[#This Row],[Account Withdrawl Amount]], )</f>
        <v>0</v>
      </c>
      <c r="P232" s="243">
        <f>IF(Table334[[#This Row],[Category]]="Insignia",Table334[[#This Row],[Account Deposit Amount]]-Table334[[#This Row],[Account Withdrawl Amount]], )</f>
        <v>0</v>
      </c>
      <c r="Q232" s="243">
        <f>IF(Table334[[#This Row],[Category]]="Activities/Program",Table334[[#This Row],[Account Deposit Amount]]-Table334[[#This Row],[Account Withdrawl Amount]], )</f>
        <v>0</v>
      </c>
      <c r="R232" s="243">
        <f>IF(Table334[[#This Row],[Category]]="Travel",Table334[[#This Row],[Account Deposit Amount]]-Table334[[#This Row],[Account Withdrawl Amount]], )</f>
        <v>0</v>
      </c>
      <c r="S232" s="243">
        <f>IF(Table334[[#This Row],[Category]]="Parties Food &amp; Beverages",Table334[[#This Row],[Account Deposit Amount]]-Table334[[#This Row],[Account Withdrawl Amount]], )</f>
        <v>0</v>
      </c>
      <c r="T232" s="243">
        <f>IF(Table334[[#This Row],[Category]]="Service Projects Donation",Table334[[#This Row],[Account Deposit Amount]]-Table334[[#This Row],[Account Withdrawl Amount]], )</f>
        <v>0</v>
      </c>
      <c r="U232" s="243">
        <f>IF(Table334[[#This Row],[Category]]="Cookie Debt",Table334[[#This Row],[Account Deposit Amount]]-Table334[[#This Row],[Account Withdrawl Amount]], )</f>
        <v>0</v>
      </c>
      <c r="V232" s="243">
        <f>IF(Table334[[#This Row],[Category]]="Other Expense",Table334[[#This Row],[Account Deposit Amount]]-Table334[[#This Row],[Account Withdrawl Amount]], )</f>
        <v>0</v>
      </c>
    </row>
    <row r="233" spans="1:22">
      <c r="A233" s="225"/>
      <c r="B233" s="241"/>
      <c r="C233" s="225"/>
      <c r="D233" s="225"/>
      <c r="E233" s="242"/>
      <c r="F233" s="242"/>
      <c r="G233" s="243">
        <f t="shared" si="6"/>
        <v>2518.9699999999939</v>
      </c>
      <c r="H233" s="225"/>
      <c r="I233" s="243">
        <f>IF(Table334[[#This Row],[Category]]="Fall Product",Table334[[#This Row],[Account Deposit Amount]]-Table334[[#This Row],[Account Withdrawl Amount]], )</f>
        <v>0</v>
      </c>
      <c r="J233" s="243">
        <f>IF(Table334[[#This Row],[Category]]="Cookies",Table334[[#This Row],[Account Deposit Amount]]-Table334[[#This Row],[Account Withdrawl Amount]], )</f>
        <v>0</v>
      </c>
      <c r="K233" s="243">
        <f>IF(Table334[[#This Row],[Category]]="Additional Money Earning Activities",Table334[[#This Row],[Account Deposit Amount]]-Table334[[#This Row],[Account Withdrawl Amount]], )</f>
        <v>0</v>
      </c>
      <c r="L233" s="243">
        <f>IF(Table334[[#This Row],[Category]]="Sponsorships",Table334[[#This Row],[Account Deposit Amount]]-Table334[[#This Row],[Account Withdrawl Amount]], )</f>
        <v>0</v>
      </c>
      <c r="M233" s="243">
        <f>IF(Table334[[#This Row],[Category]]="Troop Dues",Table334[[#This Row],[Account Deposit Amount]]-Table334[[#This Row],[Account Withdrawl Amount]], )</f>
        <v>0</v>
      </c>
      <c r="N233" s="243">
        <f>IF(Table334[[#This Row],[Category]]="Other Income",Table334[[#This Row],[Account Deposit Amount]]-Table334[[#This Row],[Account Withdrawl Amount]], )</f>
        <v>0</v>
      </c>
      <c r="O233" s="243">
        <f>IF(Table334[[#This Row],[Category]]="Registration",Table334[[#This Row],[Account Deposit Amount]]-Table334[[#This Row],[Account Withdrawl Amount]], )</f>
        <v>0</v>
      </c>
      <c r="P233" s="243">
        <f>IF(Table334[[#This Row],[Category]]="Insignia",Table334[[#This Row],[Account Deposit Amount]]-Table334[[#This Row],[Account Withdrawl Amount]], )</f>
        <v>0</v>
      </c>
      <c r="Q233" s="243">
        <f>IF(Table334[[#This Row],[Category]]="Activities/Program",Table334[[#This Row],[Account Deposit Amount]]-Table334[[#This Row],[Account Withdrawl Amount]], )</f>
        <v>0</v>
      </c>
      <c r="R233" s="243">
        <f>IF(Table334[[#This Row],[Category]]="Travel",Table334[[#This Row],[Account Deposit Amount]]-Table334[[#This Row],[Account Withdrawl Amount]], )</f>
        <v>0</v>
      </c>
      <c r="S233" s="243">
        <f>IF(Table334[[#This Row],[Category]]="Parties Food &amp; Beverages",Table334[[#This Row],[Account Deposit Amount]]-Table334[[#This Row],[Account Withdrawl Amount]], )</f>
        <v>0</v>
      </c>
      <c r="T233" s="243">
        <f>IF(Table334[[#This Row],[Category]]="Service Projects Donation",Table334[[#This Row],[Account Deposit Amount]]-Table334[[#This Row],[Account Withdrawl Amount]], )</f>
        <v>0</v>
      </c>
      <c r="U233" s="243">
        <f>IF(Table334[[#This Row],[Category]]="Cookie Debt",Table334[[#This Row],[Account Deposit Amount]]-Table334[[#This Row],[Account Withdrawl Amount]], )</f>
        <v>0</v>
      </c>
      <c r="V233" s="243">
        <f>IF(Table334[[#This Row],[Category]]="Other Expense",Table334[[#This Row],[Account Deposit Amount]]-Table334[[#This Row],[Account Withdrawl Amount]], )</f>
        <v>0</v>
      </c>
    </row>
    <row r="234" spans="1:22">
      <c r="A234" s="225"/>
      <c r="B234" s="241"/>
      <c r="C234" s="225"/>
      <c r="D234" s="225"/>
      <c r="E234" s="242"/>
      <c r="F234" s="242"/>
      <c r="G234" s="243">
        <f t="shared" si="6"/>
        <v>2518.9699999999939</v>
      </c>
      <c r="H234" s="225"/>
      <c r="I234" s="243">
        <f>IF(Table334[[#This Row],[Category]]="Fall Product",Table334[[#This Row],[Account Deposit Amount]]-Table334[[#This Row],[Account Withdrawl Amount]], )</f>
        <v>0</v>
      </c>
      <c r="J234" s="243">
        <f>IF(Table334[[#This Row],[Category]]="Cookies",Table334[[#This Row],[Account Deposit Amount]]-Table334[[#This Row],[Account Withdrawl Amount]], )</f>
        <v>0</v>
      </c>
      <c r="K234" s="243">
        <f>IF(Table334[[#This Row],[Category]]="Additional Money Earning Activities",Table334[[#This Row],[Account Deposit Amount]]-Table334[[#This Row],[Account Withdrawl Amount]], )</f>
        <v>0</v>
      </c>
      <c r="L234" s="243">
        <f>IF(Table334[[#This Row],[Category]]="Sponsorships",Table334[[#This Row],[Account Deposit Amount]]-Table334[[#This Row],[Account Withdrawl Amount]], )</f>
        <v>0</v>
      </c>
      <c r="M234" s="243">
        <f>IF(Table334[[#This Row],[Category]]="Troop Dues",Table334[[#This Row],[Account Deposit Amount]]-Table334[[#This Row],[Account Withdrawl Amount]], )</f>
        <v>0</v>
      </c>
      <c r="N234" s="243">
        <f>IF(Table334[[#This Row],[Category]]="Other Income",Table334[[#This Row],[Account Deposit Amount]]-Table334[[#This Row],[Account Withdrawl Amount]], )</f>
        <v>0</v>
      </c>
      <c r="O234" s="243">
        <f>IF(Table334[[#This Row],[Category]]="Registration",Table334[[#This Row],[Account Deposit Amount]]-Table334[[#This Row],[Account Withdrawl Amount]], )</f>
        <v>0</v>
      </c>
      <c r="P234" s="243">
        <f>IF(Table334[[#This Row],[Category]]="Insignia",Table334[[#This Row],[Account Deposit Amount]]-Table334[[#This Row],[Account Withdrawl Amount]], )</f>
        <v>0</v>
      </c>
      <c r="Q234" s="243">
        <f>IF(Table334[[#This Row],[Category]]="Activities/Program",Table334[[#This Row],[Account Deposit Amount]]-Table334[[#This Row],[Account Withdrawl Amount]], )</f>
        <v>0</v>
      </c>
      <c r="R234" s="243">
        <f>IF(Table334[[#This Row],[Category]]="Travel",Table334[[#This Row],[Account Deposit Amount]]-Table334[[#This Row],[Account Withdrawl Amount]], )</f>
        <v>0</v>
      </c>
      <c r="S234" s="243">
        <f>IF(Table334[[#This Row],[Category]]="Parties Food &amp; Beverages",Table334[[#This Row],[Account Deposit Amount]]-Table334[[#This Row],[Account Withdrawl Amount]], )</f>
        <v>0</v>
      </c>
      <c r="T234" s="243">
        <f>IF(Table334[[#This Row],[Category]]="Service Projects Donation",Table334[[#This Row],[Account Deposit Amount]]-Table334[[#This Row],[Account Withdrawl Amount]], )</f>
        <v>0</v>
      </c>
      <c r="U234" s="243">
        <f>IF(Table334[[#This Row],[Category]]="Cookie Debt",Table334[[#This Row],[Account Deposit Amount]]-Table334[[#This Row],[Account Withdrawl Amount]], )</f>
        <v>0</v>
      </c>
      <c r="V234" s="243">
        <f>IF(Table334[[#This Row],[Category]]="Other Expense",Table334[[#This Row],[Account Deposit Amount]]-Table334[[#This Row],[Account Withdrawl Amount]], )</f>
        <v>0</v>
      </c>
    </row>
    <row r="235" spans="1:22">
      <c r="A235" s="225"/>
      <c r="B235" s="241"/>
      <c r="C235" s="225"/>
      <c r="D235" s="225"/>
      <c r="E235" s="242"/>
      <c r="F235" s="242"/>
      <c r="G235" s="243">
        <f t="shared" si="6"/>
        <v>2518.9699999999939</v>
      </c>
      <c r="H235" s="225"/>
      <c r="I235" s="243">
        <f>IF(Table334[[#This Row],[Category]]="Fall Product",Table334[[#This Row],[Account Deposit Amount]]-Table334[[#This Row],[Account Withdrawl Amount]], )</f>
        <v>0</v>
      </c>
      <c r="J235" s="243">
        <f>IF(Table334[[#This Row],[Category]]="Cookies",Table334[[#This Row],[Account Deposit Amount]]-Table334[[#This Row],[Account Withdrawl Amount]], )</f>
        <v>0</v>
      </c>
      <c r="K235" s="243">
        <f>IF(Table334[[#This Row],[Category]]="Additional Money Earning Activities",Table334[[#This Row],[Account Deposit Amount]]-Table334[[#This Row],[Account Withdrawl Amount]], )</f>
        <v>0</v>
      </c>
      <c r="L235" s="243">
        <f>IF(Table334[[#This Row],[Category]]="Sponsorships",Table334[[#This Row],[Account Deposit Amount]]-Table334[[#This Row],[Account Withdrawl Amount]], )</f>
        <v>0</v>
      </c>
      <c r="M235" s="243">
        <f>IF(Table334[[#This Row],[Category]]="Troop Dues",Table334[[#This Row],[Account Deposit Amount]]-Table334[[#This Row],[Account Withdrawl Amount]], )</f>
        <v>0</v>
      </c>
      <c r="N235" s="243">
        <f>IF(Table334[[#This Row],[Category]]="Other Income",Table334[[#This Row],[Account Deposit Amount]]-Table334[[#This Row],[Account Withdrawl Amount]], )</f>
        <v>0</v>
      </c>
      <c r="O235" s="243">
        <f>IF(Table334[[#This Row],[Category]]="Registration",Table334[[#This Row],[Account Deposit Amount]]-Table334[[#This Row],[Account Withdrawl Amount]], )</f>
        <v>0</v>
      </c>
      <c r="P235" s="243">
        <f>IF(Table334[[#This Row],[Category]]="Insignia",Table334[[#This Row],[Account Deposit Amount]]-Table334[[#This Row],[Account Withdrawl Amount]], )</f>
        <v>0</v>
      </c>
      <c r="Q235" s="243">
        <f>IF(Table334[[#This Row],[Category]]="Activities/Program",Table334[[#This Row],[Account Deposit Amount]]-Table334[[#This Row],[Account Withdrawl Amount]], )</f>
        <v>0</v>
      </c>
      <c r="R235" s="243">
        <f>IF(Table334[[#This Row],[Category]]="Travel",Table334[[#This Row],[Account Deposit Amount]]-Table334[[#This Row],[Account Withdrawl Amount]], )</f>
        <v>0</v>
      </c>
      <c r="S235" s="243">
        <f>IF(Table334[[#This Row],[Category]]="Parties Food &amp; Beverages",Table334[[#This Row],[Account Deposit Amount]]-Table334[[#This Row],[Account Withdrawl Amount]], )</f>
        <v>0</v>
      </c>
      <c r="T235" s="243">
        <f>IF(Table334[[#This Row],[Category]]="Service Projects Donation",Table334[[#This Row],[Account Deposit Amount]]-Table334[[#This Row],[Account Withdrawl Amount]], )</f>
        <v>0</v>
      </c>
      <c r="U235" s="243">
        <f>IF(Table334[[#This Row],[Category]]="Cookie Debt",Table334[[#This Row],[Account Deposit Amount]]-Table334[[#This Row],[Account Withdrawl Amount]], )</f>
        <v>0</v>
      </c>
      <c r="V235" s="243">
        <f>IF(Table334[[#This Row],[Category]]="Other Expense",Table334[[#This Row],[Account Deposit Amount]]-Table334[[#This Row],[Account Withdrawl Amount]], )</f>
        <v>0</v>
      </c>
    </row>
    <row r="236" spans="1:22">
      <c r="A236" s="225"/>
      <c r="B236" s="241"/>
      <c r="C236" s="225"/>
      <c r="D236" s="225"/>
      <c r="E236" s="242"/>
      <c r="F236" s="242"/>
      <c r="G236" s="243">
        <f t="shared" si="6"/>
        <v>2518.9699999999939</v>
      </c>
      <c r="H236" s="225"/>
      <c r="I236" s="243">
        <f>IF(Table334[[#This Row],[Category]]="Fall Product",Table334[[#This Row],[Account Deposit Amount]]-Table334[[#This Row],[Account Withdrawl Amount]], )</f>
        <v>0</v>
      </c>
      <c r="J236" s="243">
        <f>IF(Table334[[#This Row],[Category]]="Cookies",Table334[[#This Row],[Account Deposit Amount]]-Table334[[#This Row],[Account Withdrawl Amount]], )</f>
        <v>0</v>
      </c>
      <c r="K236" s="243">
        <f>IF(Table334[[#This Row],[Category]]="Additional Money Earning Activities",Table334[[#This Row],[Account Deposit Amount]]-Table334[[#This Row],[Account Withdrawl Amount]], )</f>
        <v>0</v>
      </c>
      <c r="L236" s="243">
        <f>IF(Table334[[#This Row],[Category]]="Sponsorships",Table334[[#This Row],[Account Deposit Amount]]-Table334[[#This Row],[Account Withdrawl Amount]], )</f>
        <v>0</v>
      </c>
      <c r="M236" s="243">
        <f>IF(Table334[[#This Row],[Category]]="Troop Dues",Table334[[#This Row],[Account Deposit Amount]]-Table334[[#This Row],[Account Withdrawl Amount]], )</f>
        <v>0</v>
      </c>
      <c r="N236" s="243">
        <f>IF(Table334[[#This Row],[Category]]="Other Income",Table334[[#This Row],[Account Deposit Amount]]-Table334[[#This Row],[Account Withdrawl Amount]], )</f>
        <v>0</v>
      </c>
      <c r="O236" s="243">
        <f>IF(Table334[[#This Row],[Category]]="Registration",Table334[[#This Row],[Account Deposit Amount]]-Table334[[#This Row],[Account Withdrawl Amount]], )</f>
        <v>0</v>
      </c>
      <c r="P236" s="243">
        <f>IF(Table334[[#This Row],[Category]]="Insignia",Table334[[#This Row],[Account Deposit Amount]]-Table334[[#This Row],[Account Withdrawl Amount]], )</f>
        <v>0</v>
      </c>
      <c r="Q236" s="243">
        <f>IF(Table334[[#This Row],[Category]]="Activities/Program",Table334[[#This Row],[Account Deposit Amount]]-Table334[[#This Row],[Account Withdrawl Amount]], )</f>
        <v>0</v>
      </c>
      <c r="R236" s="243">
        <f>IF(Table334[[#This Row],[Category]]="Travel",Table334[[#This Row],[Account Deposit Amount]]-Table334[[#This Row],[Account Withdrawl Amount]], )</f>
        <v>0</v>
      </c>
      <c r="S236" s="243">
        <f>IF(Table334[[#This Row],[Category]]="Parties Food &amp; Beverages",Table334[[#This Row],[Account Deposit Amount]]-Table334[[#This Row],[Account Withdrawl Amount]], )</f>
        <v>0</v>
      </c>
      <c r="T236" s="243">
        <f>IF(Table334[[#This Row],[Category]]="Service Projects Donation",Table334[[#This Row],[Account Deposit Amount]]-Table334[[#This Row],[Account Withdrawl Amount]], )</f>
        <v>0</v>
      </c>
      <c r="U236" s="243">
        <f>IF(Table334[[#This Row],[Category]]="Cookie Debt",Table334[[#This Row],[Account Deposit Amount]]-Table334[[#This Row],[Account Withdrawl Amount]], )</f>
        <v>0</v>
      </c>
      <c r="V236" s="243">
        <f>IF(Table334[[#This Row],[Category]]="Other Expense",Table334[[#This Row],[Account Deposit Amount]]-Table334[[#This Row],[Account Withdrawl Amount]], )</f>
        <v>0</v>
      </c>
    </row>
    <row r="237" spans="1:22">
      <c r="A237" s="225"/>
      <c r="B237" s="241"/>
      <c r="C237" s="225"/>
      <c r="D237" s="225"/>
      <c r="E237" s="242"/>
      <c r="F237" s="242"/>
      <c r="G237" s="243">
        <f t="shared" si="6"/>
        <v>2518.9699999999939</v>
      </c>
      <c r="H237" s="225"/>
      <c r="I237" s="243">
        <f>IF(Table334[[#This Row],[Category]]="Fall Product",Table334[[#This Row],[Account Deposit Amount]]-Table334[[#This Row],[Account Withdrawl Amount]], )</f>
        <v>0</v>
      </c>
      <c r="J237" s="243">
        <f>IF(Table334[[#This Row],[Category]]="Cookies",Table334[[#This Row],[Account Deposit Amount]]-Table334[[#This Row],[Account Withdrawl Amount]], )</f>
        <v>0</v>
      </c>
      <c r="K237" s="243">
        <f>IF(Table334[[#This Row],[Category]]="Additional Money Earning Activities",Table334[[#This Row],[Account Deposit Amount]]-Table334[[#This Row],[Account Withdrawl Amount]], )</f>
        <v>0</v>
      </c>
      <c r="L237" s="243">
        <f>IF(Table334[[#This Row],[Category]]="Sponsorships",Table334[[#This Row],[Account Deposit Amount]]-Table334[[#This Row],[Account Withdrawl Amount]], )</f>
        <v>0</v>
      </c>
      <c r="M237" s="243">
        <f>IF(Table334[[#This Row],[Category]]="Troop Dues",Table334[[#This Row],[Account Deposit Amount]]-Table334[[#This Row],[Account Withdrawl Amount]], )</f>
        <v>0</v>
      </c>
      <c r="N237" s="243">
        <f>IF(Table334[[#This Row],[Category]]="Other Income",Table334[[#This Row],[Account Deposit Amount]]-Table334[[#This Row],[Account Withdrawl Amount]], )</f>
        <v>0</v>
      </c>
      <c r="O237" s="243">
        <f>IF(Table334[[#This Row],[Category]]="Registration",Table334[[#This Row],[Account Deposit Amount]]-Table334[[#This Row],[Account Withdrawl Amount]], )</f>
        <v>0</v>
      </c>
      <c r="P237" s="243">
        <f>IF(Table334[[#This Row],[Category]]="Insignia",Table334[[#This Row],[Account Deposit Amount]]-Table334[[#This Row],[Account Withdrawl Amount]], )</f>
        <v>0</v>
      </c>
      <c r="Q237" s="243">
        <f>IF(Table334[[#This Row],[Category]]="Activities/Program",Table334[[#This Row],[Account Deposit Amount]]-Table334[[#This Row],[Account Withdrawl Amount]], )</f>
        <v>0</v>
      </c>
      <c r="R237" s="243">
        <f>IF(Table334[[#This Row],[Category]]="Travel",Table334[[#This Row],[Account Deposit Amount]]-Table334[[#This Row],[Account Withdrawl Amount]], )</f>
        <v>0</v>
      </c>
      <c r="S237" s="243">
        <f>IF(Table334[[#This Row],[Category]]="Parties Food &amp; Beverages",Table334[[#This Row],[Account Deposit Amount]]-Table334[[#This Row],[Account Withdrawl Amount]], )</f>
        <v>0</v>
      </c>
      <c r="T237" s="243">
        <f>IF(Table334[[#This Row],[Category]]="Service Projects Donation",Table334[[#This Row],[Account Deposit Amount]]-Table334[[#This Row],[Account Withdrawl Amount]], )</f>
        <v>0</v>
      </c>
      <c r="U237" s="243">
        <f>IF(Table334[[#This Row],[Category]]="Cookie Debt",Table334[[#This Row],[Account Deposit Amount]]-Table334[[#This Row],[Account Withdrawl Amount]], )</f>
        <v>0</v>
      </c>
      <c r="V237" s="243">
        <f>IF(Table334[[#This Row],[Category]]="Other Expense",Table334[[#This Row],[Account Deposit Amount]]-Table334[[#This Row],[Account Withdrawl Amount]], )</f>
        <v>0</v>
      </c>
    </row>
    <row r="238" spans="1:22">
      <c r="A238" s="225"/>
      <c r="B238" s="241"/>
      <c r="C238" s="225"/>
      <c r="D238" s="225"/>
      <c r="E238" s="242"/>
      <c r="F238" s="242"/>
      <c r="G238" s="243">
        <f t="shared" si="6"/>
        <v>2518.9699999999939</v>
      </c>
      <c r="H238" s="225"/>
      <c r="I238" s="243">
        <f>IF(Table334[[#This Row],[Category]]="Fall Product",Table334[[#This Row],[Account Deposit Amount]]-Table334[[#This Row],[Account Withdrawl Amount]], )</f>
        <v>0</v>
      </c>
      <c r="J238" s="243">
        <f>IF(Table334[[#This Row],[Category]]="Cookies",Table334[[#This Row],[Account Deposit Amount]]-Table334[[#This Row],[Account Withdrawl Amount]], )</f>
        <v>0</v>
      </c>
      <c r="K238" s="243">
        <f>IF(Table334[[#This Row],[Category]]="Additional Money Earning Activities",Table334[[#This Row],[Account Deposit Amount]]-Table334[[#This Row],[Account Withdrawl Amount]], )</f>
        <v>0</v>
      </c>
      <c r="L238" s="243">
        <f>IF(Table334[[#This Row],[Category]]="Sponsorships",Table334[[#This Row],[Account Deposit Amount]]-Table334[[#This Row],[Account Withdrawl Amount]], )</f>
        <v>0</v>
      </c>
      <c r="M238" s="243">
        <f>IF(Table334[[#This Row],[Category]]="Troop Dues",Table334[[#This Row],[Account Deposit Amount]]-Table334[[#This Row],[Account Withdrawl Amount]], )</f>
        <v>0</v>
      </c>
      <c r="N238" s="243">
        <f>IF(Table334[[#This Row],[Category]]="Other Income",Table334[[#This Row],[Account Deposit Amount]]-Table334[[#This Row],[Account Withdrawl Amount]], )</f>
        <v>0</v>
      </c>
      <c r="O238" s="243">
        <f>IF(Table334[[#This Row],[Category]]="Registration",Table334[[#This Row],[Account Deposit Amount]]-Table334[[#This Row],[Account Withdrawl Amount]], )</f>
        <v>0</v>
      </c>
      <c r="P238" s="243">
        <f>IF(Table334[[#This Row],[Category]]="Insignia",Table334[[#This Row],[Account Deposit Amount]]-Table334[[#This Row],[Account Withdrawl Amount]], )</f>
        <v>0</v>
      </c>
      <c r="Q238" s="243">
        <f>IF(Table334[[#This Row],[Category]]="Activities/Program",Table334[[#This Row],[Account Deposit Amount]]-Table334[[#This Row],[Account Withdrawl Amount]], )</f>
        <v>0</v>
      </c>
      <c r="R238" s="243">
        <f>IF(Table334[[#This Row],[Category]]="Travel",Table334[[#This Row],[Account Deposit Amount]]-Table334[[#This Row],[Account Withdrawl Amount]], )</f>
        <v>0</v>
      </c>
      <c r="S238" s="243">
        <f>IF(Table334[[#This Row],[Category]]="Parties Food &amp; Beverages",Table334[[#This Row],[Account Deposit Amount]]-Table334[[#This Row],[Account Withdrawl Amount]], )</f>
        <v>0</v>
      </c>
      <c r="T238" s="243">
        <f>IF(Table334[[#This Row],[Category]]="Service Projects Donation",Table334[[#This Row],[Account Deposit Amount]]-Table334[[#This Row],[Account Withdrawl Amount]], )</f>
        <v>0</v>
      </c>
      <c r="U238" s="243">
        <f>IF(Table334[[#This Row],[Category]]="Cookie Debt",Table334[[#This Row],[Account Deposit Amount]]-Table334[[#This Row],[Account Withdrawl Amount]], )</f>
        <v>0</v>
      </c>
      <c r="V238" s="243">
        <f>IF(Table334[[#This Row],[Category]]="Other Expense",Table334[[#This Row],[Account Deposit Amount]]-Table334[[#This Row],[Account Withdrawl Amount]], )</f>
        <v>0</v>
      </c>
    </row>
    <row r="239" spans="1:22">
      <c r="A239" s="225"/>
      <c r="B239" s="241"/>
      <c r="C239" s="225"/>
      <c r="D239" s="225"/>
      <c r="E239" s="242"/>
      <c r="F239" s="242"/>
      <c r="G239" s="243">
        <f t="shared" si="6"/>
        <v>2518.9699999999939</v>
      </c>
      <c r="H239" s="225"/>
      <c r="I239" s="243">
        <f>IF(Table334[[#This Row],[Category]]="Fall Product",Table334[[#This Row],[Account Deposit Amount]]-Table334[[#This Row],[Account Withdrawl Amount]], )</f>
        <v>0</v>
      </c>
      <c r="J239" s="243">
        <f>IF(Table334[[#This Row],[Category]]="Cookies",Table334[[#This Row],[Account Deposit Amount]]-Table334[[#This Row],[Account Withdrawl Amount]], )</f>
        <v>0</v>
      </c>
      <c r="K239" s="243">
        <f>IF(Table334[[#This Row],[Category]]="Additional Money Earning Activities",Table334[[#This Row],[Account Deposit Amount]]-Table334[[#This Row],[Account Withdrawl Amount]], )</f>
        <v>0</v>
      </c>
      <c r="L239" s="243">
        <f>IF(Table334[[#This Row],[Category]]="Sponsorships",Table334[[#This Row],[Account Deposit Amount]]-Table334[[#This Row],[Account Withdrawl Amount]], )</f>
        <v>0</v>
      </c>
      <c r="M239" s="243">
        <f>IF(Table334[[#This Row],[Category]]="Troop Dues",Table334[[#This Row],[Account Deposit Amount]]-Table334[[#This Row],[Account Withdrawl Amount]], )</f>
        <v>0</v>
      </c>
      <c r="N239" s="243">
        <f>IF(Table334[[#This Row],[Category]]="Other Income",Table334[[#This Row],[Account Deposit Amount]]-Table334[[#This Row],[Account Withdrawl Amount]], )</f>
        <v>0</v>
      </c>
      <c r="O239" s="243">
        <f>IF(Table334[[#This Row],[Category]]="Registration",Table334[[#This Row],[Account Deposit Amount]]-Table334[[#This Row],[Account Withdrawl Amount]], )</f>
        <v>0</v>
      </c>
      <c r="P239" s="243">
        <f>IF(Table334[[#This Row],[Category]]="Insignia",Table334[[#This Row],[Account Deposit Amount]]-Table334[[#This Row],[Account Withdrawl Amount]], )</f>
        <v>0</v>
      </c>
      <c r="Q239" s="243">
        <f>IF(Table334[[#This Row],[Category]]="Activities/Program",Table334[[#This Row],[Account Deposit Amount]]-Table334[[#This Row],[Account Withdrawl Amount]], )</f>
        <v>0</v>
      </c>
      <c r="R239" s="243">
        <f>IF(Table334[[#This Row],[Category]]="Travel",Table334[[#This Row],[Account Deposit Amount]]-Table334[[#This Row],[Account Withdrawl Amount]], )</f>
        <v>0</v>
      </c>
      <c r="S239" s="243">
        <f>IF(Table334[[#This Row],[Category]]="Parties Food &amp; Beverages",Table334[[#This Row],[Account Deposit Amount]]-Table334[[#This Row],[Account Withdrawl Amount]], )</f>
        <v>0</v>
      </c>
      <c r="T239" s="243">
        <f>IF(Table334[[#This Row],[Category]]="Service Projects Donation",Table334[[#This Row],[Account Deposit Amount]]-Table334[[#This Row],[Account Withdrawl Amount]], )</f>
        <v>0</v>
      </c>
      <c r="U239" s="243">
        <f>IF(Table334[[#This Row],[Category]]="Cookie Debt",Table334[[#This Row],[Account Deposit Amount]]-Table334[[#This Row],[Account Withdrawl Amount]], )</f>
        <v>0</v>
      </c>
      <c r="V239" s="243">
        <f>IF(Table334[[#This Row],[Category]]="Other Expense",Table334[[#This Row],[Account Deposit Amount]]-Table334[[#This Row],[Account Withdrawl Amount]], )</f>
        <v>0</v>
      </c>
    </row>
    <row r="240" spans="1:22">
      <c r="A240" s="225"/>
      <c r="B240" s="241"/>
      <c r="C240" s="225"/>
      <c r="D240" s="225"/>
      <c r="E240" s="242"/>
      <c r="F240" s="242"/>
      <c r="G240" s="243">
        <f t="shared" si="6"/>
        <v>2518.9699999999939</v>
      </c>
      <c r="H240" s="225"/>
      <c r="I240" s="243">
        <f>IF(Table334[[#This Row],[Category]]="Fall Product",Table334[[#This Row],[Account Deposit Amount]]-Table334[[#This Row],[Account Withdrawl Amount]], )</f>
        <v>0</v>
      </c>
      <c r="J240" s="243">
        <f>IF(Table334[[#This Row],[Category]]="Cookies",Table334[[#This Row],[Account Deposit Amount]]-Table334[[#This Row],[Account Withdrawl Amount]], )</f>
        <v>0</v>
      </c>
      <c r="K240" s="243">
        <f>IF(Table334[[#This Row],[Category]]="Additional Money Earning Activities",Table334[[#This Row],[Account Deposit Amount]]-Table334[[#This Row],[Account Withdrawl Amount]], )</f>
        <v>0</v>
      </c>
      <c r="L240" s="243">
        <f>IF(Table334[[#This Row],[Category]]="Sponsorships",Table334[[#This Row],[Account Deposit Amount]]-Table334[[#This Row],[Account Withdrawl Amount]], )</f>
        <v>0</v>
      </c>
      <c r="M240" s="243">
        <f>IF(Table334[[#This Row],[Category]]="Troop Dues",Table334[[#This Row],[Account Deposit Amount]]-Table334[[#This Row],[Account Withdrawl Amount]], )</f>
        <v>0</v>
      </c>
      <c r="N240" s="243">
        <f>IF(Table334[[#This Row],[Category]]="Other Income",Table334[[#This Row],[Account Deposit Amount]]-Table334[[#This Row],[Account Withdrawl Amount]], )</f>
        <v>0</v>
      </c>
      <c r="O240" s="243">
        <f>IF(Table334[[#This Row],[Category]]="Registration",Table334[[#This Row],[Account Deposit Amount]]-Table334[[#This Row],[Account Withdrawl Amount]], )</f>
        <v>0</v>
      </c>
      <c r="P240" s="243">
        <f>IF(Table334[[#This Row],[Category]]="Insignia",Table334[[#This Row],[Account Deposit Amount]]-Table334[[#This Row],[Account Withdrawl Amount]], )</f>
        <v>0</v>
      </c>
      <c r="Q240" s="243">
        <f>IF(Table334[[#This Row],[Category]]="Activities/Program",Table334[[#This Row],[Account Deposit Amount]]-Table334[[#This Row],[Account Withdrawl Amount]], )</f>
        <v>0</v>
      </c>
      <c r="R240" s="243">
        <f>IF(Table334[[#This Row],[Category]]="Travel",Table334[[#This Row],[Account Deposit Amount]]-Table334[[#This Row],[Account Withdrawl Amount]], )</f>
        <v>0</v>
      </c>
      <c r="S240" s="243">
        <f>IF(Table334[[#This Row],[Category]]="Parties Food &amp; Beverages",Table334[[#This Row],[Account Deposit Amount]]-Table334[[#This Row],[Account Withdrawl Amount]], )</f>
        <v>0</v>
      </c>
      <c r="T240" s="243">
        <f>IF(Table334[[#This Row],[Category]]="Service Projects Donation",Table334[[#This Row],[Account Deposit Amount]]-Table334[[#This Row],[Account Withdrawl Amount]], )</f>
        <v>0</v>
      </c>
      <c r="U240" s="243">
        <f>IF(Table334[[#This Row],[Category]]="Cookie Debt",Table334[[#This Row],[Account Deposit Amount]]-Table334[[#This Row],[Account Withdrawl Amount]], )</f>
        <v>0</v>
      </c>
      <c r="V240" s="243">
        <f>IF(Table334[[#This Row],[Category]]="Other Expense",Table334[[#This Row],[Account Deposit Amount]]-Table334[[#This Row],[Account Withdrawl Amount]], )</f>
        <v>0</v>
      </c>
    </row>
    <row r="241" spans="1:22">
      <c r="A241" s="225"/>
      <c r="B241" s="241"/>
      <c r="C241" s="225"/>
      <c r="D241" s="225"/>
      <c r="E241" s="242"/>
      <c r="F241" s="242"/>
      <c r="G241" s="243">
        <f t="shared" si="6"/>
        <v>2518.9699999999939</v>
      </c>
      <c r="H241" s="225"/>
      <c r="I241" s="243">
        <f>IF(Table334[[#This Row],[Category]]="Fall Product",Table334[[#This Row],[Account Deposit Amount]]-Table334[[#This Row],[Account Withdrawl Amount]], )</f>
        <v>0</v>
      </c>
      <c r="J241" s="243">
        <f>IF(Table334[[#This Row],[Category]]="Cookies",Table334[[#This Row],[Account Deposit Amount]]-Table334[[#This Row],[Account Withdrawl Amount]], )</f>
        <v>0</v>
      </c>
      <c r="K241" s="243">
        <f>IF(Table334[[#This Row],[Category]]="Additional Money Earning Activities",Table334[[#This Row],[Account Deposit Amount]]-Table334[[#This Row],[Account Withdrawl Amount]], )</f>
        <v>0</v>
      </c>
      <c r="L241" s="243">
        <f>IF(Table334[[#This Row],[Category]]="Sponsorships",Table334[[#This Row],[Account Deposit Amount]]-Table334[[#This Row],[Account Withdrawl Amount]], )</f>
        <v>0</v>
      </c>
      <c r="M241" s="243">
        <f>IF(Table334[[#This Row],[Category]]="Troop Dues",Table334[[#This Row],[Account Deposit Amount]]-Table334[[#This Row],[Account Withdrawl Amount]], )</f>
        <v>0</v>
      </c>
      <c r="N241" s="243">
        <f>IF(Table334[[#This Row],[Category]]="Other Income",Table334[[#This Row],[Account Deposit Amount]]-Table334[[#This Row],[Account Withdrawl Amount]], )</f>
        <v>0</v>
      </c>
      <c r="O241" s="243">
        <f>IF(Table334[[#This Row],[Category]]="Registration",Table334[[#This Row],[Account Deposit Amount]]-Table334[[#This Row],[Account Withdrawl Amount]], )</f>
        <v>0</v>
      </c>
      <c r="P241" s="243">
        <f>IF(Table334[[#This Row],[Category]]="Insignia",Table334[[#This Row],[Account Deposit Amount]]-Table334[[#This Row],[Account Withdrawl Amount]], )</f>
        <v>0</v>
      </c>
      <c r="Q241" s="243">
        <f>IF(Table334[[#This Row],[Category]]="Activities/Program",Table334[[#This Row],[Account Deposit Amount]]-Table334[[#This Row],[Account Withdrawl Amount]], )</f>
        <v>0</v>
      </c>
      <c r="R241" s="243">
        <f>IF(Table334[[#This Row],[Category]]="Travel",Table334[[#This Row],[Account Deposit Amount]]-Table334[[#This Row],[Account Withdrawl Amount]], )</f>
        <v>0</v>
      </c>
      <c r="S241" s="243">
        <f>IF(Table334[[#This Row],[Category]]="Parties Food &amp; Beverages",Table334[[#This Row],[Account Deposit Amount]]-Table334[[#This Row],[Account Withdrawl Amount]], )</f>
        <v>0</v>
      </c>
      <c r="T241" s="243">
        <f>IF(Table334[[#This Row],[Category]]="Service Projects Donation",Table334[[#This Row],[Account Deposit Amount]]-Table334[[#This Row],[Account Withdrawl Amount]], )</f>
        <v>0</v>
      </c>
      <c r="U241" s="243">
        <f>IF(Table334[[#This Row],[Category]]="Cookie Debt",Table334[[#This Row],[Account Deposit Amount]]-Table334[[#This Row],[Account Withdrawl Amount]], )</f>
        <v>0</v>
      </c>
      <c r="V241" s="243">
        <f>IF(Table334[[#This Row],[Category]]="Other Expense",Table334[[#This Row],[Account Deposit Amount]]-Table334[[#This Row],[Account Withdrawl Amount]], )</f>
        <v>0</v>
      </c>
    </row>
    <row r="242" spans="1:22">
      <c r="A242" s="225"/>
      <c r="B242" s="241"/>
      <c r="C242" s="225"/>
      <c r="D242" s="225"/>
      <c r="E242" s="242"/>
      <c r="F242" s="242"/>
      <c r="G242" s="243">
        <f t="shared" si="6"/>
        <v>2518.9699999999939</v>
      </c>
      <c r="H242" s="225"/>
      <c r="I242" s="243">
        <f>IF(Table334[[#This Row],[Category]]="Fall Product",Table334[[#This Row],[Account Deposit Amount]]-Table334[[#This Row],[Account Withdrawl Amount]], )</f>
        <v>0</v>
      </c>
      <c r="J242" s="243">
        <f>IF(Table334[[#This Row],[Category]]="Cookies",Table334[[#This Row],[Account Deposit Amount]]-Table334[[#This Row],[Account Withdrawl Amount]], )</f>
        <v>0</v>
      </c>
      <c r="K242" s="243">
        <f>IF(Table334[[#This Row],[Category]]="Additional Money Earning Activities",Table334[[#This Row],[Account Deposit Amount]]-Table334[[#This Row],[Account Withdrawl Amount]], )</f>
        <v>0</v>
      </c>
      <c r="L242" s="243">
        <f>IF(Table334[[#This Row],[Category]]="Sponsorships",Table334[[#This Row],[Account Deposit Amount]]-Table334[[#This Row],[Account Withdrawl Amount]], )</f>
        <v>0</v>
      </c>
      <c r="M242" s="243">
        <f>IF(Table334[[#This Row],[Category]]="Troop Dues",Table334[[#This Row],[Account Deposit Amount]]-Table334[[#This Row],[Account Withdrawl Amount]], )</f>
        <v>0</v>
      </c>
      <c r="N242" s="243">
        <f>IF(Table334[[#This Row],[Category]]="Other Income",Table334[[#This Row],[Account Deposit Amount]]-Table334[[#This Row],[Account Withdrawl Amount]], )</f>
        <v>0</v>
      </c>
      <c r="O242" s="243">
        <f>IF(Table334[[#This Row],[Category]]="Registration",Table334[[#This Row],[Account Deposit Amount]]-Table334[[#This Row],[Account Withdrawl Amount]], )</f>
        <v>0</v>
      </c>
      <c r="P242" s="243">
        <f>IF(Table334[[#This Row],[Category]]="Insignia",Table334[[#This Row],[Account Deposit Amount]]-Table334[[#This Row],[Account Withdrawl Amount]], )</f>
        <v>0</v>
      </c>
      <c r="Q242" s="243">
        <f>IF(Table334[[#This Row],[Category]]="Activities/Program",Table334[[#This Row],[Account Deposit Amount]]-Table334[[#This Row],[Account Withdrawl Amount]], )</f>
        <v>0</v>
      </c>
      <c r="R242" s="243">
        <f>IF(Table334[[#This Row],[Category]]="Travel",Table334[[#This Row],[Account Deposit Amount]]-Table334[[#This Row],[Account Withdrawl Amount]], )</f>
        <v>0</v>
      </c>
      <c r="S242" s="243">
        <f>IF(Table334[[#This Row],[Category]]="Parties Food &amp; Beverages",Table334[[#This Row],[Account Deposit Amount]]-Table334[[#This Row],[Account Withdrawl Amount]], )</f>
        <v>0</v>
      </c>
      <c r="T242" s="243">
        <f>IF(Table334[[#This Row],[Category]]="Service Projects Donation",Table334[[#This Row],[Account Deposit Amount]]-Table334[[#This Row],[Account Withdrawl Amount]], )</f>
        <v>0</v>
      </c>
      <c r="U242" s="243">
        <f>IF(Table334[[#This Row],[Category]]="Cookie Debt",Table334[[#This Row],[Account Deposit Amount]]-Table334[[#This Row],[Account Withdrawl Amount]], )</f>
        <v>0</v>
      </c>
      <c r="V242" s="243">
        <f>IF(Table334[[#This Row],[Category]]="Other Expense",Table334[[#This Row],[Account Deposit Amount]]-Table334[[#This Row],[Account Withdrawl Amount]], )</f>
        <v>0</v>
      </c>
    </row>
    <row r="243" spans="1:22">
      <c r="A243" s="225"/>
      <c r="B243" s="241"/>
      <c r="C243" s="225"/>
      <c r="D243" s="225"/>
      <c r="E243" s="242"/>
      <c r="F243" s="242"/>
      <c r="G243" s="243">
        <f t="shared" si="6"/>
        <v>2518.9699999999939</v>
      </c>
      <c r="H243" s="225"/>
      <c r="I243" s="243">
        <f>IF(Table334[[#This Row],[Category]]="Fall Product",Table334[[#This Row],[Account Deposit Amount]]-Table334[[#This Row],[Account Withdrawl Amount]], )</f>
        <v>0</v>
      </c>
      <c r="J243" s="243">
        <f>IF(Table334[[#This Row],[Category]]="Cookies",Table334[[#This Row],[Account Deposit Amount]]-Table334[[#This Row],[Account Withdrawl Amount]], )</f>
        <v>0</v>
      </c>
      <c r="K243" s="243">
        <f>IF(Table334[[#This Row],[Category]]="Additional Money Earning Activities",Table334[[#This Row],[Account Deposit Amount]]-Table334[[#This Row],[Account Withdrawl Amount]], )</f>
        <v>0</v>
      </c>
      <c r="L243" s="243">
        <f>IF(Table334[[#This Row],[Category]]="Sponsorships",Table334[[#This Row],[Account Deposit Amount]]-Table334[[#This Row],[Account Withdrawl Amount]], )</f>
        <v>0</v>
      </c>
      <c r="M243" s="243">
        <f>IF(Table334[[#This Row],[Category]]="Troop Dues",Table334[[#This Row],[Account Deposit Amount]]-Table334[[#This Row],[Account Withdrawl Amount]], )</f>
        <v>0</v>
      </c>
      <c r="N243" s="243">
        <f>IF(Table334[[#This Row],[Category]]="Other Income",Table334[[#This Row],[Account Deposit Amount]]-Table334[[#This Row],[Account Withdrawl Amount]], )</f>
        <v>0</v>
      </c>
      <c r="O243" s="243">
        <f>IF(Table334[[#This Row],[Category]]="Registration",Table334[[#This Row],[Account Deposit Amount]]-Table334[[#This Row],[Account Withdrawl Amount]], )</f>
        <v>0</v>
      </c>
      <c r="P243" s="243">
        <f>IF(Table334[[#This Row],[Category]]="Insignia",Table334[[#This Row],[Account Deposit Amount]]-Table334[[#This Row],[Account Withdrawl Amount]], )</f>
        <v>0</v>
      </c>
      <c r="Q243" s="243">
        <f>IF(Table334[[#This Row],[Category]]="Activities/Program",Table334[[#This Row],[Account Deposit Amount]]-Table334[[#This Row],[Account Withdrawl Amount]], )</f>
        <v>0</v>
      </c>
      <c r="R243" s="243">
        <f>IF(Table334[[#This Row],[Category]]="Travel",Table334[[#This Row],[Account Deposit Amount]]-Table334[[#This Row],[Account Withdrawl Amount]], )</f>
        <v>0</v>
      </c>
      <c r="S243" s="243">
        <f>IF(Table334[[#This Row],[Category]]="Parties Food &amp; Beverages",Table334[[#This Row],[Account Deposit Amount]]-Table334[[#This Row],[Account Withdrawl Amount]], )</f>
        <v>0</v>
      </c>
      <c r="T243" s="243">
        <f>IF(Table334[[#This Row],[Category]]="Service Projects Donation",Table334[[#This Row],[Account Deposit Amount]]-Table334[[#This Row],[Account Withdrawl Amount]], )</f>
        <v>0</v>
      </c>
      <c r="U243" s="243">
        <f>IF(Table334[[#This Row],[Category]]="Cookie Debt",Table334[[#This Row],[Account Deposit Amount]]-Table334[[#This Row],[Account Withdrawl Amount]], )</f>
        <v>0</v>
      </c>
      <c r="V243" s="243">
        <f>IF(Table334[[#This Row],[Category]]="Other Expense",Table334[[#This Row],[Account Deposit Amount]]-Table334[[#This Row],[Account Withdrawl Amount]], )</f>
        <v>0</v>
      </c>
    </row>
    <row r="244" spans="1:22">
      <c r="A244" s="225"/>
      <c r="B244" s="241"/>
      <c r="C244" s="225"/>
      <c r="D244" s="225"/>
      <c r="E244" s="242"/>
      <c r="F244" s="242"/>
      <c r="G244" s="243">
        <f t="shared" si="6"/>
        <v>2518.9699999999939</v>
      </c>
      <c r="H244" s="225"/>
      <c r="I244" s="243">
        <f>IF(Table334[[#This Row],[Category]]="Fall Product",Table334[[#This Row],[Account Deposit Amount]]-Table334[[#This Row],[Account Withdrawl Amount]], )</f>
        <v>0</v>
      </c>
      <c r="J244" s="243">
        <f>IF(Table334[[#This Row],[Category]]="Cookies",Table334[[#This Row],[Account Deposit Amount]]-Table334[[#This Row],[Account Withdrawl Amount]], )</f>
        <v>0</v>
      </c>
      <c r="K244" s="243">
        <f>IF(Table334[[#This Row],[Category]]="Additional Money Earning Activities",Table334[[#This Row],[Account Deposit Amount]]-Table334[[#This Row],[Account Withdrawl Amount]], )</f>
        <v>0</v>
      </c>
      <c r="L244" s="243">
        <f>IF(Table334[[#This Row],[Category]]="Sponsorships",Table334[[#This Row],[Account Deposit Amount]]-Table334[[#This Row],[Account Withdrawl Amount]], )</f>
        <v>0</v>
      </c>
      <c r="M244" s="243">
        <f>IF(Table334[[#This Row],[Category]]="Troop Dues",Table334[[#This Row],[Account Deposit Amount]]-Table334[[#This Row],[Account Withdrawl Amount]], )</f>
        <v>0</v>
      </c>
      <c r="N244" s="243">
        <f>IF(Table334[[#This Row],[Category]]="Other Income",Table334[[#This Row],[Account Deposit Amount]]-Table334[[#This Row],[Account Withdrawl Amount]], )</f>
        <v>0</v>
      </c>
      <c r="O244" s="243">
        <f>IF(Table334[[#This Row],[Category]]="Registration",Table334[[#This Row],[Account Deposit Amount]]-Table334[[#This Row],[Account Withdrawl Amount]], )</f>
        <v>0</v>
      </c>
      <c r="P244" s="243">
        <f>IF(Table334[[#This Row],[Category]]="Insignia",Table334[[#This Row],[Account Deposit Amount]]-Table334[[#This Row],[Account Withdrawl Amount]], )</f>
        <v>0</v>
      </c>
      <c r="Q244" s="243">
        <f>IF(Table334[[#This Row],[Category]]="Activities/Program",Table334[[#This Row],[Account Deposit Amount]]-Table334[[#This Row],[Account Withdrawl Amount]], )</f>
        <v>0</v>
      </c>
      <c r="R244" s="243">
        <f>IF(Table334[[#This Row],[Category]]="Travel",Table334[[#This Row],[Account Deposit Amount]]-Table334[[#This Row],[Account Withdrawl Amount]], )</f>
        <v>0</v>
      </c>
      <c r="S244" s="243">
        <f>IF(Table334[[#This Row],[Category]]="Parties Food &amp; Beverages",Table334[[#This Row],[Account Deposit Amount]]-Table334[[#This Row],[Account Withdrawl Amount]], )</f>
        <v>0</v>
      </c>
      <c r="T244" s="243">
        <f>IF(Table334[[#This Row],[Category]]="Service Projects Donation",Table334[[#This Row],[Account Deposit Amount]]-Table334[[#This Row],[Account Withdrawl Amount]], )</f>
        <v>0</v>
      </c>
      <c r="U244" s="243">
        <f>IF(Table334[[#This Row],[Category]]="Cookie Debt",Table334[[#This Row],[Account Deposit Amount]]-Table334[[#This Row],[Account Withdrawl Amount]], )</f>
        <v>0</v>
      </c>
      <c r="V244" s="243">
        <f>IF(Table334[[#This Row],[Category]]="Other Expense",Table334[[#This Row],[Account Deposit Amount]]-Table334[[#This Row],[Account Withdrawl Amount]], )</f>
        <v>0</v>
      </c>
    </row>
    <row r="245" spans="1:22">
      <c r="A245" s="225"/>
      <c r="B245" s="241"/>
      <c r="C245" s="225"/>
      <c r="D245" s="225"/>
      <c r="E245" s="242"/>
      <c r="F245" s="242"/>
      <c r="G245" s="243">
        <f t="shared" ref="G245:G308" si="7">G244+E245-F245</f>
        <v>2518.9699999999939</v>
      </c>
      <c r="H245" s="225"/>
      <c r="I245" s="243">
        <f>IF(Table334[[#This Row],[Category]]="Fall Product",Table334[[#This Row],[Account Deposit Amount]]-Table334[[#This Row],[Account Withdrawl Amount]], )</f>
        <v>0</v>
      </c>
      <c r="J245" s="243">
        <f>IF(Table334[[#This Row],[Category]]="Cookies",Table334[[#This Row],[Account Deposit Amount]]-Table334[[#This Row],[Account Withdrawl Amount]], )</f>
        <v>0</v>
      </c>
      <c r="K245" s="243">
        <f>IF(Table334[[#This Row],[Category]]="Additional Money Earning Activities",Table334[[#This Row],[Account Deposit Amount]]-Table334[[#This Row],[Account Withdrawl Amount]], )</f>
        <v>0</v>
      </c>
      <c r="L245" s="243">
        <f>IF(Table334[[#This Row],[Category]]="Sponsorships",Table334[[#This Row],[Account Deposit Amount]]-Table334[[#This Row],[Account Withdrawl Amount]], )</f>
        <v>0</v>
      </c>
      <c r="M245" s="243">
        <f>IF(Table334[[#This Row],[Category]]="Troop Dues",Table334[[#This Row],[Account Deposit Amount]]-Table334[[#This Row],[Account Withdrawl Amount]], )</f>
        <v>0</v>
      </c>
      <c r="N245" s="243">
        <f>IF(Table334[[#This Row],[Category]]="Other Income",Table334[[#This Row],[Account Deposit Amount]]-Table334[[#This Row],[Account Withdrawl Amount]], )</f>
        <v>0</v>
      </c>
      <c r="O245" s="243">
        <f>IF(Table334[[#This Row],[Category]]="Registration",Table334[[#This Row],[Account Deposit Amount]]-Table334[[#This Row],[Account Withdrawl Amount]], )</f>
        <v>0</v>
      </c>
      <c r="P245" s="243">
        <f>IF(Table334[[#This Row],[Category]]="Insignia",Table334[[#This Row],[Account Deposit Amount]]-Table334[[#This Row],[Account Withdrawl Amount]], )</f>
        <v>0</v>
      </c>
      <c r="Q245" s="243">
        <f>IF(Table334[[#This Row],[Category]]="Activities/Program",Table334[[#This Row],[Account Deposit Amount]]-Table334[[#This Row],[Account Withdrawl Amount]], )</f>
        <v>0</v>
      </c>
      <c r="R245" s="243">
        <f>IF(Table334[[#This Row],[Category]]="Travel",Table334[[#This Row],[Account Deposit Amount]]-Table334[[#This Row],[Account Withdrawl Amount]], )</f>
        <v>0</v>
      </c>
      <c r="S245" s="243">
        <f>IF(Table334[[#This Row],[Category]]="Parties Food &amp; Beverages",Table334[[#This Row],[Account Deposit Amount]]-Table334[[#This Row],[Account Withdrawl Amount]], )</f>
        <v>0</v>
      </c>
      <c r="T245" s="243">
        <f>IF(Table334[[#This Row],[Category]]="Service Projects Donation",Table334[[#This Row],[Account Deposit Amount]]-Table334[[#This Row],[Account Withdrawl Amount]], )</f>
        <v>0</v>
      </c>
      <c r="U245" s="243">
        <f>IF(Table334[[#This Row],[Category]]="Cookie Debt",Table334[[#This Row],[Account Deposit Amount]]-Table334[[#This Row],[Account Withdrawl Amount]], )</f>
        <v>0</v>
      </c>
      <c r="V245" s="243">
        <f>IF(Table334[[#This Row],[Category]]="Other Expense",Table334[[#This Row],[Account Deposit Amount]]-Table334[[#This Row],[Account Withdrawl Amount]], )</f>
        <v>0</v>
      </c>
    </row>
    <row r="246" spans="1:22">
      <c r="A246" s="225"/>
      <c r="B246" s="241"/>
      <c r="C246" s="225"/>
      <c r="D246" s="225"/>
      <c r="E246" s="242"/>
      <c r="F246" s="242"/>
      <c r="G246" s="243">
        <f t="shared" si="7"/>
        <v>2518.9699999999939</v>
      </c>
      <c r="H246" s="225"/>
      <c r="I246" s="243">
        <f>IF(Table334[[#This Row],[Category]]="Fall Product",Table334[[#This Row],[Account Deposit Amount]]-Table334[[#This Row],[Account Withdrawl Amount]], )</f>
        <v>0</v>
      </c>
      <c r="J246" s="243">
        <f>IF(Table334[[#This Row],[Category]]="Cookies",Table334[[#This Row],[Account Deposit Amount]]-Table334[[#This Row],[Account Withdrawl Amount]], )</f>
        <v>0</v>
      </c>
      <c r="K246" s="243">
        <f>IF(Table334[[#This Row],[Category]]="Additional Money Earning Activities",Table334[[#This Row],[Account Deposit Amount]]-Table334[[#This Row],[Account Withdrawl Amount]], )</f>
        <v>0</v>
      </c>
      <c r="L246" s="243">
        <f>IF(Table334[[#This Row],[Category]]="Sponsorships",Table334[[#This Row],[Account Deposit Amount]]-Table334[[#This Row],[Account Withdrawl Amount]], )</f>
        <v>0</v>
      </c>
      <c r="M246" s="243">
        <f>IF(Table334[[#This Row],[Category]]="Troop Dues",Table334[[#This Row],[Account Deposit Amount]]-Table334[[#This Row],[Account Withdrawl Amount]], )</f>
        <v>0</v>
      </c>
      <c r="N246" s="243">
        <f>IF(Table334[[#This Row],[Category]]="Other Income",Table334[[#This Row],[Account Deposit Amount]]-Table334[[#This Row],[Account Withdrawl Amount]], )</f>
        <v>0</v>
      </c>
      <c r="O246" s="243">
        <f>IF(Table334[[#This Row],[Category]]="Registration",Table334[[#This Row],[Account Deposit Amount]]-Table334[[#This Row],[Account Withdrawl Amount]], )</f>
        <v>0</v>
      </c>
      <c r="P246" s="243">
        <f>IF(Table334[[#This Row],[Category]]="Insignia",Table334[[#This Row],[Account Deposit Amount]]-Table334[[#This Row],[Account Withdrawl Amount]], )</f>
        <v>0</v>
      </c>
      <c r="Q246" s="243">
        <f>IF(Table334[[#This Row],[Category]]="Activities/Program",Table334[[#This Row],[Account Deposit Amount]]-Table334[[#This Row],[Account Withdrawl Amount]], )</f>
        <v>0</v>
      </c>
      <c r="R246" s="243">
        <f>IF(Table334[[#This Row],[Category]]="Travel",Table334[[#This Row],[Account Deposit Amount]]-Table334[[#This Row],[Account Withdrawl Amount]], )</f>
        <v>0</v>
      </c>
      <c r="S246" s="243">
        <f>IF(Table334[[#This Row],[Category]]="Parties Food &amp; Beverages",Table334[[#This Row],[Account Deposit Amount]]-Table334[[#This Row],[Account Withdrawl Amount]], )</f>
        <v>0</v>
      </c>
      <c r="T246" s="243">
        <f>IF(Table334[[#This Row],[Category]]="Service Projects Donation",Table334[[#This Row],[Account Deposit Amount]]-Table334[[#This Row],[Account Withdrawl Amount]], )</f>
        <v>0</v>
      </c>
      <c r="U246" s="243">
        <f>IF(Table334[[#This Row],[Category]]="Cookie Debt",Table334[[#This Row],[Account Deposit Amount]]-Table334[[#This Row],[Account Withdrawl Amount]], )</f>
        <v>0</v>
      </c>
      <c r="V246" s="243">
        <f>IF(Table334[[#This Row],[Category]]="Other Expense",Table334[[#This Row],[Account Deposit Amount]]-Table334[[#This Row],[Account Withdrawl Amount]], )</f>
        <v>0</v>
      </c>
    </row>
    <row r="247" spans="1:22">
      <c r="A247" s="225"/>
      <c r="B247" s="241"/>
      <c r="C247" s="225"/>
      <c r="D247" s="225"/>
      <c r="E247" s="242"/>
      <c r="F247" s="242"/>
      <c r="G247" s="243">
        <f t="shared" si="7"/>
        <v>2518.9699999999939</v>
      </c>
      <c r="H247" s="225"/>
      <c r="I247" s="243">
        <f>IF(Table334[[#This Row],[Category]]="Fall Product",Table334[[#This Row],[Account Deposit Amount]]-Table334[[#This Row],[Account Withdrawl Amount]], )</f>
        <v>0</v>
      </c>
      <c r="J247" s="243">
        <f>IF(Table334[[#This Row],[Category]]="Cookies",Table334[[#This Row],[Account Deposit Amount]]-Table334[[#This Row],[Account Withdrawl Amount]], )</f>
        <v>0</v>
      </c>
      <c r="K247" s="243">
        <f>IF(Table334[[#This Row],[Category]]="Additional Money Earning Activities",Table334[[#This Row],[Account Deposit Amount]]-Table334[[#This Row],[Account Withdrawl Amount]], )</f>
        <v>0</v>
      </c>
      <c r="L247" s="243">
        <f>IF(Table334[[#This Row],[Category]]="Sponsorships",Table334[[#This Row],[Account Deposit Amount]]-Table334[[#This Row],[Account Withdrawl Amount]], )</f>
        <v>0</v>
      </c>
      <c r="M247" s="243">
        <f>IF(Table334[[#This Row],[Category]]="Troop Dues",Table334[[#This Row],[Account Deposit Amount]]-Table334[[#This Row],[Account Withdrawl Amount]], )</f>
        <v>0</v>
      </c>
      <c r="N247" s="243">
        <f>IF(Table334[[#This Row],[Category]]="Other Income",Table334[[#This Row],[Account Deposit Amount]]-Table334[[#This Row],[Account Withdrawl Amount]], )</f>
        <v>0</v>
      </c>
      <c r="O247" s="243">
        <f>IF(Table334[[#This Row],[Category]]="Registration",Table334[[#This Row],[Account Deposit Amount]]-Table334[[#This Row],[Account Withdrawl Amount]], )</f>
        <v>0</v>
      </c>
      <c r="P247" s="243">
        <f>IF(Table334[[#This Row],[Category]]="Insignia",Table334[[#This Row],[Account Deposit Amount]]-Table334[[#This Row],[Account Withdrawl Amount]], )</f>
        <v>0</v>
      </c>
      <c r="Q247" s="243">
        <f>IF(Table334[[#This Row],[Category]]="Activities/Program",Table334[[#This Row],[Account Deposit Amount]]-Table334[[#This Row],[Account Withdrawl Amount]], )</f>
        <v>0</v>
      </c>
      <c r="R247" s="243">
        <f>IF(Table334[[#This Row],[Category]]="Travel",Table334[[#This Row],[Account Deposit Amount]]-Table334[[#This Row],[Account Withdrawl Amount]], )</f>
        <v>0</v>
      </c>
      <c r="S247" s="243">
        <f>IF(Table334[[#This Row],[Category]]="Parties Food &amp; Beverages",Table334[[#This Row],[Account Deposit Amount]]-Table334[[#This Row],[Account Withdrawl Amount]], )</f>
        <v>0</v>
      </c>
      <c r="T247" s="243">
        <f>IF(Table334[[#This Row],[Category]]="Service Projects Donation",Table334[[#This Row],[Account Deposit Amount]]-Table334[[#This Row],[Account Withdrawl Amount]], )</f>
        <v>0</v>
      </c>
      <c r="U247" s="243">
        <f>IF(Table334[[#This Row],[Category]]="Cookie Debt",Table334[[#This Row],[Account Deposit Amount]]-Table334[[#This Row],[Account Withdrawl Amount]], )</f>
        <v>0</v>
      </c>
      <c r="V247" s="243">
        <f>IF(Table334[[#This Row],[Category]]="Other Expense",Table334[[#This Row],[Account Deposit Amount]]-Table334[[#This Row],[Account Withdrawl Amount]], )</f>
        <v>0</v>
      </c>
    </row>
    <row r="248" spans="1:22">
      <c r="A248" s="225"/>
      <c r="B248" s="241"/>
      <c r="C248" s="225"/>
      <c r="D248" s="225"/>
      <c r="E248" s="242"/>
      <c r="F248" s="242"/>
      <c r="G248" s="243">
        <f t="shared" si="7"/>
        <v>2518.9699999999939</v>
      </c>
      <c r="H248" s="225"/>
      <c r="I248" s="243">
        <f>IF(Table334[[#This Row],[Category]]="Fall Product",Table334[[#This Row],[Account Deposit Amount]]-Table334[[#This Row],[Account Withdrawl Amount]], )</f>
        <v>0</v>
      </c>
      <c r="J248" s="243">
        <f>IF(Table334[[#This Row],[Category]]="Cookies",Table334[[#This Row],[Account Deposit Amount]]-Table334[[#This Row],[Account Withdrawl Amount]], )</f>
        <v>0</v>
      </c>
      <c r="K248" s="243">
        <f>IF(Table334[[#This Row],[Category]]="Additional Money Earning Activities",Table334[[#This Row],[Account Deposit Amount]]-Table334[[#This Row],[Account Withdrawl Amount]], )</f>
        <v>0</v>
      </c>
      <c r="L248" s="243">
        <f>IF(Table334[[#This Row],[Category]]="Sponsorships",Table334[[#This Row],[Account Deposit Amount]]-Table334[[#This Row],[Account Withdrawl Amount]], )</f>
        <v>0</v>
      </c>
      <c r="M248" s="243">
        <f>IF(Table334[[#This Row],[Category]]="Troop Dues",Table334[[#This Row],[Account Deposit Amount]]-Table334[[#This Row],[Account Withdrawl Amount]], )</f>
        <v>0</v>
      </c>
      <c r="N248" s="243">
        <f>IF(Table334[[#This Row],[Category]]="Other Income",Table334[[#This Row],[Account Deposit Amount]]-Table334[[#This Row],[Account Withdrawl Amount]], )</f>
        <v>0</v>
      </c>
      <c r="O248" s="243">
        <f>IF(Table334[[#This Row],[Category]]="Registration",Table334[[#This Row],[Account Deposit Amount]]-Table334[[#This Row],[Account Withdrawl Amount]], )</f>
        <v>0</v>
      </c>
      <c r="P248" s="243">
        <f>IF(Table334[[#This Row],[Category]]="Insignia",Table334[[#This Row],[Account Deposit Amount]]-Table334[[#This Row],[Account Withdrawl Amount]], )</f>
        <v>0</v>
      </c>
      <c r="Q248" s="243">
        <f>IF(Table334[[#This Row],[Category]]="Activities/Program",Table334[[#This Row],[Account Deposit Amount]]-Table334[[#This Row],[Account Withdrawl Amount]], )</f>
        <v>0</v>
      </c>
      <c r="R248" s="243">
        <f>IF(Table334[[#This Row],[Category]]="Travel",Table334[[#This Row],[Account Deposit Amount]]-Table334[[#This Row],[Account Withdrawl Amount]], )</f>
        <v>0</v>
      </c>
      <c r="S248" s="243">
        <f>IF(Table334[[#This Row],[Category]]="Parties Food &amp; Beverages",Table334[[#This Row],[Account Deposit Amount]]-Table334[[#This Row],[Account Withdrawl Amount]], )</f>
        <v>0</v>
      </c>
      <c r="T248" s="243">
        <f>IF(Table334[[#This Row],[Category]]="Service Projects Donation",Table334[[#This Row],[Account Deposit Amount]]-Table334[[#This Row],[Account Withdrawl Amount]], )</f>
        <v>0</v>
      </c>
      <c r="U248" s="243">
        <f>IF(Table334[[#This Row],[Category]]="Cookie Debt",Table334[[#This Row],[Account Deposit Amount]]-Table334[[#This Row],[Account Withdrawl Amount]], )</f>
        <v>0</v>
      </c>
      <c r="V248" s="243">
        <f>IF(Table334[[#This Row],[Category]]="Other Expense",Table334[[#This Row],[Account Deposit Amount]]-Table334[[#This Row],[Account Withdrawl Amount]], )</f>
        <v>0</v>
      </c>
    </row>
    <row r="249" spans="1:22">
      <c r="A249" s="225"/>
      <c r="B249" s="241"/>
      <c r="C249" s="225"/>
      <c r="D249" s="225"/>
      <c r="E249" s="242"/>
      <c r="F249" s="242"/>
      <c r="G249" s="243">
        <f t="shared" si="7"/>
        <v>2518.9699999999939</v>
      </c>
      <c r="H249" s="225"/>
      <c r="I249" s="243">
        <f>IF(Table334[[#This Row],[Category]]="Fall Product",Table334[[#This Row],[Account Deposit Amount]]-Table334[[#This Row],[Account Withdrawl Amount]], )</f>
        <v>0</v>
      </c>
      <c r="J249" s="243">
        <f>IF(Table334[[#This Row],[Category]]="Cookies",Table334[[#This Row],[Account Deposit Amount]]-Table334[[#This Row],[Account Withdrawl Amount]], )</f>
        <v>0</v>
      </c>
      <c r="K249" s="243">
        <f>IF(Table334[[#This Row],[Category]]="Additional Money Earning Activities",Table334[[#This Row],[Account Deposit Amount]]-Table334[[#This Row],[Account Withdrawl Amount]], )</f>
        <v>0</v>
      </c>
      <c r="L249" s="243">
        <f>IF(Table334[[#This Row],[Category]]="Sponsorships",Table334[[#This Row],[Account Deposit Amount]]-Table334[[#This Row],[Account Withdrawl Amount]], )</f>
        <v>0</v>
      </c>
      <c r="M249" s="243">
        <f>IF(Table334[[#This Row],[Category]]="Troop Dues",Table334[[#This Row],[Account Deposit Amount]]-Table334[[#This Row],[Account Withdrawl Amount]], )</f>
        <v>0</v>
      </c>
      <c r="N249" s="243">
        <f>IF(Table334[[#This Row],[Category]]="Other Income",Table334[[#This Row],[Account Deposit Amount]]-Table334[[#This Row],[Account Withdrawl Amount]], )</f>
        <v>0</v>
      </c>
      <c r="O249" s="243">
        <f>IF(Table334[[#This Row],[Category]]="Registration",Table334[[#This Row],[Account Deposit Amount]]-Table334[[#This Row],[Account Withdrawl Amount]], )</f>
        <v>0</v>
      </c>
      <c r="P249" s="243">
        <f>IF(Table334[[#This Row],[Category]]="Insignia",Table334[[#This Row],[Account Deposit Amount]]-Table334[[#This Row],[Account Withdrawl Amount]], )</f>
        <v>0</v>
      </c>
      <c r="Q249" s="243">
        <f>IF(Table334[[#This Row],[Category]]="Activities/Program",Table334[[#This Row],[Account Deposit Amount]]-Table334[[#This Row],[Account Withdrawl Amount]], )</f>
        <v>0</v>
      </c>
      <c r="R249" s="243">
        <f>IF(Table334[[#This Row],[Category]]="Travel",Table334[[#This Row],[Account Deposit Amount]]-Table334[[#This Row],[Account Withdrawl Amount]], )</f>
        <v>0</v>
      </c>
      <c r="S249" s="243">
        <f>IF(Table334[[#This Row],[Category]]="Parties Food &amp; Beverages",Table334[[#This Row],[Account Deposit Amount]]-Table334[[#This Row],[Account Withdrawl Amount]], )</f>
        <v>0</v>
      </c>
      <c r="T249" s="243">
        <f>IF(Table334[[#This Row],[Category]]="Service Projects Donation",Table334[[#This Row],[Account Deposit Amount]]-Table334[[#This Row],[Account Withdrawl Amount]], )</f>
        <v>0</v>
      </c>
      <c r="U249" s="243">
        <f>IF(Table334[[#This Row],[Category]]="Cookie Debt",Table334[[#This Row],[Account Deposit Amount]]-Table334[[#This Row],[Account Withdrawl Amount]], )</f>
        <v>0</v>
      </c>
      <c r="V249" s="243">
        <f>IF(Table334[[#This Row],[Category]]="Other Expense",Table334[[#This Row],[Account Deposit Amount]]-Table334[[#This Row],[Account Withdrawl Amount]], )</f>
        <v>0</v>
      </c>
    </row>
    <row r="250" spans="1:22">
      <c r="A250" s="225"/>
      <c r="B250" s="241"/>
      <c r="C250" s="225"/>
      <c r="D250" s="225"/>
      <c r="E250" s="242"/>
      <c r="F250" s="242"/>
      <c r="G250" s="243">
        <f t="shared" si="7"/>
        <v>2518.9699999999939</v>
      </c>
      <c r="H250" s="225"/>
      <c r="I250" s="243">
        <f>IF(Table334[[#This Row],[Category]]="Fall Product",Table334[[#This Row],[Account Deposit Amount]]-Table334[[#This Row],[Account Withdrawl Amount]], )</f>
        <v>0</v>
      </c>
      <c r="J250" s="243">
        <f>IF(Table334[[#This Row],[Category]]="Cookies",Table334[[#This Row],[Account Deposit Amount]]-Table334[[#This Row],[Account Withdrawl Amount]], )</f>
        <v>0</v>
      </c>
      <c r="K250" s="243">
        <f>IF(Table334[[#This Row],[Category]]="Additional Money Earning Activities",Table334[[#This Row],[Account Deposit Amount]]-Table334[[#This Row],[Account Withdrawl Amount]], )</f>
        <v>0</v>
      </c>
      <c r="L250" s="243">
        <f>IF(Table334[[#This Row],[Category]]="Sponsorships",Table334[[#This Row],[Account Deposit Amount]]-Table334[[#This Row],[Account Withdrawl Amount]], )</f>
        <v>0</v>
      </c>
      <c r="M250" s="243">
        <f>IF(Table334[[#This Row],[Category]]="Troop Dues",Table334[[#This Row],[Account Deposit Amount]]-Table334[[#This Row],[Account Withdrawl Amount]], )</f>
        <v>0</v>
      </c>
      <c r="N250" s="243">
        <f>IF(Table334[[#This Row],[Category]]="Other Income",Table334[[#This Row],[Account Deposit Amount]]-Table334[[#This Row],[Account Withdrawl Amount]], )</f>
        <v>0</v>
      </c>
      <c r="O250" s="243">
        <f>IF(Table334[[#This Row],[Category]]="Registration",Table334[[#This Row],[Account Deposit Amount]]-Table334[[#This Row],[Account Withdrawl Amount]], )</f>
        <v>0</v>
      </c>
      <c r="P250" s="243">
        <f>IF(Table334[[#This Row],[Category]]="Insignia",Table334[[#This Row],[Account Deposit Amount]]-Table334[[#This Row],[Account Withdrawl Amount]], )</f>
        <v>0</v>
      </c>
      <c r="Q250" s="243">
        <f>IF(Table334[[#This Row],[Category]]="Activities/Program",Table334[[#This Row],[Account Deposit Amount]]-Table334[[#This Row],[Account Withdrawl Amount]], )</f>
        <v>0</v>
      </c>
      <c r="R250" s="243">
        <f>IF(Table334[[#This Row],[Category]]="Travel",Table334[[#This Row],[Account Deposit Amount]]-Table334[[#This Row],[Account Withdrawl Amount]], )</f>
        <v>0</v>
      </c>
      <c r="S250" s="243">
        <f>IF(Table334[[#This Row],[Category]]="Parties Food &amp; Beverages",Table334[[#This Row],[Account Deposit Amount]]-Table334[[#This Row],[Account Withdrawl Amount]], )</f>
        <v>0</v>
      </c>
      <c r="T250" s="243">
        <f>IF(Table334[[#This Row],[Category]]="Service Projects Donation",Table334[[#This Row],[Account Deposit Amount]]-Table334[[#This Row],[Account Withdrawl Amount]], )</f>
        <v>0</v>
      </c>
      <c r="U250" s="243">
        <f>IF(Table334[[#This Row],[Category]]="Cookie Debt",Table334[[#This Row],[Account Deposit Amount]]-Table334[[#This Row],[Account Withdrawl Amount]], )</f>
        <v>0</v>
      </c>
      <c r="V250" s="243">
        <f>IF(Table334[[#This Row],[Category]]="Other Expense",Table334[[#This Row],[Account Deposit Amount]]-Table334[[#This Row],[Account Withdrawl Amount]], )</f>
        <v>0</v>
      </c>
    </row>
    <row r="251" spans="1:22">
      <c r="A251" s="225"/>
      <c r="B251" s="241"/>
      <c r="C251" s="225"/>
      <c r="D251" s="225"/>
      <c r="E251" s="242"/>
      <c r="F251" s="242"/>
      <c r="G251" s="243">
        <f t="shared" si="7"/>
        <v>2518.9699999999939</v>
      </c>
      <c r="H251" s="225"/>
      <c r="I251" s="243">
        <f>IF(Table334[[#This Row],[Category]]="Fall Product",Table334[[#This Row],[Account Deposit Amount]]-Table334[[#This Row],[Account Withdrawl Amount]], )</f>
        <v>0</v>
      </c>
      <c r="J251" s="243">
        <f>IF(Table334[[#This Row],[Category]]="Cookies",Table334[[#This Row],[Account Deposit Amount]]-Table334[[#This Row],[Account Withdrawl Amount]], )</f>
        <v>0</v>
      </c>
      <c r="K251" s="243">
        <f>IF(Table334[[#This Row],[Category]]="Additional Money Earning Activities",Table334[[#This Row],[Account Deposit Amount]]-Table334[[#This Row],[Account Withdrawl Amount]], )</f>
        <v>0</v>
      </c>
      <c r="L251" s="243">
        <f>IF(Table334[[#This Row],[Category]]="Sponsorships",Table334[[#This Row],[Account Deposit Amount]]-Table334[[#This Row],[Account Withdrawl Amount]], )</f>
        <v>0</v>
      </c>
      <c r="M251" s="243">
        <f>IF(Table334[[#This Row],[Category]]="Troop Dues",Table334[[#This Row],[Account Deposit Amount]]-Table334[[#This Row],[Account Withdrawl Amount]], )</f>
        <v>0</v>
      </c>
      <c r="N251" s="243">
        <f>IF(Table334[[#This Row],[Category]]="Other Income",Table334[[#This Row],[Account Deposit Amount]]-Table334[[#This Row],[Account Withdrawl Amount]], )</f>
        <v>0</v>
      </c>
      <c r="O251" s="243">
        <f>IF(Table334[[#This Row],[Category]]="Registration",Table334[[#This Row],[Account Deposit Amount]]-Table334[[#This Row],[Account Withdrawl Amount]], )</f>
        <v>0</v>
      </c>
      <c r="P251" s="243">
        <f>IF(Table334[[#This Row],[Category]]="Insignia",Table334[[#This Row],[Account Deposit Amount]]-Table334[[#This Row],[Account Withdrawl Amount]], )</f>
        <v>0</v>
      </c>
      <c r="Q251" s="243">
        <f>IF(Table334[[#This Row],[Category]]="Activities/Program",Table334[[#This Row],[Account Deposit Amount]]-Table334[[#This Row],[Account Withdrawl Amount]], )</f>
        <v>0</v>
      </c>
      <c r="R251" s="243">
        <f>IF(Table334[[#This Row],[Category]]="Travel",Table334[[#This Row],[Account Deposit Amount]]-Table334[[#This Row],[Account Withdrawl Amount]], )</f>
        <v>0</v>
      </c>
      <c r="S251" s="243">
        <f>IF(Table334[[#This Row],[Category]]="Parties Food &amp; Beverages",Table334[[#This Row],[Account Deposit Amount]]-Table334[[#This Row],[Account Withdrawl Amount]], )</f>
        <v>0</v>
      </c>
      <c r="T251" s="243">
        <f>IF(Table334[[#This Row],[Category]]="Service Projects Donation",Table334[[#This Row],[Account Deposit Amount]]-Table334[[#This Row],[Account Withdrawl Amount]], )</f>
        <v>0</v>
      </c>
      <c r="U251" s="243">
        <f>IF(Table334[[#This Row],[Category]]="Cookie Debt",Table334[[#This Row],[Account Deposit Amount]]-Table334[[#This Row],[Account Withdrawl Amount]], )</f>
        <v>0</v>
      </c>
      <c r="V251" s="243">
        <f>IF(Table334[[#This Row],[Category]]="Other Expense",Table334[[#This Row],[Account Deposit Amount]]-Table334[[#This Row],[Account Withdrawl Amount]], )</f>
        <v>0</v>
      </c>
    </row>
    <row r="252" spans="1:22">
      <c r="A252" s="225"/>
      <c r="B252" s="241"/>
      <c r="C252" s="225"/>
      <c r="D252" s="225"/>
      <c r="E252" s="242"/>
      <c r="F252" s="242"/>
      <c r="G252" s="243">
        <f t="shared" si="7"/>
        <v>2518.9699999999939</v>
      </c>
      <c r="H252" s="225"/>
      <c r="I252" s="243">
        <f>IF(Table334[[#This Row],[Category]]="Fall Product",Table334[[#This Row],[Account Deposit Amount]]-Table334[[#This Row],[Account Withdrawl Amount]], )</f>
        <v>0</v>
      </c>
      <c r="J252" s="243">
        <f>IF(Table334[[#This Row],[Category]]="Cookies",Table334[[#This Row],[Account Deposit Amount]]-Table334[[#This Row],[Account Withdrawl Amount]], )</f>
        <v>0</v>
      </c>
      <c r="K252" s="243">
        <f>IF(Table334[[#This Row],[Category]]="Additional Money Earning Activities",Table334[[#This Row],[Account Deposit Amount]]-Table334[[#This Row],[Account Withdrawl Amount]], )</f>
        <v>0</v>
      </c>
      <c r="L252" s="243">
        <f>IF(Table334[[#This Row],[Category]]="Sponsorships",Table334[[#This Row],[Account Deposit Amount]]-Table334[[#This Row],[Account Withdrawl Amount]], )</f>
        <v>0</v>
      </c>
      <c r="M252" s="243">
        <f>IF(Table334[[#This Row],[Category]]="Troop Dues",Table334[[#This Row],[Account Deposit Amount]]-Table334[[#This Row],[Account Withdrawl Amount]], )</f>
        <v>0</v>
      </c>
      <c r="N252" s="243">
        <f>IF(Table334[[#This Row],[Category]]="Other Income",Table334[[#This Row],[Account Deposit Amount]]-Table334[[#This Row],[Account Withdrawl Amount]], )</f>
        <v>0</v>
      </c>
      <c r="O252" s="243">
        <f>IF(Table334[[#This Row],[Category]]="Registration",Table334[[#This Row],[Account Deposit Amount]]-Table334[[#This Row],[Account Withdrawl Amount]], )</f>
        <v>0</v>
      </c>
      <c r="P252" s="243">
        <f>IF(Table334[[#This Row],[Category]]="Insignia",Table334[[#This Row],[Account Deposit Amount]]-Table334[[#This Row],[Account Withdrawl Amount]], )</f>
        <v>0</v>
      </c>
      <c r="Q252" s="243">
        <f>IF(Table334[[#This Row],[Category]]="Activities/Program",Table334[[#This Row],[Account Deposit Amount]]-Table334[[#This Row],[Account Withdrawl Amount]], )</f>
        <v>0</v>
      </c>
      <c r="R252" s="243">
        <f>IF(Table334[[#This Row],[Category]]="Travel",Table334[[#This Row],[Account Deposit Amount]]-Table334[[#This Row],[Account Withdrawl Amount]], )</f>
        <v>0</v>
      </c>
      <c r="S252" s="243">
        <f>IF(Table334[[#This Row],[Category]]="Parties Food &amp; Beverages",Table334[[#This Row],[Account Deposit Amount]]-Table334[[#This Row],[Account Withdrawl Amount]], )</f>
        <v>0</v>
      </c>
      <c r="T252" s="243">
        <f>IF(Table334[[#This Row],[Category]]="Service Projects Donation",Table334[[#This Row],[Account Deposit Amount]]-Table334[[#This Row],[Account Withdrawl Amount]], )</f>
        <v>0</v>
      </c>
      <c r="U252" s="243">
        <f>IF(Table334[[#This Row],[Category]]="Cookie Debt",Table334[[#This Row],[Account Deposit Amount]]-Table334[[#This Row],[Account Withdrawl Amount]], )</f>
        <v>0</v>
      </c>
      <c r="V252" s="243">
        <f>IF(Table334[[#This Row],[Category]]="Other Expense",Table334[[#This Row],[Account Deposit Amount]]-Table334[[#This Row],[Account Withdrawl Amount]], )</f>
        <v>0</v>
      </c>
    </row>
    <row r="253" spans="1:22">
      <c r="A253" s="225"/>
      <c r="B253" s="241"/>
      <c r="C253" s="225"/>
      <c r="D253" s="225"/>
      <c r="E253" s="242"/>
      <c r="F253" s="242"/>
      <c r="G253" s="243">
        <f t="shared" si="7"/>
        <v>2518.9699999999939</v>
      </c>
      <c r="H253" s="225"/>
      <c r="I253" s="243">
        <f>IF(Table334[[#This Row],[Category]]="Fall Product",Table334[[#This Row],[Account Deposit Amount]]-Table334[[#This Row],[Account Withdrawl Amount]], )</f>
        <v>0</v>
      </c>
      <c r="J253" s="243">
        <f>IF(Table334[[#This Row],[Category]]="Cookies",Table334[[#This Row],[Account Deposit Amount]]-Table334[[#This Row],[Account Withdrawl Amount]], )</f>
        <v>0</v>
      </c>
      <c r="K253" s="243">
        <f>IF(Table334[[#This Row],[Category]]="Additional Money Earning Activities",Table334[[#This Row],[Account Deposit Amount]]-Table334[[#This Row],[Account Withdrawl Amount]], )</f>
        <v>0</v>
      </c>
      <c r="L253" s="243">
        <f>IF(Table334[[#This Row],[Category]]="Sponsorships",Table334[[#This Row],[Account Deposit Amount]]-Table334[[#This Row],[Account Withdrawl Amount]], )</f>
        <v>0</v>
      </c>
      <c r="M253" s="243">
        <f>IF(Table334[[#This Row],[Category]]="Troop Dues",Table334[[#This Row],[Account Deposit Amount]]-Table334[[#This Row],[Account Withdrawl Amount]], )</f>
        <v>0</v>
      </c>
      <c r="N253" s="243">
        <f>IF(Table334[[#This Row],[Category]]="Other Income",Table334[[#This Row],[Account Deposit Amount]]-Table334[[#This Row],[Account Withdrawl Amount]], )</f>
        <v>0</v>
      </c>
      <c r="O253" s="243">
        <f>IF(Table334[[#This Row],[Category]]="Registration",Table334[[#This Row],[Account Deposit Amount]]-Table334[[#This Row],[Account Withdrawl Amount]], )</f>
        <v>0</v>
      </c>
      <c r="P253" s="243">
        <f>IF(Table334[[#This Row],[Category]]="Insignia",Table334[[#This Row],[Account Deposit Amount]]-Table334[[#This Row],[Account Withdrawl Amount]], )</f>
        <v>0</v>
      </c>
      <c r="Q253" s="243">
        <f>IF(Table334[[#This Row],[Category]]="Activities/Program",Table334[[#This Row],[Account Deposit Amount]]-Table334[[#This Row],[Account Withdrawl Amount]], )</f>
        <v>0</v>
      </c>
      <c r="R253" s="243">
        <f>IF(Table334[[#This Row],[Category]]="Travel",Table334[[#This Row],[Account Deposit Amount]]-Table334[[#This Row],[Account Withdrawl Amount]], )</f>
        <v>0</v>
      </c>
      <c r="S253" s="243">
        <f>IF(Table334[[#This Row],[Category]]="Parties Food &amp; Beverages",Table334[[#This Row],[Account Deposit Amount]]-Table334[[#This Row],[Account Withdrawl Amount]], )</f>
        <v>0</v>
      </c>
      <c r="T253" s="243">
        <f>IF(Table334[[#This Row],[Category]]="Service Projects Donation",Table334[[#This Row],[Account Deposit Amount]]-Table334[[#This Row],[Account Withdrawl Amount]], )</f>
        <v>0</v>
      </c>
      <c r="U253" s="243">
        <f>IF(Table334[[#This Row],[Category]]="Cookie Debt",Table334[[#This Row],[Account Deposit Amount]]-Table334[[#This Row],[Account Withdrawl Amount]], )</f>
        <v>0</v>
      </c>
      <c r="V253" s="243">
        <f>IF(Table334[[#This Row],[Category]]="Other Expense",Table334[[#This Row],[Account Deposit Amount]]-Table334[[#This Row],[Account Withdrawl Amount]], )</f>
        <v>0</v>
      </c>
    </row>
    <row r="254" spans="1:22">
      <c r="A254" s="225"/>
      <c r="B254" s="241"/>
      <c r="C254" s="225"/>
      <c r="D254" s="225"/>
      <c r="E254" s="242"/>
      <c r="F254" s="242"/>
      <c r="G254" s="243">
        <f t="shared" si="7"/>
        <v>2518.9699999999939</v>
      </c>
      <c r="H254" s="225"/>
      <c r="I254" s="243">
        <f>IF(Table334[[#This Row],[Category]]="Fall Product",Table334[[#This Row],[Account Deposit Amount]]-Table334[[#This Row],[Account Withdrawl Amount]], )</f>
        <v>0</v>
      </c>
      <c r="J254" s="243">
        <f>IF(Table334[[#This Row],[Category]]="Cookies",Table334[[#This Row],[Account Deposit Amount]]-Table334[[#This Row],[Account Withdrawl Amount]], )</f>
        <v>0</v>
      </c>
      <c r="K254" s="243">
        <f>IF(Table334[[#This Row],[Category]]="Additional Money Earning Activities",Table334[[#This Row],[Account Deposit Amount]]-Table334[[#This Row],[Account Withdrawl Amount]], )</f>
        <v>0</v>
      </c>
      <c r="L254" s="243">
        <f>IF(Table334[[#This Row],[Category]]="Sponsorships",Table334[[#This Row],[Account Deposit Amount]]-Table334[[#This Row],[Account Withdrawl Amount]], )</f>
        <v>0</v>
      </c>
      <c r="M254" s="243">
        <f>IF(Table334[[#This Row],[Category]]="Troop Dues",Table334[[#This Row],[Account Deposit Amount]]-Table334[[#This Row],[Account Withdrawl Amount]], )</f>
        <v>0</v>
      </c>
      <c r="N254" s="243">
        <f>IF(Table334[[#This Row],[Category]]="Other Income",Table334[[#This Row],[Account Deposit Amount]]-Table334[[#This Row],[Account Withdrawl Amount]], )</f>
        <v>0</v>
      </c>
      <c r="O254" s="243">
        <f>IF(Table334[[#This Row],[Category]]="Registration",Table334[[#This Row],[Account Deposit Amount]]-Table334[[#This Row],[Account Withdrawl Amount]], )</f>
        <v>0</v>
      </c>
      <c r="P254" s="243">
        <f>IF(Table334[[#This Row],[Category]]="Insignia",Table334[[#This Row],[Account Deposit Amount]]-Table334[[#This Row],[Account Withdrawl Amount]], )</f>
        <v>0</v>
      </c>
      <c r="Q254" s="243">
        <f>IF(Table334[[#This Row],[Category]]="Activities/Program",Table334[[#This Row],[Account Deposit Amount]]-Table334[[#This Row],[Account Withdrawl Amount]], )</f>
        <v>0</v>
      </c>
      <c r="R254" s="243">
        <f>IF(Table334[[#This Row],[Category]]="Travel",Table334[[#This Row],[Account Deposit Amount]]-Table334[[#This Row],[Account Withdrawl Amount]], )</f>
        <v>0</v>
      </c>
      <c r="S254" s="243">
        <f>IF(Table334[[#This Row],[Category]]="Parties Food &amp; Beverages",Table334[[#This Row],[Account Deposit Amount]]-Table334[[#This Row],[Account Withdrawl Amount]], )</f>
        <v>0</v>
      </c>
      <c r="T254" s="243">
        <f>IF(Table334[[#This Row],[Category]]="Service Projects Donation",Table334[[#This Row],[Account Deposit Amount]]-Table334[[#This Row],[Account Withdrawl Amount]], )</f>
        <v>0</v>
      </c>
      <c r="U254" s="243">
        <f>IF(Table334[[#This Row],[Category]]="Cookie Debt",Table334[[#This Row],[Account Deposit Amount]]-Table334[[#This Row],[Account Withdrawl Amount]], )</f>
        <v>0</v>
      </c>
      <c r="V254" s="243">
        <f>IF(Table334[[#This Row],[Category]]="Other Expense",Table334[[#This Row],[Account Deposit Amount]]-Table334[[#This Row],[Account Withdrawl Amount]], )</f>
        <v>0</v>
      </c>
    </row>
    <row r="255" spans="1:22">
      <c r="A255" s="225"/>
      <c r="B255" s="241"/>
      <c r="C255" s="225"/>
      <c r="D255" s="225"/>
      <c r="E255" s="242"/>
      <c r="F255" s="242"/>
      <c r="G255" s="243">
        <f t="shared" si="7"/>
        <v>2518.9699999999939</v>
      </c>
      <c r="H255" s="225"/>
      <c r="I255" s="243">
        <f>IF(Table334[[#This Row],[Category]]="Fall Product",Table334[[#This Row],[Account Deposit Amount]]-Table334[[#This Row],[Account Withdrawl Amount]], )</f>
        <v>0</v>
      </c>
      <c r="J255" s="243">
        <f>IF(Table334[[#This Row],[Category]]="Cookies",Table334[[#This Row],[Account Deposit Amount]]-Table334[[#This Row],[Account Withdrawl Amount]], )</f>
        <v>0</v>
      </c>
      <c r="K255" s="243">
        <f>IF(Table334[[#This Row],[Category]]="Additional Money Earning Activities",Table334[[#This Row],[Account Deposit Amount]]-Table334[[#This Row],[Account Withdrawl Amount]], )</f>
        <v>0</v>
      </c>
      <c r="L255" s="243">
        <f>IF(Table334[[#This Row],[Category]]="Sponsorships",Table334[[#This Row],[Account Deposit Amount]]-Table334[[#This Row],[Account Withdrawl Amount]], )</f>
        <v>0</v>
      </c>
      <c r="M255" s="243">
        <f>IF(Table334[[#This Row],[Category]]="Troop Dues",Table334[[#This Row],[Account Deposit Amount]]-Table334[[#This Row],[Account Withdrawl Amount]], )</f>
        <v>0</v>
      </c>
      <c r="N255" s="243">
        <f>IF(Table334[[#This Row],[Category]]="Other Income",Table334[[#This Row],[Account Deposit Amount]]-Table334[[#This Row],[Account Withdrawl Amount]], )</f>
        <v>0</v>
      </c>
      <c r="O255" s="243">
        <f>IF(Table334[[#This Row],[Category]]="Registration",Table334[[#This Row],[Account Deposit Amount]]-Table334[[#This Row],[Account Withdrawl Amount]], )</f>
        <v>0</v>
      </c>
      <c r="P255" s="243">
        <f>IF(Table334[[#This Row],[Category]]="Insignia",Table334[[#This Row],[Account Deposit Amount]]-Table334[[#This Row],[Account Withdrawl Amount]], )</f>
        <v>0</v>
      </c>
      <c r="Q255" s="243">
        <f>IF(Table334[[#This Row],[Category]]="Activities/Program",Table334[[#This Row],[Account Deposit Amount]]-Table334[[#This Row],[Account Withdrawl Amount]], )</f>
        <v>0</v>
      </c>
      <c r="R255" s="243">
        <f>IF(Table334[[#This Row],[Category]]="Travel",Table334[[#This Row],[Account Deposit Amount]]-Table334[[#This Row],[Account Withdrawl Amount]], )</f>
        <v>0</v>
      </c>
      <c r="S255" s="243">
        <f>IF(Table334[[#This Row],[Category]]="Parties Food &amp; Beverages",Table334[[#This Row],[Account Deposit Amount]]-Table334[[#This Row],[Account Withdrawl Amount]], )</f>
        <v>0</v>
      </c>
      <c r="T255" s="243">
        <f>IF(Table334[[#This Row],[Category]]="Service Projects Donation",Table334[[#This Row],[Account Deposit Amount]]-Table334[[#This Row],[Account Withdrawl Amount]], )</f>
        <v>0</v>
      </c>
      <c r="U255" s="243">
        <f>IF(Table334[[#This Row],[Category]]="Cookie Debt",Table334[[#This Row],[Account Deposit Amount]]-Table334[[#This Row],[Account Withdrawl Amount]], )</f>
        <v>0</v>
      </c>
      <c r="V255" s="243">
        <f>IF(Table334[[#This Row],[Category]]="Other Expense",Table334[[#This Row],[Account Deposit Amount]]-Table334[[#This Row],[Account Withdrawl Amount]], )</f>
        <v>0</v>
      </c>
    </row>
    <row r="256" spans="1:22">
      <c r="A256" s="225"/>
      <c r="B256" s="241"/>
      <c r="C256" s="225"/>
      <c r="D256" s="225"/>
      <c r="E256" s="242"/>
      <c r="F256" s="242"/>
      <c r="G256" s="243">
        <f t="shared" si="7"/>
        <v>2518.9699999999939</v>
      </c>
      <c r="H256" s="225"/>
      <c r="I256" s="243">
        <f>IF(Table334[[#This Row],[Category]]="Fall Product",Table334[[#This Row],[Account Deposit Amount]]-Table334[[#This Row],[Account Withdrawl Amount]], )</f>
        <v>0</v>
      </c>
      <c r="J256" s="243">
        <f>IF(Table334[[#This Row],[Category]]="Cookies",Table334[[#This Row],[Account Deposit Amount]]-Table334[[#This Row],[Account Withdrawl Amount]], )</f>
        <v>0</v>
      </c>
      <c r="K256" s="243">
        <f>IF(Table334[[#This Row],[Category]]="Additional Money Earning Activities",Table334[[#This Row],[Account Deposit Amount]]-Table334[[#This Row],[Account Withdrawl Amount]], )</f>
        <v>0</v>
      </c>
      <c r="L256" s="243">
        <f>IF(Table334[[#This Row],[Category]]="Sponsorships",Table334[[#This Row],[Account Deposit Amount]]-Table334[[#This Row],[Account Withdrawl Amount]], )</f>
        <v>0</v>
      </c>
      <c r="M256" s="243">
        <f>IF(Table334[[#This Row],[Category]]="Troop Dues",Table334[[#This Row],[Account Deposit Amount]]-Table334[[#This Row],[Account Withdrawl Amount]], )</f>
        <v>0</v>
      </c>
      <c r="N256" s="243">
        <f>IF(Table334[[#This Row],[Category]]="Other Income",Table334[[#This Row],[Account Deposit Amount]]-Table334[[#This Row],[Account Withdrawl Amount]], )</f>
        <v>0</v>
      </c>
      <c r="O256" s="243">
        <f>IF(Table334[[#This Row],[Category]]="Registration",Table334[[#This Row],[Account Deposit Amount]]-Table334[[#This Row],[Account Withdrawl Amount]], )</f>
        <v>0</v>
      </c>
      <c r="P256" s="243">
        <f>IF(Table334[[#This Row],[Category]]="Insignia",Table334[[#This Row],[Account Deposit Amount]]-Table334[[#This Row],[Account Withdrawl Amount]], )</f>
        <v>0</v>
      </c>
      <c r="Q256" s="243">
        <f>IF(Table334[[#This Row],[Category]]="Activities/Program",Table334[[#This Row],[Account Deposit Amount]]-Table334[[#This Row],[Account Withdrawl Amount]], )</f>
        <v>0</v>
      </c>
      <c r="R256" s="243">
        <f>IF(Table334[[#This Row],[Category]]="Travel",Table334[[#This Row],[Account Deposit Amount]]-Table334[[#This Row],[Account Withdrawl Amount]], )</f>
        <v>0</v>
      </c>
      <c r="S256" s="243">
        <f>IF(Table334[[#This Row],[Category]]="Parties Food &amp; Beverages",Table334[[#This Row],[Account Deposit Amount]]-Table334[[#This Row],[Account Withdrawl Amount]], )</f>
        <v>0</v>
      </c>
      <c r="T256" s="243">
        <f>IF(Table334[[#This Row],[Category]]="Service Projects Donation",Table334[[#This Row],[Account Deposit Amount]]-Table334[[#This Row],[Account Withdrawl Amount]], )</f>
        <v>0</v>
      </c>
      <c r="U256" s="243">
        <f>IF(Table334[[#This Row],[Category]]="Cookie Debt",Table334[[#This Row],[Account Deposit Amount]]-Table334[[#This Row],[Account Withdrawl Amount]], )</f>
        <v>0</v>
      </c>
      <c r="V256" s="243">
        <f>IF(Table334[[#This Row],[Category]]="Other Expense",Table334[[#This Row],[Account Deposit Amount]]-Table334[[#This Row],[Account Withdrawl Amount]], )</f>
        <v>0</v>
      </c>
    </row>
    <row r="257" spans="1:22">
      <c r="A257" s="225"/>
      <c r="B257" s="241"/>
      <c r="C257" s="225"/>
      <c r="D257" s="225"/>
      <c r="E257" s="242"/>
      <c r="F257" s="242"/>
      <c r="G257" s="243">
        <f t="shared" si="7"/>
        <v>2518.9699999999939</v>
      </c>
      <c r="H257" s="225"/>
      <c r="I257" s="243">
        <f>IF(Table334[[#This Row],[Category]]="Fall Product",Table334[[#This Row],[Account Deposit Amount]]-Table334[[#This Row],[Account Withdrawl Amount]], )</f>
        <v>0</v>
      </c>
      <c r="J257" s="243">
        <f>IF(Table334[[#This Row],[Category]]="Cookies",Table334[[#This Row],[Account Deposit Amount]]-Table334[[#This Row],[Account Withdrawl Amount]], )</f>
        <v>0</v>
      </c>
      <c r="K257" s="243">
        <f>IF(Table334[[#This Row],[Category]]="Additional Money Earning Activities",Table334[[#This Row],[Account Deposit Amount]]-Table334[[#This Row],[Account Withdrawl Amount]], )</f>
        <v>0</v>
      </c>
      <c r="L257" s="243">
        <f>IF(Table334[[#This Row],[Category]]="Sponsorships",Table334[[#This Row],[Account Deposit Amount]]-Table334[[#This Row],[Account Withdrawl Amount]], )</f>
        <v>0</v>
      </c>
      <c r="M257" s="243">
        <f>IF(Table334[[#This Row],[Category]]="Troop Dues",Table334[[#This Row],[Account Deposit Amount]]-Table334[[#This Row],[Account Withdrawl Amount]], )</f>
        <v>0</v>
      </c>
      <c r="N257" s="243">
        <f>IF(Table334[[#This Row],[Category]]="Other Income",Table334[[#This Row],[Account Deposit Amount]]-Table334[[#This Row],[Account Withdrawl Amount]], )</f>
        <v>0</v>
      </c>
      <c r="O257" s="243">
        <f>IF(Table334[[#This Row],[Category]]="Registration",Table334[[#This Row],[Account Deposit Amount]]-Table334[[#This Row],[Account Withdrawl Amount]], )</f>
        <v>0</v>
      </c>
      <c r="P257" s="243">
        <f>IF(Table334[[#This Row],[Category]]="Insignia",Table334[[#This Row],[Account Deposit Amount]]-Table334[[#This Row],[Account Withdrawl Amount]], )</f>
        <v>0</v>
      </c>
      <c r="Q257" s="243">
        <f>IF(Table334[[#This Row],[Category]]="Activities/Program",Table334[[#This Row],[Account Deposit Amount]]-Table334[[#This Row],[Account Withdrawl Amount]], )</f>
        <v>0</v>
      </c>
      <c r="R257" s="243">
        <f>IF(Table334[[#This Row],[Category]]="Travel",Table334[[#This Row],[Account Deposit Amount]]-Table334[[#This Row],[Account Withdrawl Amount]], )</f>
        <v>0</v>
      </c>
      <c r="S257" s="243">
        <f>IF(Table334[[#This Row],[Category]]="Parties Food &amp; Beverages",Table334[[#This Row],[Account Deposit Amount]]-Table334[[#This Row],[Account Withdrawl Amount]], )</f>
        <v>0</v>
      </c>
      <c r="T257" s="243">
        <f>IF(Table334[[#This Row],[Category]]="Service Projects Donation",Table334[[#This Row],[Account Deposit Amount]]-Table334[[#This Row],[Account Withdrawl Amount]], )</f>
        <v>0</v>
      </c>
      <c r="U257" s="243">
        <f>IF(Table334[[#This Row],[Category]]="Cookie Debt",Table334[[#This Row],[Account Deposit Amount]]-Table334[[#This Row],[Account Withdrawl Amount]], )</f>
        <v>0</v>
      </c>
      <c r="V257" s="243">
        <f>IF(Table334[[#This Row],[Category]]="Other Expense",Table334[[#This Row],[Account Deposit Amount]]-Table334[[#This Row],[Account Withdrawl Amount]], )</f>
        <v>0</v>
      </c>
    </row>
    <row r="258" spans="1:22">
      <c r="A258" s="225"/>
      <c r="B258" s="241"/>
      <c r="C258" s="225"/>
      <c r="D258" s="225"/>
      <c r="E258" s="242"/>
      <c r="F258" s="242"/>
      <c r="G258" s="243">
        <f t="shared" si="7"/>
        <v>2518.9699999999939</v>
      </c>
      <c r="H258" s="225"/>
      <c r="I258" s="243">
        <f>IF(Table334[[#This Row],[Category]]="Fall Product",Table334[[#This Row],[Account Deposit Amount]]-Table334[[#This Row],[Account Withdrawl Amount]], )</f>
        <v>0</v>
      </c>
      <c r="J258" s="243">
        <f>IF(Table334[[#This Row],[Category]]="Cookies",Table334[[#This Row],[Account Deposit Amount]]-Table334[[#This Row],[Account Withdrawl Amount]], )</f>
        <v>0</v>
      </c>
      <c r="K258" s="243">
        <f>IF(Table334[[#This Row],[Category]]="Additional Money Earning Activities",Table334[[#This Row],[Account Deposit Amount]]-Table334[[#This Row],[Account Withdrawl Amount]], )</f>
        <v>0</v>
      </c>
      <c r="L258" s="243">
        <f>IF(Table334[[#This Row],[Category]]="Sponsorships",Table334[[#This Row],[Account Deposit Amount]]-Table334[[#This Row],[Account Withdrawl Amount]], )</f>
        <v>0</v>
      </c>
      <c r="M258" s="243">
        <f>IF(Table334[[#This Row],[Category]]="Troop Dues",Table334[[#This Row],[Account Deposit Amount]]-Table334[[#This Row],[Account Withdrawl Amount]], )</f>
        <v>0</v>
      </c>
      <c r="N258" s="243">
        <f>IF(Table334[[#This Row],[Category]]="Other Income",Table334[[#This Row],[Account Deposit Amount]]-Table334[[#This Row],[Account Withdrawl Amount]], )</f>
        <v>0</v>
      </c>
      <c r="O258" s="243">
        <f>IF(Table334[[#This Row],[Category]]="Registration",Table334[[#This Row],[Account Deposit Amount]]-Table334[[#This Row],[Account Withdrawl Amount]], )</f>
        <v>0</v>
      </c>
      <c r="P258" s="243">
        <f>IF(Table334[[#This Row],[Category]]="Insignia",Table334[[#This Row],[Account Deposit Amount]]-Table334[[#This Row],[Account Withdrawl Amount]], )</f>
        <v>0</v>
      </c>
      <c r="Q258" s="243">
        <f>IF(Table334[[#This Row],[Category]]="Activities/Program",Table334[[#This Row],[Account Deposit Amount]]-Table334[[#This Row],[Account Withdrawl Amount]], )</f>
        <v>0</v>
      </c>
      <c r="R258" s="243">
        <f>IF(Table334[[#This Row],[Category]]="Travel",Table334[[#This Row],[Account Deposit Amount]]-Table334[[#This Row],[Account Withdrawl Amount]], )</f>
        <v>0</v>
      </c>
      <c r="S258" s="243">
        <f>IF(Table334[[#This Row],[Category]]="Parties Food &amp; Beverages",Table334[[#This Row],[Account Deposit Amount]]-Table334[[#This Row],[Account Withdrawl Amount]], )</f>
        <v>0</v>
      </c>
      <c r="T258" s="243">
        <f>IF(Table334[[#This Row],[Category]]="Service Projects Donation",Table334[[#This Row],[Account Deposit Amount]]-Table334[[#This Row],[Account Withdrawl Amount]], )</f>
        <v>0</v>
      </c>
      <c r="U258" s="243">
        <f>IF(Table334[[#This Row],[Category]]="Cookie Debt",Table334[[#This Row],[Account Deposit Amount]]-Table334[[#This Row],[Account Withdrawl Amount]], )</f>
        <v>0</v>
      </c>
      <c r="V258" s="243">
        <f>IF(Table334[[#This Row],[Category]]="Other Expense",Table334[[#This Row],[Account Deposit Amount]]-Table334[[#This Row],[Account Withdrawl Amount]], )</f>
        <v>0</v>
      </c>
    </row>
    <row r="259" spans="1:22">
      <c r="A259" s="225"/>
      <c r="B259" s="241"/>
      <c r="C259" s="225"/>
      <c r="D259" s="225"/>
      <c r="E259" s="242"/>
      <c r="F259" s="242"/>
      <c r="G259" s="243">
        <f t="shared" si="7"/>
        <v>2518.9699999999939</v>
      </c>
      <c r="H259" s="225"/>
      <c r="I259" s="243">
        <f>IF(Table334[[#This Row],[Category]]="Fall Product",Table334[[#This Row],[Account Deposit Amount]]-Table334[[#This Row],[Account Withdrawl Amount]], )</f>
        <v>0</v>
      </c>
      <c r="J259" s="243">
        <f>IF(Table334[[#This Row],[Category]]="Cookies",Table334[[#This Row],[Account Deposit Amount]]-Table334[[#This Row],[Account Withdrawl Amount]], )</f>
        <v>0</v>
      </c>
      <c r="K259" s="243">
        <f>IF(Table334[[#This Row],[Category]]="Additional Money Earning Activities",Table334[[#This Row],[Account Deposit Amount]]-Table334[[#This Row],[Account Withdrawl Amount]], )</f>
        <v>0</v>
      </c>
      <c r="L259" s="243">
        <f>IF(Table334[[#This Row],[Category]]="Sponsorships",Table334[[#This Row],[Account Deposit Amount]]-Table334[[#This Row],[Account Withdrawl Amount]], )</f>
        <v>0</v>
      </c>
      <c r="M259" s="243">
        <f>IF(Table334[[#This Row],[Category]]="Troop Dues",Table334[[#This Row],[Account Deposit Amount]]-Table334[[#This Row],[Account Withdrawl Amount]], )</f>
        <v>0</v>
      </c>
      <c r="N259" s="243">
        <f>IF(Table334[[#This Row],[Category]]="Other Income",Table334[[#This Row],[Account Deposit Amount]]-Table334[[#This Row],[Account Withdrawl Amount]], )</f>
        <v>0</v>
      </c>
      <c r="O259" s="243">
        <f>IF(Table334[[#This Row],[Category]]="Registration",Table334[[#This Row],[Account Deposit Amount]]-Table334[[#This Row],[Account Withdrawl Amount]], )</f>
        <v>0</v>
      </c>
      <c r="P259" s="243">
        <f>IF(Table334[[#This Row],[Category]]="Insignia",Table334[[#This Row],[Account Deposit Amount]]-Table334[[#This Row],[Account Withdrawl Amount]], )</f>
        <v>0</v>
      </c>
      <c r="Q259" s="243">
        <f>IF(Table334[[#This Row],[Category]]="Activities/Program",Table334[[#This Row],[Account Deposit Amount]]-Table334[[#This Row],[Account Withdrawl Amount]], )</f>
        <v>0</v>
      </c>
      <c r="R259" s="243">
        <f>IF(Table334[[#This Row],[Category]]="Travel",Table334[[#This Row],[Account Deposit Amount]]-Table334[[#This Row],[Account Withdrawl Amount]], )</f>
        <v>0</v>
      </c>
      <c r="S259" s="243">
        <f>IF(Table334[[#This Row],[Category]]="Parties Food &amp; Beverages",Table334[[#This Row],[Account Deposit Amount]]-Table334[[#This Row],[Account Withdrawl Amount]], )</f>
        <v>0</v>
      </c>
      <c r="T259" s="243">
        <f>IF(Table334[[#This Row],[Category]]="Service Projects Donation",Table334[[#This Row],[Account Deposit Amount]]-Table334[[#This Row],[Account Withdrawl Amount]], )</f>
        <v>0</v>
      </c>
      <c r="U259" s="243">
        <f>IF(Table334[[#This Row],[Category]]="Cookie Debt",Table334[[#This Row],[Account Deposit Amount]]-Table334[[#This Row],[Account Withdrawl Amount]], )</f>
        <v>0</v>
      </c>
      <c r="V259" s="243">
        <f>IF(Table334[[#This Row],[Category]]="Other Expense",Table334[[#This Row],[Account Deposit Amount]]-Table334[[#This Row],[Account Withdrawl Amount]], )</f>
        <v>0</v>
      </c>
    </row>
    <row r="260" spans="1:22">
      <c r="A260" s="225"/>
      <c r="B260" s="241"/>
      <c r="C260" s="225"/>
      <c r="D260" s="225"/>
      <c r="E260" s="242"/>
      <c r="F260" s="242"/>
      <c r="G260" s="243">
        <f t="shared" si="7"/>
        <v>2518.9699999999939</v>
      </c>
      <c r="H260" s="225"/>
      <c r="I260" s="243">
        <f>IF(Table334[[#This Row],[Category]]="Fall Product",Table334[[#This Row],[Account Deposit Amount]]-Table334[[#This Row],[Account Withdrawl Amount]], )</f>
        <v>0</v>
      </c>
      <c r="J260" s="243">
        <f>IF(Table334[[#This Row],[Category]]="Cookies",Table334[[#This Row],[Account Deposit Amount]]-Table334[[#This Row],[Account Withdrawl Amount]], )</f>
        <v>0</v>
      </c>
      <c r="K260" s="243">
        <f>IF(Table334[[#This Row],[Category]]="Additional Money Earning Activities",Table334[[#This Row],[Account Deposit Amount]]-Table334[[#This Row],[Account Withdrawl Amount]], )</f>
        <v>0</v>
      </c>
      <c r="L260" s="243">
        <f>IF(Table334[[#This Row],[Category]]="Sponsorships",Table334[[#This Row],[Account Deposit Amount]]-Table334[[#This Row],[Account Withdrawl Amount]], )</f>
        <v>0</v>
      </c>
      <c r="M260" s="243">
        <f>IF(Table334[[#This Row],[Category]]="Troop Dues",Table334[[#This Row],[Account Deposit Amount]]-Table334[[#This Row],[Account Withdrawl Amount]], )</f>
        <v>0</v>
      </c>
      <c r="N260" s="243">
        <f>IF(Table334[[#This Row],[Category]]="Other Income",Table334[[#This Row],[Account Deposit Amount]]-Table334[[#This Row],[Account Withdrawl Amount]], )</f>
        <v>0</v>
      </c>
      <c r="O260" s="243">
        <f>IF(Table334[[#This Row],[Category]]="Registration",Table334[[#This Row],[Account Deposit Amount]]-Table334[[#This Row],[Account Withdrawl Amount]], )</f>
        <v>0</v>
      </c>
      <c r="P260" s="243">
        <f>IF(Table334[[#This Row],[Category]]="Insignia",Table334[[#This Row],[Account Deposit Amount]]-Table334[[#This Row],[Account Withdrawl Amount]], )</f>
        <v>0</v>
      </c>
      <c r="Q260" s="243">
        <f>IF(Table334[[#This Row],[Category]]="Activities/Program",Table334[[#This Row],[Account Deposit Amount]]-Table334[[#This Row],[Account Withdrawl Amount]], )</f>
        <v>0</v>
      </c>
      <c r="R260" s="243">
        <f>IF(Table334[[#This Row],[Category]]="Travel",Table334[[#This Row],[Account Deposit Amount]]-Table334[[#This Row],[Account Withdrawl Amount]], )</f>
        <v>0</v>
      </c>
      <c r="S260" s="243">
        <f>IF(Table334[[#This Row],[Category]]="Parties Food &amp; Beverages",Table334[[#This Row],[Account Deposit Amount]]-Table334[[#This Row],[Account Withdrawl Amount]], )</f>
        <v>0</v>
      </c>
      <c r="T260" s="243">
        <f>IF(Table334[[#This Row],[Category]]="Service Projects Donation",Table334[[#This Row],[Account Deposit Amount]]-Table334[[#This Row],[Account Withdrawl Amount]], )</f>
        <v>0</v>
      </c>
      <c r="U260" s="243">
        <f>IF(Table334[[#This Row],[Category]]="Cookie Debt",Table334[[#This Row],[Account Deposit Amount]]-Table334[[#This Row],[Account Withdrawl Amount]], )</f>
        <v>0</v>
      </c>
      <c r="V260" s="243">
        <f>IF(Table334[[#This Row],[Category]]="Other Expense",Table334[[#This Row],[Account Deposit Amount]]-Table334[[#This Row],[Account Withdrawl Amount]], )</f>
        <v>0</v>
      </c>
    </row>
    <row r="261" spans="1:22">
      <c r="A261" s="225"/>
      <c r="B261" s="241"/>
      <c r="C261" s="225"/>
      <c r="D261" s="225"/>
      <c r="E261" s="242"/>
      <c r="F261" s="242"/>
      <c r="G261" s="243">
        <f t="shared" si="7"/>
        <v>2518.9699999999939</v>
      </c>
      <c r="H261" s="225"/>
      <c r="I261" s="243">
        <f>IF(Table334[[#This Row],[Category]]="Fall Product",Table334[[#This Row],[Account Deposit Amount]]-Table334[[#This Row],[Account Withdrawl Amount]], )</f>
        <v>0</v>
      </c>
      <c r="J261" s="243">
        <f>IF(Table334[[#This Row],[Category]]="Cookies",Table334[[#This Row],[Account Deposit Amount]]-Table334[[#This Row],[Account Withdrawl Amount]], )</f>
        <v>0</v>
      </c>
      <c r="K261" s="243">
        <f>IF(Table334[[#This Row],[Category]]="Additional Money Earning Activities",Table334[[#This Row],[Account Deposit Amount]]-Table334[[#This Row],[Account Withdrawl Amount]], )</f>
        <v>0</v>
      </c>
      <c r="L261" s="243">
        <f>IF(Table334[[#This Row],[Category]]="Sponsorships",Table334[[#This Row],[Account Deposit Amount]]-Table334[[#This Row],[Account Withdrawl Amount]], )</f>
        <v>0</v>
      </c>
      <c r="M261" s="243">
        <f>IF(Table334[[#This Row],[Category]]="Troop Dues",Table334[[#This Row],[Account Deposit Amount]]-Table334[[#This Row],[Account Withdrawl Amount]], )</f>
        <v>0</v>
      </c>
      <c r="N261" s="243">
        <f>IF(Table334[[#This Row],[Category]]="Other Income",Table334[[#This Row],[Account Deposit Amount]]-Table334[[#This Row],[Account Withdrawl Amount]], )</f>
        <v>0</v>
      </c>
      <c r="O261" s="243">
        <f>IF(Table334[[#This Row],[Category]]="Registration",Table334[[#This Row],[Account Deposit Amount]]-Table334[[#This Row],[Account Withdrawl Amount]], )</f>
        <v>0</v>
      </c>
      <c r="P261" s="243">
        <f>IF(Table334[[#This Row],[Category]]="Insignia",Table334[[#This Row],[Account Deposit Amount]]-Table334[[#This Row],[Account Withdrawl Amount]], )</f>
        <v>0</v>
      </c>
      <c r="Q261" s="243">
        <f>IF(Table334[[#This Row],[Category]]="Activities/Program",Table334[[#This Row],[Account Deposit Amount]]-Table334[[#This Row],[Account Withdrawl Amount]], )</f>
        <v>0</v>
      </c>
      <c r="R261" s="243">
        <f>IF(Table334[[#This Row],[Category]]="Travel",Table334[[#This Row],[Account Deposit Amount]]-Table334[[#This Row],[Account Withdrawl Amount]], )</f>
        <v>0</v>
      </c>
      <c r="S261" s="243">
        <f>IF(Table334[[#This Row],[Category]]="Parties Food &amp; Beverages",Table334[[#This Row],[Account Deposit Amount]]-Table334[[#This Row],[Account Withdrawl Amount]], )</f>
        <v>0</v>
      </c>
      <c r="T261" s="243">
        <f>IF(Table334[[#This Row],[Category]]="Service Projects Donation",Table334[[#This Row],[Account Deposit Amount]]-Table334[[#This Row],[Account Withdrawl Amount]], )</f>
        <v>0</v>
      </c>
      <c r="U261" s="243">
        <f>IF(Table334[[#This Row],[Category]]="Cookie Debt",Table334[[#This Row],[Account Deposit Amount]]-Table334[[#This Row],[Account Withdrawl Amount]], )</f>
        <v>0</v>
      </c>
      <c r="V261" s="243">
        <f>IF(Table334[[#This Row],[Category]]="Other Expense",Table334[[#This Row],[Account Deposit Amount]]-Table334[[#This Row],[Account Withdrawl Amount]], )</f>
        <v>0</v>
      </c>
    </row>
    <row r="262" spans="1:22">
      <c r="A262" s="225"/>
      <c r="B262" s="241"/>
      <c r="C262" s="225"/>
      <c r="D262" s="225"/>
      <c r="E262" s="242"/>
      <c r="F262" s="242"/>
      <c r="G262" s="243">
        <f t="shared" si="7"/>
        <v>2518.9699999999939</v>
      </c>
      <c r="H262" s="225"/>
      <c r="I262" s="243">
        <f>IF(Table334[[#This Row],[Category]]="Fall Product",Table334[[#This Row],[Account Deposit Amount]]-Table334[[#This Row],[Account Withdrawl Amount]], )</f>
        <v>0</v>
      </c>
      <c r="J262" s="243">
        <f>IF(Table334[[#This Row],[Category]]="Cookies",Table334[[#This Row],[Account Deposit Amount]]-Table334[[#This Row],[Account Withdrawl Amount]], )</f>
        <v>0</v>
      </c>
      <c r="K262" s="243">
        <f>IF(Table334[[#This Row],[Category]]="Additional Money Earning Activities",Table334[[#This Row],[Account Deposit Amount]]-Table334[[#This Row],[Account Withdrawl Amount]], )</f>
        <v>0</v>
      </c>
      <c r="L262" s="243">
        <f>IF(Table334[[#This Row],[Category]]="Sponsorships",Table334[[#This Row],[Account Deposit Amount]]-Table334[[#This Row],[Account Withdrawl Amount]], )</f>
        <v>0</v>
      </c>
      <c r="M262" s="243">
        <f>IF(Table334[[#This Row],[Category]]="Troop Dues",Table334[[#This Row],[Account Deposit Amount]]-Table334[[#This Row],[Account Withdrawl Amount]], )</f>
        <v>0</v>
      </c>
      <c r="N262" s="243">
        <f>IF(Table334[[#This Row],[Category]]="Other Income",Table334[[#This Row],[Account Deposit Amount]]-Table334[[#This Row],[Account Withdrawl Amount]], )</f>
        <v>0</v>
      </c>
      <c r="O262" s="243">
        <f>IF(Table334[[#This Row],[Category]]="Registration",Table334[[#This Row],[Account Deposit Amount]]-Table334[[#This Row],[Account Withdrawl Amount]], )</f>
        <v>0</v>
      </c>
      <c r="P262" s="243">
        <f>IF(Table334[[#This Row],[Category]]="Insignia",Table334[[#This Row],[Account Deposit Amount]]-Table334[[#This Row],[Account Withdrawl Amount]], )</f>
        <v>0</v>
      </c>
      <c r="Q262" s="243">
        <f>IF(Table334[[#This Row],[Category]]="Activities/Program",Table334[[#This Row],[Account Deposit Amount]]-Table334[[#This Row],[Account Withdrawl Amount]], )</f>
        <v>0</v>
      </c>
      <c r="R262" s="243">
        <f>IF(Table334[[#This Row],[Category]]="Travel",Table334[[#This Row],[Account Deposit Amount]]-Table334[[#This Row],[Account Withdrawl Amount]], )</f>
        <v>0</v>
      </c>
      <c r="S262" s="243">
        <f>IF(Table334[[#This Row],[Category]]="Parties Food &amp; Beverages",Table334[[#This Row],[Account Deposit Amount]]-Table334[[#This Row],[Account Withdrawl Amount]], )</f>
        <v>0</v>
      </c>
      <c r="T262" s="243">
        <f>IF(Table334[[#This Row],[Category]]="Service Projects Donation",Table334[[#This Row],[Account Deposit Amount]]-Table334[[#This Row],[Account Withdrawl Amount]], )</f>
        <v>0</v>
      </c>
      <c r="U262" s="243">
        <f>IF(Table334[[#This Row],[Category]]="Cookie Debt",Table334[[#This Row],[Account Deposit Amount]]-Table334[[#This Row],[Account Withdrawl Amount]], )</f>
        <v>0</v>
      </c>
      <c r="V262" s="243">
        <f>IF(Table334[[#This Row],[Category]]="Other Expense",Table334[[#This Row],[Account Deposit Amount]]-Table334[[#This Row],[Account Withdrawl Amount]], )</f>
        <v>0</v>
      </c>
    </row>
    <row r="263" spans="1:22">
      <c r="A263" s="225"/>
      <c r="B263" s="241"/>
      <c r="C263" s="225"/>
      <c r="D263" s="225"/>
      <c r="E263" s="242"/>
      <c r="F263" s="242"/>
      <c r="G263" s="243">
        <f t="shared" si="7"/>
        <v>2518.9699999999939</v>
      </c>
      <c r="H263" s="225"/>
      <c r="I263" s="243">
        <f>IF(Table334[[#This Row],[Category]]="Fall Product",Table334[[#This Row],[Account Deposit Amount]]-Table334[[#This Row],[Account Withdrawl Amount]], )</f>
        <v>0</v>
      </c>
      <c r="J263" s="243">
        <f>IF(Table334[[#This Row],[Category]]="Cookies",Table334[[#This Row],[Account Deposit Amount]]-Table334[[#This Row],[Account Withdrawl Amount]], )</f>
        <v>0</v>
      </c>
      <c r="K263" s="243">
        <f>IF(Table334[[#This Row],[Category]]="Additional Money Earning Activities",Table334[[#This Row],[Account Deposit Amount]]-Table334[[#This Row],[Account Withdrawl Amount]], )</f>
        <v>0</v>
      </c>
      <c r="L263" s="243">
        <f>IF(Table334[[#This Row],[Category]]="Sponsorships",Table334[[#This Row],[Account Deposit Amount]]-Table334[[#This Row],[Account Withdrawl Amount]], )</f>
        <v>0</v>
      </c>
      <c r="M263" s="243">
        <f>IF(Table334[[#This Row],[Category]]="Troop Dues",Table334[[#This Row],[Account Deposit Amount]]-Table334[[#This Row],[Account Withdrawl Amount]], )</f>
        <v>0</v>
      </c>
      <c r="N263" s="243">
        <f>IF(Table334[[#This Row],[Category]]="Other Income",Table334[[#This Row],[Account Deposit Amount]]-Table334[[#This Row],[Account Withdrawl Amount]], )</f>
        <v>0</v>
      </c>
      <c r="O263" s="243">
        <f>IF(Table334[[#This Row],[Category]]="Registration",Table334[[#This Row],[Account Deposit Amount]]-Table334[[#This Row],[Account Withdrawl Amount]], )</f>
        <v>0</v>
      </c>
      <c r="P263" s="243">
        <f>IF(Table334[[#This Row],[Category]]="Insignia",Table334[[#This Row],[Account Deposit Amount]]-Table334[[#This Row],[Account Withdrawl Amount]], )</f>
        <v>0</v>
      </c>
      <c r="Q263" s="243">
        <f>IF(Table334[[#This Row],[Category]]="Activities/Program",Table334[[#This Row],[Account Deposit Amount]]-Table334[[#This Row],[Account Withdrawl Amount]], )</f>
        <v>0</v>
      </c>
      <c r="R263" s="243">
        <f>IF(Table334[[#This Row],[Category]]="Travel",Table334[[#This Row],[Account Deposit Amount]]-Table334[[#This Row],[Account Withdrawl Amount]], )</f>
        <v>0</v>
      </c>
      <c r="S263" s="243">
        <f>IF(Table334[[#This Row],[Category]]="Parties Food &amp; Beverages",Table334[[#This Row],[Account Deposit Amount]]-Table334[[#This Row],[Account Withdrawl Amount]], )</f>
        <v>0</v>
      </c>
      <c r="T263" s="243">
        <f>IF(Table334[[#This Row],[Category]]="Service Projects Donation",Table334[[#This Row],[Account Deposit Amount]]-Table334[[#This Row],[Account Withdrawl Amount]], )</f>
        <v>0</v>
      </c>
      <c r="U263" s="243">
        <f>IF(Table334[[#This Row],[Category]]="Cookie Debt",Table334[[#This Row],[Account Deposit Amount]]-Table334[[#This Row],[Account Withdrawl Amount]], )</f>
        <v>0</v>
      </c>
      <c r="V263" s="243">
        <f>IF(Table334[[#This Row],[Category]]="Other Expense",Table334[[#This Row],[Account Deposit Amount]]-Table334[[#This Row],[Account Withdrawl Amount]], )</f>
        <v>0</v>
      </c>
    </row>
    <row r="264" spans="1:22">
      <c r="A264" s="225"/>
      <c r="B264" s="241"/>
      <c r="C264" s="225"/>
      <c r="D264" s="225"/>
      <c r="E264" s="242"/>
      <c r="F264" s="242"/>
      <c r="G264" s="243">
        <f t="shared" si="7"/>
        <v>2518.9699999999939</v>
      </c>
      <c r="H264" s="225"/>
      <c r="I264" s="243">
        <f>IF(Table334[[#This Row],[Category]]="Fall Product",Table334[[#This Row],[Account Deposit Amount]]-Table334[[#This Row],[Account Withdrawl Amount]], )</f>
        <v>0</v>
      </c>
      <c r="J264" s="243">
        <f>IF(Table334[[#This Row],[Category]]="Cookies",Table334[[#This Row],[Account Deposit Amount]]-Table334[[#This Row],[Account Withdrawl Amount]], )</f>
        <v>0</v>
      </c>
      <c r="K264" s="243">
        <f>IF(Table334[[#This Row],[Category]]="Additional Money Earning Activities",Table334[[#This Row],[Account Deposit Amount]]-Table334[[#This Row],[Account Withdrawl Amount]], )</f>
        <v>0</v>
      </c>
      <c r="L264" s="243">
        <f>IF(Table334[[#This Row],[Category]]="Sponsorships",Table334[[#This Row],[Account Deposit Amount]]-Table334[[#This Row],[Account Withdrawl Amount]], )</f>
        <v>0</v>
      </c>
      <c r="M264" s="243">
        <f>IF(Table334[[#This Row],[Category]]="Troop Dues",Table334[[#This Row],[Account Deposit Amount]]-Table334[[#This Row],[Account Withdrawl Amount]], )</f>
        <v>0</v>
      </c>
      <c r="N264" s="243">
        <f>IF(Table334[[#This Row],[Category]]="Other Income",Table334[[#This Row],[Account Deposit Amount]]-Table334[[#This Row],[Account Withdrawl Amount]], )</f>
        <v>0</v>
      </c>
      <c r="O264" s="243">
        <f>IF(Table334[[#This Row],[Category]]="Registration",Table334[[#This Row],[Account Deposit Amount]]-Table334[[#This Row],[Account Withdrawl Amount]], )</f>
        <v>0</v>
      </c>
      <c r="P264" s="243">
        <f>IF(Table334[[#This Row],[Category]]="Insignia",Table334[[#This Row],[Account Deposit Amount]]-Table334[[#This Row],[Account Withdrawl Amount]], )</f>
        <v>0</v>
      </c>
      <c r="Q264" s="243">
        <f>IF(Table334[[#This Row],[Category]]="Activities/Program",Table334[[#This Row],[Account Deposit Amount]]-Table334[[#This Row],[Account Withdrawl Amount]], )</f>
        <v>0</v>
      </c>
      <c r="R264" s="243">
        <f>IF(Table334[[#This Row],[Category]]="Travel",Table334[[#This Row],[Account Deposit Amount]]-Table334[[#This Row],[Account Withdrawl Amount]], )</f>
        <v>0</v>
      </c>
      <c r="S264" s="243">
        <f>IF(Table334[[#This Row],[Category]]="Parties Food &amp; Beverages",Table334[[#This Row],[Account Deposit Amount]]-Table334[[#This Row],[Account Withdrawl Amount]], )</f>
        <v>0</v>
      </c>
      <c r="T264" s="243">
        <f>IF(Table334[[#This Row],[Category]]="Service Projects Donation",Table334[[#This Row],[Account Deposit Amount]]-Table334[[#This Row],[Account Withdrawl Amount]], )</f>
        <v>0</v>
      </c>
      <c r="U264" s="243">
        <f>IF(Table334[[#This Row],[Category]]="Cookie Debt",Table334[[#This Row],[Account Deposit Amount]]-Table334[[#This Row],[Account Withdrawl Amount]], )</f>
        <v>0</v>
      </c>
      <c r="V264" s="243">
        <f>IF(Table334[[#This Row],[Category]]="Other Expense",Table334[[#This Row],[Account Deposit Amount]]-Table334[[#This Row],[Account Withdrawl Amount]], )</f>
        <v>0</v>
      </c>
    </row>
    <row r="265" spans="1:22">
      <c r="A265" s="225"/>
      <c r="B265" s="241"/>
      <c r="C265" s="225"/>
      <c r="D265" s="225"/>
      <c r="E265" s="242"/>
      <c r="F265" s="242"/>
      <c r="G265" s="243">
        <f t="shared" si="7"/>
        <v>2518.9699999999939</v>
      </c>
      <c r="H265" s="225"/>
      <c r="I265" s="243">
        <f>IF(Table334[[#This Row],[Category]]="Fall Product",Table334[[#This Row],[Account Deposit Amount]]-Table334[[#This Row],[Account Withdrawl Amount]], )</f>
        <v>0</v>
      </c>
      <c r="J265" s="243">
        <f>IF(Table334[[#This Row],[Category]]="Cookies",Table334[[#This Row],[Account Deposit Amount]]-Table334[[#This Row],[Account Withdrawl Amount]], )</f>
        <v>0</v>
      </c>
      <c r="K265" s="243">
        <f>IF(Table334[[#This Row],[Category]]="Additional Money Earning Activities",Table334[[#This Row],[Account Deposit Amount]]-Table334[[#This Row],[Account Withdrawl Amount]], )</f>
        <v>0</v>
      </c>
      <c r="L265" s="243">
        <f>IF(Table334[[#This Row],[Category]]="Sponsorships",Table334[[#This Row],[Account Deposit Amount]]-Table334[[#This Row],[Account Withdrawl Amount]], )</f>
        <v>0</v>
      </c>
      <c r="M265" s="243">
        <f>IF(Table334[[#This Row],[Category]]="Troop Dues",Table334[[#This Row],[Account Deposit Amount]]-Table334[[#This Row],[Account Withdrawl Amount]], )</f>
        <v>0</v>
      </c>
      <c r="N265" s="243">
        <f>IF(Table334[[#This Row],[Category]]="Other Income",Table334[[#This Row],[Account Deposit Amount]]-Table334[[#This Row],[Account Withdrawl Amount]], )</f>
        <v>0</v>
      </c>
      <c r="O265" s="243">
        <f>IF(Table334[[#This Row],[Category]]="Registration",Table334[[#This Row],[Account Deposit Amount]]-Table334[[#This Row],[Account Withdrawl Amount]], )</f>
        <v>0</v>
      </c>
      <c r="P265" s="243">
        <f>IF(Table334[[#This Row],[Category]]="Insignia",Table334[[#This Row],[Account Deposit Amount]]-Table334[[#This Row],[Account Withdrawl Amount]], )</f>
        <v>0</v>
      </c>
      <c r="Q265" s="243">
        <f>IF(Table334[[#This Row],[Category]]="Activities/Program",Table334[[#This Row],[Account Deposit Amount]]-Table334[[#This Row],[Account Withdrawl Amount]], )</f>
        <v>0</v>
      </c>
      <c r="R265" s="243">
        <f>IF(Table334[[#This Row],[Category]]="Travel",Table334[[#This Row],[Account Deposit Amount]]-Table334[[#This Row],[Account Withdrawl Amount]], )</f>
        <v>0</v>
      </c>
      <c r="S265" s="243">
        <f>IF(Table334[[#This Row],[Category]]="Parties Food &amp; Beverages",Table334[[#This Row],[Account Deposit Amount]]-Table334[[#This Row],[Account Withdrawl Amount]], )</f>
        <v>0</v>
      </c>
      <c r="T265" s="243">
        <f>IF(Table334[[#This Row],[Category]]="Service Projects Donation",Table334[[#This Row],[Account Deposit Amount]]-Table334[[#This Row],[Account Withdrawl Amount]], )</f>
        <v>0</v>
      </c>
      <c r="U265" s="243">
        <f>IF(Table334[[#This Row],[Category]]="Cookie Debt",Table334[[#This Row],[Account Deposit Amount]]-Table334[[#This Row],[Account Withdrawl Amount]], )</f>
        <v>0</v>
      </c>
      <c r="V265" s="243">
        <f>IF(Table334[[#This Row],[Category]]="Other Expense",Table334[[#This Row],[Account Deposit Amount]]-Table334[[#This Row],[Account Withdrawl Amount]], )</f>
        <v>0</v>
      </c>
    </row>
    <row r="266" spans="1:22">
      <c r="A266" s="225"/>
      <c r="B266" s="241"/>
      <c r="C266" s="225"/>
      <c r="D266" s="225"/>
      <c r="E266" s="242"/>
      <c r="F266" s="242"/>
      <c r="G266" s="243">
        <f t="shared" si="7"/>
        <v>2518.9699999999939</v>
      </c>
      <c r="H266" s="225"/>
      <c r="I266" s="243">
        <f>IF(Table334[[#This Row],[Category]]="Fall Product",Table334[[#This Row],[Account Deposit Amount]]-Table334[[#This Row],[Account Withdrawl Amount]], )</f>
        <v>0</v>
      </c>
      <c r="J266" s="243">
        <f>IF(Table334[[#This Row],[Category]]="Cookies",Table334[[#This Row],[Account Deposit Amount]]-Table334[[#This Row],[Account Withdrawl Amount]], )</f>
        <v>0</v>
      </c>
      <c r="K266" s="243">
        <f>IF(Table334[[#This Row],[Category]]="Additional Money Earning Activities",Table334[[#This Row],[Account Deposit Amount]]-Table334[[#This Row],[Account Withdrawl Amount]], )</f>
        <v>0</v>
      </c>
      <c r="L266" s="243">
        <f>IF(Table334[[#This Row],[Category]]="Sponsorships",Table334[[#This Row],[Account Deposit Amount]]-Table334[[#This Row],[Account Withdrawl Amount]], )</f>
        <v>0</v>
      </c>
      <c r="M266" s="243">
        <f>IF(Table334[[#This Row],[Category]]="Troop Dues",Table334[[#This Row],[Account Deposit Amount]]-Table334[[#This Row],[Account Withdrawl Amount]], )</f>
        <v>0</v>
      </c>
      <c r="N266" s="243">
        <f>IF(Table334[[#This Row],[Category]]="Other Income",Table334[[#This Row],[Account Deposit Amount]]-Table334[[#This Row],[Account Withdrawl Amount]], )</f>
        <v>0</v>
      </c>
      <c r="O266" s="243">
        <f>IF(Table334[[#This Row],[Category]]="Registration",Table334[[#This Row],[Account Deposit Amount]]-Table334[[#This Row],[Account Withdrawl Amount]], )</f>
        <v>0</v>
      </c>
      <c r="P266" s="243">
        <f>IF(Table334[[#This Row],[Category]]="Insignia",Table334[[#This Row],[Account Deposit Amount]]-Table334[[#This Row],[Account Withdrawl Amount]], )</f>
        <v>0</v>
      </c>
      <c r="Q266" s="243">
        <f>IF(Table334[[#This Row],[Category]]="Activities/Program",Table334[[#This Row],[Account Deposit Amount]]-Table334[[#This Row],[Account Withdrawl Amount]], )</f>
        <v>0</v>
      </c>
      <c r="R266" s="243">
        <f>IF(Table334[[#This Row],[Category]]="Travel",Table334[[#This Row],[Account Deposit Amount]]-Table334[[#This Row],[Account Withdrawl Amount]], )</f>
        <v>0</v>
      </c>
      <c r="S266" s="243">
        <f>IF(Table334[[#This Row],[Category]]="Parties Food &amp; Beverages",Table334[[#This Row],[Account Deposit Amount]]-Table334[[#This Row],[Account Withdrawl Amount]], )</f>
        <v>0</v>
      </c>
      <c r="T266" s="243">
        <f>IF(Table334[[#This Row],[Category]]="Service Projects Donation",Table334[[#This Row],[Account Deposit Amount]]-Table334[[#This Row],[Account Withdrawl Amount]], )</f>
        <v>0</v>
      </c>
      <c r="U266" s="243">
        <f>IF(Table334[[#This Row],[Category]]="Cookie Debt",Table334[[#This Row],[Account Deposit Amount]]-Table334[[#This Row],[Account Withdrawl Amount]], )</f>
        <v>0</v>
      </c>
      <c r="V266" s="243">
        <f>IF(Table334[[#This Row],[Category]]="Other Expense",Table334[[#This Row],[Account Deposit Amount]]-Table334[[#This Row],[Account Withdrawl Amount]], )</f>
        <v>0</v>
      </c>
    </row>
    <row r="267" spans="1:22">
      <c r="A267" s="225"/>
      <c r="B267" s="241"/>
      <c r="C267" s="225"/>
      <c r="D267" s="225"/>
      <c r="E267" s="242"/>
      <c r="F267" s="242"/>
      <c r="G267" s="243">
        <f t="shared" si="7"/>
        <v>2518.9699999999939</v>
      </c>
      <c r="H267" s="225"/>
      <c r="I267" s="243">
        <f>IF(Table334[[#This Row],[Category]]="Fall Product",Table334[[#This Row],[Account Deposit Amount]]-Table334[[#This Row],[Account Withdrawl Amount]], )</f>
        <v>0</v>
      </c>
      <c r="J267" s="243">
        <f>IF(Table334[[#This Row],[Category]]="Cookies",Table334[[#This Row],[Account Deposit Amount]]-Table334[[#This Row],[Account Withdrawl Amount]], )</f>
        <v>0</v>
      </c>
      <c r="K267" s="243">
        <f>IF(Table334[[#This Row],[Category]]="Additional Money Earning Activities",Table334[[#This Row],[Account Deposit Amount]]-Table334[[#This Row],[Account Withdrawl Amount]], )</f>
        <v>0</v>
      </c>
      <c r="L267" s="243">
        <f>IF(Table334[[#This Row],[Category]]="Sponsorships",Table334[[#This Row],[Account Deposit Amount]]-Table334[[#This Row],[Account Withdrawl Amount]], )</f>
        <v>0</v>
      </c>
      <c r="M267" s="243">
        <f>IF(Table334[[#This Row],[Category]]="Troop Dues",Table334[[#This Row],[Account Deposit Amount]]-Table334[[#This Row],[Account Withdrawl Amount]], )</f>
        <v>0</v>
      </c>
      <c r="N267" s="243">
        <f>IF(Table334[[#This Row],[Category]]="Other Income",Table334[[#This Row],[Account Deposit Amount]]-Table334[[#This Row],[Account Withdrawl Amount]], )</f>
        <v>0</v>
      </c>
      <c r="O267" s="243">
        <f>IF(Table334[[#This Row],[Category]]="Registration",Table334[[#This Row],[Account Deposit Amount]]-Table334[[#This Row],[Account Withdrawl Amount]], )</f>
        <v>0</v>
      </c>
      <c r="P267" s="243">
        <f>IF(Table334[[#This Row],[Category]]="Insignia",Table334[[#This Row],[Account Deposit Amount]]-Table334[[#This Row],[Account Withdrawl Amount]], )</f>
        <v>0</v>
      </c>
      <c r="Q267" s="243">
        <f>IF(Table334[[#This Row],[Category]]="Activities/Program",Table334[[#This Row],[Account Deposit Amount]]-Table334[[#This Row],[Account Withdrawl Amount]], )</f>
        <v>0</v>
      </c>
      <c r="R267" s="243">
        <f>IF(Table334[[#This Row],[Category]]="Travel",Table334[[#This Row],[Account Deposit Amount]]-Table334[[#This Row],[Account Withdrawl Amount]], )</f>
        <v>0</v>
      </c>
      <c r="S267" s="243">
        <f>IF(Table334[[#This Row],[Category]]="Parties Food &amp; Beverages",Table334[[#This Row],[Account Deposit Amount]]-Table334[[#This Row],[Account Withdrawl Amount]], )</f>
        <v>0</v>
      </c>
      <c r="T267" s="243">
        <f>IF(Table334[[#This Row],[Category]]="Service Projects Donation",Table334[[#This Row],[Account Deposit Amount]]-Table334[[#This Row],[Account Withdrawl Amount]], )</f>
        <v>0</v>
      </c>
      <c r="U267" s="243">
        <f>IF(Table334[[#This Row],[Category]]="Cookie Debt",Table334[[#This Row],[Account Deposit Amount]]-Table334[[#This Row],[Account Withdrawl Amount]], )</f>
        <v>0</v>
      </c>
      <c r="V267" s="243">
        <f>IF(Table334[[#This Row],[Category]]="Other Expense",Table334[[#This Row],[Account Deposit Amount]]-Table334[[#This Row],[Account Withdrawl Amount]], )</f>
        <v>0</v>
      </c>
    </row>
    <row r="268" spans="1:22">
      <c r="A268" s="225"/>
      <c r="B268" s="241"/>
      <c r="C268" s="225"/>
      <c r="D268" s="225"/>
      <c r="E268" s="242"/>
      <c r="F268" s="242"/>
      <c r="G268" s="243">
        <f t="shared" si="7"/>
        <v>2518.9699999999939</v>
      </c>
      <c r="H268" s="225"/>
      <c r="I268" s="243">
        <f>IF(Table334[[#This Row],[Category]]="Fall Product",Table334[[#This Row],[Account Deposit Amount]]-Table334[[#This Row],[Account Withdrawl Amount]], )</f>
        <v>0</v>
      </c>
      <c r="J268" s="243">
        <f>IF(Table334[[#This Row],[Category]]="Cookies",Table334[[#This Row],[Account Deposit Amount]]-Table334[[#This Row],[Account Withdrawl Amount]], )</f>
        <v>0</v>
      </c>
      <c r="K268" s="243">
        <f>IF(Table334[[#This Row],[Category]]="Additional Money Earning Activities",Table334[[#This Row],[Account Deposit Amount]]-Table334[[#This Row],[Account Withdrawl Amount]], )</f>
        <v>0</v>
      </c>
      <c r="L268" s="243">
        <f>IF(Table334[[#This Row],[Category]]="Sponsorships",Table334[[#This Row],[Account Deposit Amount]]-Table334[[#This Row],[Account Withdrawl Amount]], )</f>
        <v>0</v>
      </c>
      <c r="M268" s="243">
        <f>IF(Table334[[#This Row],[Category]]="Troop Dues",Table334[[#This Row],[Account Deposit Amount]]-Table334[[#This Row],[Account Withdrawl Amount]], )</f>
        <v>0</v>
      </c>
      <c r="N268" s="243">
        <f>IF(Table334[[#This Row],[Category]]="Other Income",Table334[[#This Row],[Account Deposit Amount]]-Table334[[#This Row],[Account Withdrawl Amount]], )</f>
        <v>0</v>
      </c>
      <c r="O268" s="243">
        <f>IF(Table334[[#This Row],[Category]]="Registration",Table334[[#This Row],[Account Deposit Amount]]-Table334[[#This Row],[Account Withdrawl Amount]], )</f>
        <v>0</v>
      </c>
      <c r="P268" s="243">
        <f>IF(Table334[[#This Row],[Category]]="Insignia",Table334[[#This Row],[Account Deposit Amount]]-Table334[[#This Row],[Account Withdrawl Amount]], )</f>
        <v>0</v>
      </c>
      <c r="Q268" s="243">
        <f>IF(Table334[[#This Row],[Category]]="Activities/Program",Table334[[#This Row],[Account Deposit Amount]]-Table334[[#This Row],[Account Withdrawl Amount]], )</f>
        <v>0</v>
      </c>
      <c r="R268" s="243">
        <f>IF(Table334[[#This Row],[Category]]="Travel",Table334[[#This Row],[Account Deposit Amount]]-Table334[[#This Row],[Account Withdrawl Amount]], )</f>
        <v>0</v>
      </c>
      <c r="S268" s="243">
        <f>IF(Table334[[#This Row],[Category]]="Parties Food &amp; Beverages",Table334[[#This Row],[Account Deposit Amount]]-Table334[[#This Row],[Account Withdrawl Amount]], )</f>
        <v>0</v>
      </c>
      <c r="T268" s="243">
        <f>IF(Table334[[#This Row],[Category]]="Service Projects Donation",Table334[[#This Row],[Account Deposit Amount]]-Table334[[#This Row],[Account Withdrawl Amount]], )</f>
        <v>0</v>
      </c>
      <c r="U268" s="243">
        <f>IF(Table334[[#This Row],[Category]]="Cookie Debt",Table334[[#This Row],[Account Deposit Amount]]-Table334[[#This Row],[Account Withdrawl Amount]], )</f>
        <v>0</v>
      </c>
      <c r="V268" s="243">
        <f>IF(Table334[[#This Row],[Category]]="Other Expense",Table334[[#This Row],[Account Deposit Amount]]-Table334[[#This Row],[Account Withdrawl Amount]], )</f>
        <v>0</v>
      </c>
    </row>
    <row r="269" spans="1:22">
      <c r="A269" s="225"/>
      <c r="B269" s="241"/>
      <c r="C269" s="225"/>
      <c r="D269" s="225"/>
      <c r="E269" s="242"/>
      <c r="F269" s="242"/>
      <c r="G269" s="243">
        <f t="shared" si="7"/>
        <v>2518.9699999999939</v>
      </c>
      <c r="H269" s="225"/>
      <c r="I269" s="243">
        <f>IF(Table334[[#This Row],[Category]]="Fall Product",Table334[[#This Row],[Account Deposit Amount]]-Table334[[#This Row],[Account Withdrawl Amount]], )</f>
        <v>0</v>
      </c>
      <c r="J269" s="243">
        <f>IF(Table334[[#This Row],[Category]]="Cookies",Table334[[#This Row],[Account Deposit Amount]]-Table334[[#This Row],[Account Withdrawl Amount]], )</f>
        <v>0</v>
      </c>
      <c r="K269" s="243">
        <f>IF(Table334[[#This Row],[Category]]="Additional Money Earning Activities",Table334[[#This Row],[Account Deposit Amount]]-Table334[[#This Row],[Account Withdrawl Amount]], )</f>
        <v>0</v>
      </c>
      <c r="L269" s="243">
        <f>IF(Table334[[#This Row],[Category]]="Sponsorships",Table334[[#This Row],[Account Deposit Amount]]-Table334[[#This Row],[Account Withdrawl Amount]], )</f>
        <v>0</v>
      </c>
      <c r="M269" s="243">
        <f>IF(Table334[[#This Row],[Category]]="Troop Dues",Table334[[#This Row],[Account Deposit Amount]]-Table334[[#This Row],[Account Withdrawl Amount]], )</f>
        <v>0</v>
      </c>
      <c r="N269" s="243">
        <f>IF(Table334[[#This Row],[Category]]="Other Income",Table334[[#This Row],[Account Deposit Amount]]-Table334[[#This Row],[Account Withdrawl Amount]], )</f>
        <v>0</v>
      </c>
      <c r="O269" s="243">
        <f>IF(Table334[[#This Row],[Category]]="Registration",Table334[[#This Row],[Account Deposit Amount]]-Table334[[#This Row],[Account Withdrawl Amount]], )</f>
        <v>0</v>
      </c>
      <c r="P269" s="243">
        <f>IF(Table334[[#This Row],[Category]]="Insignia",Table334[[#This Row],[Account Deposit Amount]]-Table334[[#This Row],[Account Withdrawl Amount]], )</f>
        <v>0</v>
      </c>
      <c r="Q269" s="243">
        <f>IF(Table334[[#This Row],[Category]]="Activities/Program",Table334[[#This Row],[Account Deposit Amount]]-Table334[[#This Row],[Account Withdrawl Amount]], )</f>
        <v>0</v>
      </c>
      <c r="R269" s="243">
        <f>IF(Table334[[#This Row],[Category]]="Travel",Table334[[#This Row],[Account Deposit Amount]]-Table334[[#This Row],[Account Withdrawl Amount]], )</f>
        <v>0</v>
      </c>
      <c r="S269" s="243">
        <f>IF(Table334[[#This Row],[Category]]="Parties Food &amp; Beverages",Table334[[#This Row],[Account Deposit Amount]]-Table334[[#This Row],[Account Withdrawl Amount]], )</f>
        <v>0</v>
      </c>
      <c r="T269" s="243">
        <f>IF(Table334[[#This Row],[Category]]="Service Projects Donation",Table334[[#This Row],[Account Deposit Amount]]-Table334[[#This Row],[Account Withdrawl Amount]], )</f>
        <v>0</v>
      </c>
      <c r="U269" s="243">
        <f>IF(Table334[[#This Row],[Category]]="Cookie Debt",Table334[[#This Row],[Account Deposit Amount]]-Table334[[#This Row],[Account Withdrawl Amount]], )</f>
        <v>0</v>
      </c>
      <c r="V269" s="243">
        <f>IF(Table334[[#This Row],[Category]]="Other Expense",Table334[[#This Row],[Account Deposit Amount]]-Table334[[#This Row],[Account Withdrawl Amount]], )</f>
        <v>0</v>
      </c>
    </row>
    <row r="270" spans="1:22">
      <c r="A270" s="225"/>
      <c r="B270" s="241"/>
      <c r="C270" s="225"/>
      <c r="D270" s="225"/>
      <c r="E270" s="242"/>
      <c r="F270" s="242"/>
      <c r="G270" s="243">
        <f t="shared" si="7"/>
        <v>2518.9699999999939</v>
      </c>
      <c r="H270" s="225"/>
      <c r="I270" s="243">
        <f>IF(Table334[[#This Row],[Category]]="Fall Product",Table334[[#This Row],[Account Deposit Amount]]-Table334[[#This Row],[Account Withdrawl Amount]], )</f>
        <v>0</v>
      </c>
      <c r="J270" s="243">
        <f>IF(Table334[[#This Row],[Category]]="Cookies",Table334[[#This Row],[Account Deposit Amount]]-Table334[[#This Row],[Account Withdrawl Amount]], )</f>
        <v>0</v>
      </c>
      <c r="K270" s="243">
        <f>IF(Table334[[#This Row],[Category]]="Additional Money Earning Activities",Table334[[#This Row],[Account Deposit Amount]]-Table334[[#This Row],[Account Withdrawl Amount]], )</f>
        <v>0</v>
      </c>
      <c r="L270" s="243">
        <f>IF(Table334[[#This Row],[Category]]="Sponsorships",Table334[[#This Row],[Account Deposit Amount]]-Table334[[#This Row],[Account Withdrawl Amount]], )</f>
        <v>0</v>
      </c>
      <c r="M270" s="243">
        <f>IF(Table334[[#This Row],[Category]]="Troop Dues",Table334[[#This Row],[Account Deposit Amount]]-Table334[[#This Row],[Account Withdrawl Amount]], )</f>
        <v>0</v>
      </c>
      <c r="N270" s="243">
        <f>IF(Table334[[#This Row],[Category]]="Other Income",Table334[[#This Row],[Account Deposit Amount]]-Table334[[#This Row],[Account Withdrawl Amount]], )</f>
        <v>0</v>
      </c>
      <c r="O270" s="243">
        <f>IF(Table334[[#This Row],[Category]]="Registration",Table334[[#This Row],[Account Deposit Amount]]-Table334[[#This Row],[Account Withdrawl Amount]], )</f>
        <v>0</v>
      </c>
      <c r="P270" s="243">
        <f>IF(Table334[[#This Row],[Category]]="Insignia",Table334[[#This Row],[Account Deposit Amount]]-Table334[[#This Row],[Account Withdrawl Amount]], )</f>
        <v>0</v>
      </c>
      <c r="Q270" s="243">
        <f>IF(Table334[[#This Row],[Category]]="Activities/Program",Table334[[#This Row],[Account Deposit Amount]]-Table334[[#This Row],[Account Withdrawl Amount]], )</f>
        <v>0</v>
      </c>
      <c r="R270" s="243">
        <f>IF(Table334[[#This Row],[Category]]="Travel",Table334[[#This Row],[Account Deposit Amount]]-Table334[[#This Row],[Account Withdrawl Amount]], )</f>
        <v>0</v>
      </c>
      <c r="S270" s="243">
        <f>IF(Table334[[#This Row],[Category]]="Parties Food &amp; Beverages",Table334[[#This Row],[Account Deposit Amount]]-Table334[[#This Row],[Account Withdrawl Amount]], )</f>
        <v>0</v>
      </c>
      <c r="T270" s="243">
        <f>IF(Table334[[#This Row],[Category]]="Service Projects Donation",Table334[[#This Row],[Account Deposit Amount]]-Table334[[#This Row],[Account Withdrawl Amount]], )</f>
        <v>0</v>
      </c>
      <c r="U270" s="243">
        <f>IF(Table334[[#This Row],[Category]]="Cookie Debt",Table334[[#This Row],[Account Deposit Amount]]-Table334[[#This Row],[Account Withdrawl Amount]], )</f>
        <v>0</v>
      </c>
      <c r="V270" s="243">
        <f>IF(Table334[[#This Row],[Category]]="Other Expense",Table334[[#This Row],[Account Deposit Amount]]-Table334[[#This Row],[Account Withdrawl Amount]], )</f>
        <v>0</v>
      </c>
    </row>
    <row r="271" spans="1:22">
      <c r="A271" s="225"/>
      <c r="B271" s="241"/>
      <c r="C271" s="225"/>
      <c r="D271" s="225"/>
      <c r="E271" s="242"/>
      <c r="F271" s="242"/>
      <c r="G271" s="243">
        <f t="shared" si="7"/>
        <v>2518.9699999999939</v>
      </c>
      <c r="H271" s="225"/>
      <c r="I271" s="243">
        <f>IF(Table334[[#This Row],[Category]]="Fall Product",Table334[[#This Row],[Account Deposit Amount]]-Table334[[#This Row],[Account Withdrawl Amount]], )</f>
        <v>0</v>
      </c>
      <c r="J271" s="243">
        <f>IF(Table334[[#This Row],[Category]]="Cookies",Table334[[#This Row],[Account Deposit Amount]]-Table334[[#This Row],[Account Withdrawl Amount]], )</f>
        <v>0</v>
      </c>
      <c r="K271" s="243">
        <f>IF(Table334[[#This Row],[Category]]="Additional Money Earning Activities",Table334[[#This Row],[Account Deposit Amount]]-Table334[[#This Row],[Account Withdrawl Amount]], )</f>
        <v>0</v>
      </c>
      <c r="L271" s="243">
        <f>IF(Table334[[#This Row],[Category]]="Sponsorships",Table334[[#This Row],[Account Deposit Amount]]-Table334[[#This Row],[Account Withdrawl Amount]], )</f>
        <v>0</v>
      </c>
      <c r="M271" s="243">
        <f>IF(Table334[[#This Row],[Category]]="Troop Dues",Table334[[#This Row],[Account Deposit Amount]]-Table334[[#This Row],[Account Withdrawl Amount]], )</f>
        <v>0</v>
      </c>
      <c r="N271" s="243">
        <f>IF(Table334[[#This Row],[Category]]="Other Income",Table334[[#This Row],[Account Deposit Amount]]-Table334[[#This Row],[Account Withdrawl Amount]], )</f>
        <v>0</v>
      </c>
      <c r="O271" s="243">
        <f>IF(Table334[[#This Row],[Category]]="Registration",Table334[[#This Row],[Account Deposit Amount]]-Table334[[#This Row],[Account Withdrawl Amount]], )</f>
        <v>0</v>
      </c>
      <c r="P271" s="243">
        <f>IF(Table334[[#This Row],[Category]]="Insignia",Table334[[#This Row],[Account Deposit Amount]]-Table334[[#This Row],[Account Withdrawl Amount]], )</f>
        <v>0</v>
      </c>
      <c r="Q271" s="243">
        <f>IF(Table334[[#This Row],[Category]]="Activities/Program",Table334[[#This Row],[Account Deposit Amount]]-Table334[[#This Row],[Account Withdrawl Amount]], )</f>
        <v>0</v>
      </c>
      <c r="R271" s="243">
        <f>IF(Table334[[#This Row],[Category]]="Travel",Table334[[#This Row],[Account Deposit Amount]]-Table334[[#This Row],[Account Withdrawl Amount]], )</f>
        <v>0</v>
      </c>
      <c r="S271" s="243">
        <f>IF(Table334[[#This Row],[Category]]="Parties Food &amp; Beverages",Table334[[#This Row],[Account Deposit Amount]]-Table334[[#This Row],[Account Withdrawl Amount]], )</f>
        <v>0</v>
      </c>
      <c r="T271" s="243">
        <f>IF(Table334[[#This Row],[Category]]="Service Projects Donation",Table334[[#This Row],[Account Deposit Amount]]-Table334[[#This Row],[Account Withdrawl Amount]], )</f>
        <v>0</v>
      </c>
      <c r="U271" s="243">
        <f>IF(Table334[[#This Row],[Category]]="Cookie Debt",Table334[[#This Row],[Account Deposit Amount]]-Table334[[#This Row],[Account Withdrawl Amount]], )</f>
        <v>0</v>
      </c>
      <c r="V271" s="243">
        <f>IF(Table334[[#This Row],[Category]]="Other Expense",Table334[[#This Row],[Account Deposit Amount]]-Table334[[#This Row],[Account Withdrawl Amount]], )</f>
        <v>0</v>
      </c>
    </row>
    <row r="272" spans="1:22">
      <c r="A272" s="225"/>
      <c r="B272" s="241"/>
      <c r="C272" s="225"/>
      <c r="D272" s="225"/>
      <c r="E272" s="242"/>
      <c r="F272" s="242"/>
      <c r="G272" s="243">
        <f t="shared" si="7"/>
        <v>2518.9699999999939</v>
      </c>
      <c r="H272" s="225"/>
      <c r="I272" s="243">
        <f>IF(Table334[[#This Row],[Category]]="Fall Product",Table334[[#This Row],[Account Deposit Amount]]-Table334[[#This Row],[Account Withdrawl Amount]], )</f>
        <v>0</v>
      </c>
      <c r="J272" s="243">
        <f>IF(Table334[[#This Row],[Category]]="Cookies",Table334[[#This Row],[Account Deposit Amount]]-Table334[[#This Row],[Account Withdrawl Amount]], )</f>
        <v>0</v>
      </c>
      <c r="K272" s="243">
        <f>IF(Table334[[#This Row],[Category]]="Additional Money Earning Activities",Table334[[#This Row],[Account Deposit Amount]]-Table334[[#This Row],[Account Withdrawl Amount]], )</f>
        <v>0</v>
      </c>
      <c r="L272" s="243">
        <f>IF(Table334[[#This Row],[Category]]="Sponsorships",Table334[[#This Row],[Account Deposit Amount]]-Table334[[#This Row],[Account Withdrawl Amount]], )</f>
        <v>0</v>
      </c>
      <c r="M272" s="243">
        <f>IF(Table334[[#This Row],[Category]]="Troop Dues",Table334[[#This Row],[Account Deposit Amount]]-Table334[[#This Row],[Account Withdrawl Amount]], )</f>
        <v>0</v>
      </c>
      <c r="N272" s="243">
        <f>IF(Table334[[#This Row],[Category]]="Other Income",Table334[[#This Row],[Account Deposit Amount]]-Table334[[#This Row],[Account Withdrawl Amount]], )</f>
        <v>0</v>
      </c>
      <c r="O272" s="243">
        <f>IF(Table334[[#This Row],[Category]]="Registration",Table334[[#This Row],[Account Deposit Amount]]-Table334[[#This Row],[Account Withdrawl Amount]], )</f>
        <v>0</v>
      </c>
      <c r="P272" s="243">
        <f>IF(Table334[[#This Row],[Category]]="Insignia",Table334[[#This Row],[Account Deposit Amount]]-Table334[[#This Row],[Account Withdrawl Amount]], )</f>
        <v>0</v>
      </c>
      <c r="Q272" s="243">
        <f>IF(Table334[[#This Row],[Category]]="Activities/Program",Table334[[#This Row],[Account Deposit Amount]]-Table334[[#This Row],[Account Withdrawl Amount]], )</f>
        <v>0</v>
      </c>
      <c r="R272" s="243">
        <f>IF(Table334[[#This Row],[Category]]="Travel",Table334[[#This Row],[Account Deposit Amount]]-Table334[[#This Row],[Account Withdrawl Amount]], )</f>
        <v>0</v>
      </c>
      <c r="S272" s="243">
        <f>IF(Table334[[#This Row],[Category]]="Parties Food &amp; Beverages",Table334[[#This Row],[Account Deposit Amount]]-Table334[[#This Row],[Account Withdrawl Amount]], )</f>
        <v>0</v>
      </c>
      <c r="T272" s="243">
        <f>IF(Table334[[#This Row],[Category]]="Service Projects Donation",Table334[[#This Row],[Account Deposit Amount]]-Table334[[#This Row],[Account Withdrawl Amount]], )</f>
        <v>0</v>
      </c>
      <c r="U272" s="243">
        <f>IF(Table334[[#This Row],[Category]]="Cookie Debt",Table334[[#This Row],[Account Deposit Amount]]-Table334[[#This Row],[Account Withdrawl Amount]], )</f>
        <v>0</v>
      </c>
      <c r="V272" s="243">
        <f>IF(Table334[[#This Row],[Category]]="Other Expense",Table334[[#This Row],[Account Deposit Amount]]-Table334[[#This Row],[Account Withdrawl Amount]], )</f>
        <v>0</v>
      </c>
    </row>
    <row r="273" spans="1:22">
      <c r="A273" s="225"/>
      <c r="B273" s="241"/>
      <c r="C273" s="225"/>
      <c r="D273" s="225"/>
      <c r="E273" s="242"/>
      <c r="F273" s="242"/>
      <c r="G273" s="243">
        <f t="shared" si="7"/>
        <v>2518.9699999999939</v>
      </c>
      <c r="H273" s="225"/>
      <c r="I273" s="243">
        <f>IF(Table334[[#This Row],[Category]]="Fall Product",Table334[[#This Row],[Account Deposit Amount]]-Table334[[#This Row],[Account Withdrawl Amount]], )</f>
        <v>0</v>
      </c>
      <c r="J273" s="243">
        <f>IF(Table334[[#This Row],[Category]]="Cookies",Table334[[#This Row],[Account Deposit Amount]]-Table334[[#This Row],[Account Withdrawl Amount]], )</f>
        <v>0</v>
      </c>
      <c r="K273" s="243">
        <f>IF(Table334[[#This Row],[Category]]="Additional Money Earning Activities",Table334[[#This Row],[Account Deposit Amount]]-Table334[[#This Row],[Account Withdrawl Amount]], )</f>
        <v>0</v>
      </c>
      <c r="L273" s="243">
        <f>IF(Table334[[#This Row],[Category]]="Sponsorships",Table334[[#This Row],[Account Deposit Amount]]-Table334[[#This Row],[Account Withdrawl Amount]], )</f>
        <v>0</v>
      </c>
      <c r="M273" s="243">
        <f>IF(Table334[[#This Row],[Category]]="Troop Dues",Table334[[#This Row],[Account Deposit Amount]]-Table334[[#This Row],[Account Withdrawl Amount]], )</f>
        <v>0</v>
      </c>
      <c r="N273" s="243">
        <f>IF(Table334[[#This Row],[Category]]="Other Income",Table334[[#This Row],[Account Deposit Amount]]-Table334[[#This Row],[Account Withdrawl Amount]], )</f>
        <v>0</v>
      </c>
      <c r="O273" s="243">
        <f>IF(Table334[[#This Row],[Category]]="Registration",Table334[[#This Row],[Account Deposit Amount]]-Table334[[#This Row],[Account Withdrawl Amount]], )</f>
        <v>0</v>
      </c>
      <c r="P273" s="243">
        <f>IF(Table334[[#This Row],[Category]]="Insignia",Table334[[#This Row],[Account Deposit Amount]]-Table334[[#This Row],[Account Withdrawl Amount]], )</f>
        <v>0</v>
      </c>
      <c r="Q273" s="243">
        <f>IF(Table334[[#This Row],[Category]]="Activities/Program",Table334[[#This Row],[Account Deposit Amount]]-Table334[[#This Row],[Account Withdrawl Amount]], )</f>
        <v>0</v>
      </c>
      <c r="R273" s="243">
        <f>IF(Table334[[#This Row],[Category]]="Travel",Table334[[#This Row],[Account Deposit Amount]]-Table334[[#This Row],[Account Withdrawl Amount]], )</f>
        <v>0</v>
      </c>
      <c r="S273" s="243">
        <f>IF(Table334[[#This Row],[Category]]="Parties Food &amp; Beverages",Table334[[#This Row],[Account Deposit Amount]]-Table334[[#This Row],[Account Withdrawl Amount]], )</f>
        <v>0</v>
      </c>
      <c r="T273" s="243">
        <f>IF(Table334[[#This Row],[Category]]="Service Projects Donation",Table334[[#This Row],[Account Deposit Amount]]-Table334[[#This Row],[Account Withdrawl Amount]], )</f>
        <v>0</v>
      </c>
      <c r="U273" s="243">
        <f>IF(Table334[[#This Row],[Category]]="Cookie Debt",Table334[[#This Row],[Account Deposit Amount]]-Table334[[#This Row],[Account Withdrawl Amount]], )</f>
        <v>0</v>
      </c>
      <c r="V273" s="243">
        <f>IF(Table334[[#This Row],[Category]]="Other Expense",Table334[[#This Row],[Account Deposit Amount]]-Table334[[#This Row],[Account Withdrawl Amount]], )</f>
        <v>0</v>
      </c>
    </row>
    <row r="274" spans="1:22">
      <c r="A274" s="225"/>
      <c r="B274" s="241"/>
      <c r="C274" s="225"/>
      <c r="D274" s="225"/>
      <c r="E274" s="242"/>
      <c r="F274" s="242"/>
      <c r="G274" s="243">
        <f t="shared" si="7"/>
        <v>2518.9699999999939</v>
      </c>
      <c r="H274" s="225"/>
      <c r="I274" s="243">
        <f>IF(Table334[[#This Row],[Category]]="Fall Product",Table334[[#This Row],[Account Deposit Amount]]-Table334[[#This Row],[Account Withdrawl Amount]], )</f>
        <v>0</v>
      </c>
      <c r="J274" s="243">
        <f>IF(Table334[[#This Row],[Category]]="Cookies",Table334[[#This Row],[Account Deposit Amount]]-Table334[[#This Row],[Account Withdrawl Amount]], )</f>
        <v>0</v>
      </c>
      <c r="K274" s="243">
        <f>IF(Table334[[#This Row],[Category]]="Additional Money Earning Activities",Table334[[#This Row],[Account Deposit Amount]]-Table334[[#This Row],[Account Withdrawl Amount]], )</f>
        <v>0</v>
      </c>
      <c r="L274" s="243">
        <f>IF(Table334[[#This Row],[Category]]="Sponsorships",Table334[[#This Row],[Account Deposit Amount]]-Table334[[#This Row],[Account Withdrawl Amount]], )</f>
        <v>0</v>
      </c>
      <c r="M274" s="243">
        <f>IF(Table334[[#This Row],[Category]]="Troop Dues",Table334[[#This Row],[Account Deposit Amount]]-Table334[[#This Row],[Account Withdrawl Amount]], )</f>
        <v>0</v>
      </c>
      <c r="N274" s="243">
        <f>IF(Table334[[#This Row],[Category]]="Other Income",Table334[[#This Row],[Account Deposit Amount]]-Table334[[#This Row],[Account Withdrawl Amount]], )</f>
        <v>0</v>
      </c>
      <c r="O274" s="243">
        <f>IF(Table334[[#This Row],[Category]]="Registration",Table334[[#This Row],[Account Deposit Amount]]-Table334[[#This Row],[Account Withdrawl Amount]], )</f>
        <v>0</v>
      </c>
      <c r="P274" s="243">
        <f>IF(Table334[[#This Row],[Category]]="Insignia",Table334[[#This Row],[Account Deposit Amount]]-Table334[[#This Row],[Account Withdrawl Amount]], )</f>
        <v>0</v>
      </c>
      <c r="Q274" s="243">
        <f>IF(Table334[[#This Row],[Category]]="Activities/Program",Table334[[#This Row],[Account Deposit Amount]]-Table334[[#This Row],[Account Withdrawl Amount]], )</f>
        <v>0</v>
      </c>
      <c r="R274" s="243">
        <f>IF(Table334[[#This Row],[Category]]="Travel",Table334[[#This Row],[Account Deposit Amount]]-Table334[[#This Row],[Account Withdrawl Amount]], )</f>
        <v>0</v>
      </c>
      <c r="S274" s="243">
        <f>IF(Table334[[#This Row],[Category]]="Parties Food &amp; Beverages",Table334[[#This Row],[Account Deposit Amount]]-Table334[[#This Row],[Account Withdrawl Amount]], )</f>
        <v>0</v>
      </c>
      <c r="T274" s="243">
        <f>IF(Table334[[#This Row],[Category]]="Service Projects Donation",Table334[[#This Row],[Account Deposit Amount]]-Table334[[#This Row],[Account Withdrawl Amount]], )</f>
        <v>0</v>
      </c>
      <c r="U274" s="243">
        <f>IF(Table334[[#This Row],[Category]]="Cookie Debt",Table334[[#This Row],[Account Deposit Amount]]-Table334[[#This Row],[Account Withdrawl Amount]], )</f>
        <v>0</v>
      </c>
      <c r="V274" s="243">
        <f>IF(Table334[[#This Row],[Category]]="Other Expense",Table334[[#This Row],[Account Deposit Amount]]-Table334[[#This Row],[Account Withdrawl Amount]], )</f>
        <v>0</v>
      </c>
    </row>
    <row r="275" spans="1:22">
      <c r="A275" s="225"/>
      <c r="B275" s="241"/>
      <c r="C275" s="225"/>
      <c r="D275" s="225"/>
      <c r="E275" s="242"/>
      <c r="F275" s="242"/>
      <c r="G275" s="243">
        <f t="shared" si="7"/>
        <v>2518.9699999999939</v>
      </c>
      <c r="H275" s="225"/>
      <c r="I275" s="243">
        <f>IF(Table334[[#This Row],[Category]]="Fall Product",Table334[[#This Row],[Account Deposit Amount]]-Table334[[#This Row],[Account Withdrawl Amount]], )</f>
        <v>0</v>
      </c>
      <c r="J275" s="243">
        <f>IF(Table334[[#This Row],[Category]]="Cookies",Table334[[#This Row],[Account Deposit Amount]]-Table334[[#This Row],[Account Withdrawl Amount]], )</f>
        <v>0</v>
      </c>
      <c r="K275" s="243">
        <f>IF(Table334[[#This Row],[Category]]="Additional Money Earning Activities",Table334[[#This Row],[Account Deposit Amount]]-Table334[[#This Row],[Account Withdrawl Amount]], )</f>
        <v>0</v>
      </c>
      <c r="L275" s="243">
        <f>IF(Table334[[#This Row],[Category]]="Sponsorships",Table334[[#This Row],[Account Deposit Amount]]-Table334[[#This Row],[Account Withdrawl Amount]], )</f>
        <v>0</v>
      </c>
      <c r="M275" s="243">
        <f>IF(Table334[[#This Row],[Category]]="Troop Dues",Table334[[#This Row],[Account Deposit Amount]]-Table334[[#This Row],[Account Withdrawl Amount]], )</f>
        <v>0</v>
      </c>
      <c r="N275" s="243">
        <f>IF(Table334[[#This Row],[Category]]="Other Income",Table334[[#This Row],[Account Deposit Amount]]-Table334[[#This Row],[Account Withdrawl Amount]], )</f>
        <v>0</v>
      </c>
      <c r="O275" s="243">
        <f>IF(Table334[[#This Row],[Category]]="Registration",Table334[[#This Row],[Account Deposit Amount]]-Table334[[#This Row],[Account Withdrawl Amount]], )</f>
        <v>0</v>
      </c>
      <c r="P275" s="243">
        <f>IF(Table334[[#This Row],[Category]]="Insignia",Table334[[#This Row],[Account Deposit Amount]]-Table334[[#This Row],[Account Withdrawl Amount]], )</f>
        <v>0</v>
      </c>
      <c r="Q275" s="243">
        <f>IF(Table334[[#This Row],[Category]]="Activities/Program",Table334[[#This Row],[Account Deposit Amount]]-Table334[[#This Row],[Account Withdrawl Amount]], )</f>
        <v>0</v>
      </c>
      <c r="R275" s="243">
        <f>IF(Table334[[#This Row],[Category]]="Travel",Table334[[#This Row],[Account Deposit Amount]]-Table334[[#This Row],[Account Withdrawl Amount]], )</f>
        <v>0</v>
      </c>
      <c r="S275" s="243">
        <f>IF(Table334[[#This Row],[Category]]="Parties Food &amp; Beverages",Table334[[#This Row],[Account Deposit Amount]]-Table334[[#This Row],[Account Withdrawl Amount]], )</f>
        <v>0</v>
      </c>
      <c r="T275" s="243">
        <f>IF(Table334[[#This Row],[Category]]="Service Projects Donation",Table334[[#This Row],[Account Deposit Amount]]-Table334[[#This Row],[Account Withdrawl Amount]], )</f>
        <v>0</v>
      </c>
      <c r="U275" s="243">
        <f>IF(Table334[[#This Row],[Category]]="Cookie Debt",Table334[[#This Row],[Account Deposit Amount]]-Table334[[#This Row],[Account Withdrawl Amount]], )</f>
        <v>0</v>
      </c>
      <c r="V275" s="243">
        <f>IF(Table334[[#This Row],[Category]]="Other Expense",Table334[[#This Row],[Account Deposit Amount]]-Table334[[#This Row],[Account Withdrawl Amount]], )</f>
        <v>0</v>
      </c>
    </row>
    <row r="276" spans="1:22">
      <c r="A276" s="225"/>
      <c r="B276" s="241"/>
      <c r="C276" s="225"/>
      <c r="D276" s="225"/>
      <c r="E276" s="242"/>
      <c r="F276" s="242"/>
      <c r="G276" s="243">
        <f t="shared" si="7"/>
        <v>2518.9699999999939</v>
      </c>
      <c r="H276" s="225"/>
      <c r="I276" s="243">
        <f>IF(Table334[[#This Row],[Category]]="Fall Product",Table334[[#This Row],[Account Deposit Amount]]-Table334[[#This Row],[Account Withdrawl Amount]], )</f>
        <v>0</v>
      </c>
      <c r="J276" s="243">
        <f>IF(Table334[[#This Row],[Category]]="Cookies",Table334[[#This Row],[Account Deposit Amount]]-Table334[[#This Row],[Account Withdrawl Amount]], )</f>
        <v>0</v>
      </c>
      <c r="K276" s="243">
        <f>IF(Table334[[#This Row],[Category]]="Additional Money Earning Activities",Table334[[#This Row],[Account Deposit Amount]]-Table334[[#This Row],[Account Withdrawl Amount]], )</f>
        <v>0</v>
      </c>
      <c r="L276" s="243">
        <f>IF(Table334[[#This Row],[Category]]="Sponsorships",Table334[[#This Row],[Account Deposit Amount]]-Table334[[#This Row],[Account Withdrawl Amount]], )</f>
        <v>0</v>
      </c>
      <c r="M276" s="243">
        <f>IF(Table334[[#This Row],[Category]]="Troop Dues",Table334[[#This Row],[Account Deposit Amount]]-Table334[[#This Row],[Account Withdrawl Amount]], )</f>
        <v>0</v>
      </c>
      <c r="N276" s="243">
        <f>IF(Table334[[#This Row],[Category]]="Other Income",Table334[[#This Row],[Account Deposit Amount]]-Table334[[#This Row],[Account Withdrawl Amount]], )</f>
        <v>0</v>
      </c>
      <c r="O276" s="243">
        <f>IF(Table334[[#This Row],[Category]]="Registration",Table334[[#This Row],[Account Deposit Amount]]-Table334[[#This Row],[Account Withdrawl Amount]], )</f>
        <v>0</v>
      </c>
      <c r="P276" s="243">
        <f>IF(Table334[[#This Row],[Category]]="Insignia",Table334[[#This Row],[Account Deposit Amount]]-Table334[[#This Row],[Account Withdrawl Amount]], )</f>
        <v>0</v>
      </c>
      <c r="Q276" s="243">
        <f>IF(Table334[[#This Row],[Category]]="Activities/Program",Table334[[#This Row],[Account Deposit Amount]]-Table334[[#This Row],[Account Withdrawl Amount]], )</f>
        <v>0</v>
      </c>
      <c r="R276" s="243">
        <f>IF(Table334[[#This Row],[Category]]="Travel",Table334[[#This Row],[Account Deposit Amount]]-Table334[[#This Row],[Account Withdrawl Amount]], )</f>
        <v>0</v>
      </c>
      <c r="S276" s="243">
        <f>IF(Table334[[#This Row],[Category]]="Parties Food &amp; Beverages",Table334[[#This Row],[Account Deposit Amount]]-Table334[[#This Row],[Account Withdrawl Amount]], )</f>
        <v>0</v>
      </c>
      <c r="T276" s="243">
        <f>IF(Table334[[#This Row],[Category]]="Service Projects Donation",Table334[[#This Row],[Account Deposit Amount]]-Table334[[#This Row],[Account Withdrawl Amount]], )</f>
        <v>0</v>
      </c>
      <c r="U276" s="243">
        <f>IF(Table334[[#This Row],[Category]]="Cookie Debt",Table334[[#This Row],[Account Deposit Amount]]-Table334[[#This Row],[Account Withdrawl Amount]], )</f>
        <v>0</v>
      </c>
      <c r="V276" s="243">
        <f>IF(Table334[[#This Row],[Category]]="Other Expense",Table334[[#This Row],[Account Deposit Amount]]-Table334[[#This Row],[Account Withdrawl Amount]], )</f>
        <v>0</v>
      </c>
    </row>
    <row r="277" spans="1:22">
      <c r="A277" s="225"/>
      <c r="B277" s="241"/>
      <c r="C277" s="225"/>
      <c r="D277" s="225"/>
      <c r="E277" s="242"/>
      <c r="F277" s="242"/>
      <c r="G277" s="243">
        <f t="shared" si="7"/>
        <v>2518.9699999999939</v>
      </c>
      <c r="H277" s="225"/>
      <c r="I277" s="243">
        <f>IF(Table334[[#This Row],[Category]]="Fall Product",Table334[[#This Row],[Account Deposit Amount]]-Table334[[#This Row],[Account Withdrawl Amount]], )</f>
        <v>0</v>
      </c>
      <c r="J277" s="243">
        <f>IF(Table334[[#This Row],[Category]]="Cookies",Table334[[#This Row],[Account Deposit Amount]]-Table334[[#This Row],[Account Withdrawl Amount]], )</f>
        <v>0</v>
      </c>
      <c r="K277" s="243">
        <f>IF(Table334[[#This Row],[Category]]="Additional Money Earning Activities",Table334[[#This Row],[Account Deposit Amount]]-Table334[[#This Row],[Account Withdrawl Amount]], )</f>
        <v>0</v>
      </c>
      <c r="L277" s="243">
        <f>IF(Table334[[#This Row],[Category]]="Sponsorships",Table334[[#This Row],[Account Deposit Amount]]-Table334[[#This Row],[Account Withdrawl Amount]], )</f>
        <v>0</v>
      </c>
      <c r="M277" s="243">
        <f>IF(Table334[[#This Row],[Category]]="Troop Dues",Table334[[#This Row],[Account Deposit Amount]]-Table334[[#This Row],[Account Withdrawl Amount]], )</f>
        <v>0</v>
      </c>
      <c r="N277" s="243">
        <f>IF(Table334[[#This Row],[Category]]="Other Income",Table334[[#This Row],[Account Deposit Amount]]-Table334[[#This Row],[Account Withdrawl Amount]], )</f>
        <v>0</v>
      </c>
      <c r="O277" s="243">
        <f>IF(Table334[[#This Row],[Category]]="Registration",Table334[[#This Row],[Account Deposit Amount]]-Table334[[#This Row],[Account Withdrawl Amount]], )</f>
        <v>0</v>
      </c>
      <c r="P277" s="243">
        <f>IF(Table334[[#This Row],[Category]]="Insignia",Table334[[#This Row],[Account Deposit Amount]]-Table334[[#This Row],[Account Withdrawl Amount]], )</f>
        <v>0</v>
      </c>
      <c r="Q277" s="243">
        <f>IF(Table334[[#This Row],[Category]]="Activities/Program",Table334[[#This Row],[Account Deposit Amount]]-Table334[[#This Row],[Account Withdrawl Amount]], )</f>
        <v>0</v>
      </c>
      <c r="R277" s="243">
        <f>IF(Table334[[#This Row],[Category]]="Travel",Table334[[#This Row],[Account Deposit Amount]]-Table334[[#This Row],[Account Withdrawl Amount]], )</f>
        <v>0</v>
      </c>
      <c r="S277" s="243">
        <f>IF(Table334[[#This Row],[Category]]="Parties Food &amp; Beverages",Table334[[#This Row],[Account Deposit Amount]]-Table334[[#This Row],[Account Withdrawl Amount]], )</f>
        <v>0</v>
      </c>
      <c r="T277" s="243">
        <f>IF(Table334[[#This Row],[Category]]="Service Projects Donation",Table334[[#This Row],[Account Deposit Amount]]-Table334[[#This Row],[Account Withdrawl Amount]], )</f>
        <v>0</v>
      </c>
      <c r="U277" s="243">
        <f>IF(Table334[[#This Row],[Category]]="Cookie Debt",Table334[[#This Row],[Account Deposit Amount]]-Table334[[#This Row],[Account Withdrawl Amount]], )</f>
        <v>0</v>
      </c>
      <c r="V277" s="243">
        <f>IF(Table334[[#This Row],[Category]]="Other Expense",Table334[[#This Row],[Account Deposit Amount]]-Table334[[#This Row],[Account Withdrawl Amount]], )</f>
        <v>0</v>
      </c>
    </row>
    <row r="278" spans="1:22">
      <c r="A278" s="225"/>
      <c r="B278" s="241"/>
      <c r="C278" s="225"/>
      <c r="D278" s="225"/>
      <c r="E278" s="242"/>
      <c r="F278" s="242"/>
      <c r="G278" s="243">
        <f t="shared" si="7"/>
        <v>2518.9699999999939</v>
      </c>
      <c r="H278" s="225"/>
      <c r="I278" s="243">
        <f>IF(Table334[[#This Row],[Category]]="Fall Product",Table334[[#This Row],[Account Deposit Amount]]-Table334[[#This Row],[Account Withdrawl Amount]], )</f>
        <v>0</v>
      </c>
      <c r="J278" s="243">
        <f>IF(Table334[[#This Row],[Category]]="Cookies",Table334[[#This Row],[Account Deposit Amount]]-Table334[[#This Row],[Account Withdrawl Amount]], )</f>
        <v>0</v>
      </c>
      <c r="K278" s="243">
        <f>IF(Table334[[#This Row],[Category]]="Additional Money Earning Activities",Table334[[#This Row],[Account Deposit Amount]]-Table334[[#This Row],[Account Withdrawl Amount]], )</f>
        <v>0</v>
      </c>
      <c r="L278" s="243">
        <f>IF(Table334[[#This Row],[Category]]="Sponsorships",Table334[[#This Row],[Account Deposit Amount]]-Table334[[#This Row],[Account Withdrawl Amount]], )</f>
        <v>0</v>
      </c>
      <c r="M278" s="243">
        <f>IF(Table334[[#This Row],[Category]]="Troop Dues",Table334[[#This Row],[Account Deposit Amount]]-Table334[[#This Row],[Account Withdrawl Amount]], )</f>
        <v>0</v>
      </c>
      <c r="N278" s="243">
        <f>IF(Table334[[#This Row],[Category]]="Other Income",Table334[[#This Row],[Account Deposit Amount]]-Table334[[#This Row],[Account Withdrawl Amount]], )</f>
        <v>0</v>
      </c>
      <c r="O278" s="243">
        <f>IF(Table334[[#This Row],[Category]]="Registration",Table334[[#This Row],[Account Deposit Amount]]-Table334[[#This Row],[Account Withdrawl Amount]], )</f>
        <v>0</v>
      </c>
      <c r="P278" s="243">
        <f>IF(Table334[[#This Row],[Category]]="Insignia",Table334[[#This Row],[Account Deposit Amount]]-Table334[[#This Row],[Account Withdrawl Amount]], )</f>
        <v>0</v>
      </c>
      <c r="Q278" s="243">
        <f>IF(Table334[[#This Row],[Category]]="Activities/Program",Table334[[#This Row],[Account Deposit Amount]]-Table334[[#This Row],[Account Withdrawl Amount]], )</f>
        <v>0</v>
      </c>
      <c r="R278" s="243">
        <f>IF(Table334[[#This Row],[Category]]="Travel",Table334[[#This Row],[Account Deposit Amount]]-Table334[[#This Row],[Account Withdrawl Amount]], )</f>
        <v>0</v>
      </c>
      <c r="S278" s="243">
        <f>IF(Table334[[#This Row],[Category]]="Parties Food &amp; Beverages",Table334[[#This Row],[Account Deposit Amount]]-Table334[[#This Row],[Account Withdrawl Amount]], )</f>
        <v>0</v>
      </c>
      <c r="T278" s="243">
        <f>IF(Table334[[#This Row],[Category]]="Service Projects Donation",Table334[[#This Row],[Account Deposit Amount]]-Table334[[#This Row],[Account Withdrawl Amount]], )</f>
        <v>0</v>
      </c>
      <c r="U278" s="243">
        <f>IF(Table334[[#This Row],[Category]]="Cookie Debt",Table334[[#This Row],[Account Deposit Amount]]-Table334[[#This Row],[Account Withdrawl Amount]], )</f>
        <v>0</v>
      </c>
      <c r="V278" s="243">
        <f>IF(Table334[[#This Row],[Category]]="Other Expense",Table334[[#This Row],[Account Deposit Amount]]-Table334[[#This Row],[Account Withdrawl Amount]], )</f>
        <v>0</v>
      </c>
    </row>
    <row r="279" spans="1:22">
      <c r="A279" s="225"/>
      <c r="B279" s="241"/>
      <c r="C279" s="225"/>
      <c r="D279" s="225"/>
      <c r="E279" s="242"/>
      <c r="F279" s="242"/>
      <c r="G279" s="243">
        <f t="shared" si="7"/>
        <v>2518.9699999999939</v>
      </c>
      <c r="H279" s="225"/>
      <c r="I279" s="243">
        <f>IF(Table334[[#This Row],[Category]]="Fall Product",Table334[[#This Row],[Account Deposit Amount]]-Table334[[#This Row],[Account Withdrawl Amount]], )</f>
        <v>0</v>
      </c>
      <c r="J279" s="243">
        <f>IF(Table334[[#This Row],[Category]]="Cookies",Table334[[#This Row],[Account Deposit Amount]]-Table334[[#This Row],[Account Withdrawl Amount]], )</f>
        <v>0</v>
      </c>
      <c r="K279" s="243">
        <f>IF(Table334[[#This Row],[Category]]="Additional Money Earning Activities",Table334[[#This Row],[Account Deposit Amount]]-Table334[[#This Row],[Account Withdrawl Amount]], )</f>
        <v>0</v>
      </c>
      <c r="L279" s="243">
        <f>IF(Table334[[#This Row],[Category]]="Sponsorships",Table334[[#This Row],[Account Deposit Amount]]-Table334[[#This Row],[Account Withdrawl Amount]], )</f>
        <v>0</v>
      </c>
      <c r="M279" s="243">
        <f>IF(Table334[[#This Row],[Category]]="Troop Dues",Table334[[#This Row],[Account Deposit Amount]]-Table334[[#This Row],[Account Withdrawl Amount]], )</f>
        <v>0</v>
      </c>
      <c r="N279" s="243">
        <f>IF(Table334[[#This Row],[Category]]="Other Income",Table334[[#This Row],[Account Deposit Amount]]-Table334[[#This Row],[Account Withdrawl Amount]], )</f>
        <v>0</v>
      </c>
      <c r="O279" s="243">
        <f>IF(Table334[[#This Row],[Category]]="Registration",Table334[[#This Row],[Account Deposit Amount]]-Table334[[#This Row],[Account Withdrawl Amount]], )</f>
        <v>0</v>
      </c>
      <c r="P279" s="243">
        <f>IF(Table334[[#This Row],[Category]]="Insignia",Table334[[#This Row],[Account Deposit Amount]]-Table334[[#This Row],[Account Withdrawl Amount]], )</f>
        <v>0</v>
      </c>
      <c r="Q279" s="243">
        <f>IF(Table334[[#This Row],[Category]]="Activities/Program",Table334[[#This Row],[Account Deposit Amount]]-Table334[[#This Row],[Account Withdrawl Amount]], )</f>
        <v>0</v>
      </c>
      <c r="R279" s="243">
        <f>IF(Table334[[#This Row],[Category]]="Travel",Table334[[#This Row],[Account Deposit Amount]]-Table334[[#This Row],[Account Withdrawl Amount]], )</f>
        <v>0</v>
      </c>
      <c r="S279" s="243">
        <f>IF(Table334[[#This Row],[Category]]="Parties Food &amp; Beverages",Table334[[#This Row],[Account Deposit Amount]]-Table334[[#This Row],[Account Withdrawl Amount]], )</f>
        <v>0</v>
      </c>
      <c r="T279" s="243">
        <f>IF(Table334[[#This Row],[Category]]="Service Projects Donation",Table334[[#This Row],[Account Deposit Amount]]-Table334[[#This Row],[Account Withdrawl Amount]], )</f>
        <v>0</v>
      </c>
      <c r="U279" s="243">
        <f>IF(Table334[[#This Row],[Category]]="Cookie Debt",Table334[[#This Row],[Account Deposit Amount]]-Table334[[#This Row],[Account Withdrawl Amount]], )</f>
        <v>0</v>
      </c>
      <c r="V279" s="243">
        <f>IF(Table334[[#This Row],[Category]]="Other Expense",Table334[[#This Row],[Account Deposit Amount]]-Table334[[#This Row],[Account Withdrawl Amount]], )</f>
        <v>0</v>
      </c>
    </row>
    <row r="280" spans="1:22">
      <c r="A280" s="225"/>
      <c r="B280" s="241"/>
      <c r="C280" s="225"/>
      <c r="D280" s="225"/>
      <c r="E280" s="242"/>
      <c r="F280" s="242"/>
      <c r="G280" s="243">
        <f t="shared" si="7"/>
        <v>2518.9699999999939</v>
      </c>
      <c r="H280" s="225"/>
      <c r="I280" s="243">
        <f>IF(Table334[[#This Row],[Category]]="Fall Product",Table334[[#This Row],[Account Deposit Amount]]-Table334[[#This Row],[Account Withdrawl Amount]], )</f>
        <v>0</v>
      </c>
      <c r="J280" s="243">
        <f>IF(Table334[[#This Row],[Category]]="Cookies",Table334[[#This Row],[Account Deposit Amount]]-Table334[[#This Row],[Account Withdrawl Amount]], )</f>
        <v>0</v>
      </c>
      <c r="K280" s="243">
        <f>IF(Table334[[#This Row],[Category]]="Additional Money Earning Activities",Table334[[#This Row],[Account Deposit Amount]]-Table334[[#This Row],[Account Withdrawl Amount]], )</f>
        <v>0</v>
      </c>
      <c r="L280" s="243">
        <f>IF(Table334[[#This Row],[Category]]="Sponsorships",Table334[[#This Row],[Account Deposit Amount]]-Table334[[#This Row],[Account Withdrawl Amount]], )</f>
        <v>0</v>
      </c>
      <c r="M280" s="243">
        <f>IF(Table334[[#This Row],[Category]]="Troop Dues",Table334[[#This Row],[Account Deposit Amount]]-Table334[[#This Row],[Account Withdrawl Amount]], )</f>
        <v>0</v>
      </c>
      <c r="N280" s="243">
        <f>IF(Table334[[#This Row],[Category]]="Other Income",Table334[[#This Row],[Account Deposit Amount]]-Table334[[#This Row],[Account Withdrawl Amount]], )</f>
        <v>0</v>
      </c>
      <c r="O280" s="243">
        <f>IF(Table334[[#This Row],[Category]]="Registration",Table334[[#This Row],[Account Deposit Amount]]-Table334[[#This Row],[Account Withdrawl Amount]], )</f>
        <v>0</v>
      </c>
      <c r="P280" s="243">
        <f>IF(Table334[[#This Row],[Category]]="Insignia",Table334[[#This Row],[Account Deposit Amount]]-Table334[[#This Row],[Account Withdrawl Amount]], )</f>
        <v>0</v>
      </c>
      <c r="Q280" s="243">
        <f>IF(Table334[[#This Row],[Category]]="Activities/Program",Table334[[#This Row],[Account Deposit Amount]]-Table334[[#This Row],[Account Withdrawl Amount]], )</f>
        <v>0</v>
      </c>
      <c r="R280" s="243">
        <f>IF(Table334[[#This Row],[Category]]="Travel",Table334[[#This Row],[Account Deposit Amount]]-Table334[[#This Row],[Account Withdrawl Amount]], )</f>
        <v>0</v>
      </c>
      <c r="S280" s="243">
        <f>IF(Table334[[#This Row],[Category]]="Parties Food &amp; Beverages",Table334[[#This Row],[Account Deposit Amount]]-Table334[[#This Row],[Account Withdrawl Amount]], )</f>
        <v>0</v>
      </c>
      <c r="T280" s="243">
        <f>IF(Table334[[#This Row],[Category]]="Service Projects Donation",Table334[[#This Row],[Account Deposit Amount]]-Table334[[#This Row],[Account Withdrawl Amount]], )</f>
        <v>0</v>
      </c>
      <c r="U280" s="243">
        <f>IF(Table334[[#This Row],[Category]]="Cookie Debt",Table334[[#This Row],[Account Deposit Amount]]-Table334[[#This Row],[Account Withdrawl Amount]], )</f>
        <v>0</v>
      </c>
      <c r="V280" s="243">
        <f>IF(Table334[[#This Row],[Category]]="Other Expense",Table334[[#This Row],[Account Deposit Amount]]-Table334[[#This Row],[Account Withdrawl Amount]], )</f>
        <v>0</v>
      </c>
    </row>
    <row r="281" spans="1:22">
      <c r="A281" s="225"/>
      <c r="B281" s="241"/>
      <c r="C281" s="225"/>
      <c r="D281" s="225"/>
      <c r="E281" s="242"/>
      <c r="F281" s="242"/>
      <c r="G281" s="243">
        <f t="shared" si="7"/>
        <v>2518.9699999999939</v>
      </c>
      <c r="H281" s="225"/>
      <c r="I281" s="243">
        <f>IF(Table334[[#This Row],[Category]]="Fall Product",Table334[[#This Row],[Account Deposit Amount]]-Table334[[#This Row],[Account Withdrawl Amount]], )</f>
        <v>0</v>
      </c>
      <c r="J281" s="243">
        <f>IF(Table334[[#This Row],[Category]]="Cookies",Table334[[#This Row],[Account Deposit Amount]]-Table334[[#This Row],[Account Withdrawl Amount]], )</f>
        <v>0</v>
      </c>
      <c r="K281" s="243">
        <f>IF(Table334[[#This Row],[Category]]="Additional Money Earning Activities",Table334[[#This Row],[Account Deposit Amount]]-Table334[[#This Row],[Account Withdrawl Amount]], )</f>
        <v>0</v>
      </c>
      <c r="L281" s="243">
        <f>IF(Table334[[#This Row],[Category]]="Sponsorships",Table334[[#This Row],[Account Deposit Amount]]-Table334[[#This Row],[Account Withdrawl Amount]], )</f>
        <v>0</v>
      </c>
      <c r="M281" s="243">
        <f>IF(Table334[[#This Row],[Category]]="Troop Dues",Table334[[#This Row],[Account Deposit Amount]]-Table334[[#This Row],[Account Withdrawl Amount]], )</f>
        <v>0</v>
      </c>
      <c r="N281" s="243">
        <f>IF(Table334[[#This Row],[Category]]="Other Income",Table334[[#This Row],[Account Deposit Amount]]-Table334[[#This Row],[Account Withdrawl Amount]], )</f>
        <v>0</v>
      </c>
      <c r="O281" s="243">
        <f>IF(Table334[[#This Row],[Category]]="Registration",Table334[[#This Row],[Account Deposit Amount]]-Table334[[#This Row],[Account Withdrawl Amount]], )</f>
        <v>0</v>
      </c>
      <c r="P281" s="243">
        <f>IF(Table334[[#This Row],[Category]]="Insignia",Table334[[#This Row],[Account Deposit Amount]]-Table334[[#This Row],[Account Withdrawl Amount]], )</f>
        <v>0</v>
      </c>
      <c r="Q281" s="243">
        <f>IF(Table334[[#This Row],[Category]]="Activities/Program",Table334[[#This Row],[Account Deposit Amount]]-Table334[[#This Row],[Account Withdrawl Amount]], )</f>
        <v>0</v>
      </c>
      <c r="R281" s="243">
        <f>IF(Table334[[#This Row],[Category]]="Travel",Table334[[#This Row],[Account Deposit Amount]]-Table334[[#This Row],[Account Withdrawl Amount]], )</f>
        <v>0</v>
      </c>
      <c r="S281" s="243">
        <f>IF(Table334[[#This Row],[Category]]="Parties Food &amp; Beverages",Table334[[#This Row],[Account Deposit Amount]]-Table334[[#This Row],[Account Withdrawl Amount]], )</f>
        <v>0</v>
      </c>
      <c r="T281" s="243">
        <f>IF(Table334[[#This Row],[Category]]="Service Projects Donation",Table334[[#This Row],[Account Deposit Amount]]-Table334[[#This Row],[Account Withdrawl Amount]], )</f>
        <v>0</v>
      </c>
      <c r="U281" s="243">
        <f>IF(Table334[[#This Row],[Category]]="Cookie Debt",Table334[[#This Row],[Account Deposit Amount]]-Table334[[#This Row],[Account Withdrawl Amount]], )</f>
        <v>0</v>
      </c>
      <c r="V281" s="243">
        <f>IF(Table334[[#This Row],[Category]]="Other Expense",Table334[[#This Row],[Account Deposit Amount]]-Table334[[#This Row],[Account Withdrawl Amount]], )</f>
        <v>0</v>
      </c>
    </row>
    <row r="282" spans="1:22">
      <c r="A282" s="225"/>
      <c r="B282" s="241"/>
      <c r="C282" s="225"/>
      <c r="D282" s="225"/>
      <c r="E282" s="242"/>
      <c r="F282" s="242"/>
      <c r="G282" s="243">
        <f t="shared" si="7"/>
        <v>2518.9699999999939</v>
      </c>
      <c r="H282" s="225"/>
      <c r="I282" s="243">
        <f>IF(Table334[[#This Row],[Category]]="Fall Product",Table334[[#This Row],[Account Deposit Amount]]-Table334[[#This Row],[Account Withdrawl Amount]], )</f>
        <v>0</v>
      </c>
      <c r="J282" s="243">
        <f>IF(Table334[[#This Row],[Category]]="Cookies",Table334[[#This Row],[Account Deposit Amount]]-Table334[[#This Row],[Account Withdrawl Amount]], )</f>
        <v>0</v>
      </c>
      <c r="K282" s="243">
        <f>IF(Table334[[#This Row],[Category]]="Additional Money Earning Activities",Table334[[#This Row],[Account Deposit Amount]]-Table334[[#This Row],[Account Withdrawl Amount]], )</f>
        <v>0</v>
      </c>
      <c r="L282" s="243">
        <f>IF(Table334[[#This Row],[Category]]="Sponsorships",Table334[[#This Row],[Account Deposit Amount]]-Table334[[#This Row],[Account Withdrawl Amount]], )</f>
        <v>0</v>
      </c>
      <c r="M282" s="243">
        <f>IF(Table334[[#This Row],[Category]]="Troop Dues",Table334[[#This Row],[Account Deposit Amount]]-Table334[[#This Row],[Account Withdrawl Amount]], )</f>
        <v>0</v>
      </c>
      <c r="N282" s="243">
        <f>IF(Table334[[#This Row],[Category]]="Other Income",Table334[[#This Row],[Account Deposit Amount]]-Table334[[#This Row],[Account Withdrawl Amount]], )</f>
        <v>0</v>
      </c>
      <c r="O282" s="243">
        <f>IF(Table334[[#This Row],[Category]]="Registration",Table334[[#This Row],[Account Deposit Amount]]-Table334[[#This Row],[Account Withdrawl Amount]], )</f>
        <v>0</v>
      </c>
      <c r="P282" s="243">
        <f>IF(Table334[[#This Row],[Category]]="Insignia",Table334[[#This Row],[Account Deposit Amount]]-Table334[[#This Row],[Account Withdrawl Amount]], )</f>
        <v>0</v>
      </c>
      <c r="Q282" s="243">
        <f>IF(Table334[[#This Row],[Category]]="Activities/Program",Table334[[#This Row],[Account Deposit Amount]]-Table334[[#This Row],[Account Withdrawl Amount]], )</f>
        <v>0</v>
      </c>
      <c r="R282" s="243">
        <f>IF(Table334[[#This Row],[Category]]="Travel",Table334[[#This Row],[Account Deposit Amount]]-Table334[[#This Row],[Account Withdrawl Amount]], )</f>
        <v>0</v>
      </c>
      <c r="S282" s="243">
        <f>IF(Table334[[#This Row],[Category]]="Parties Food &amp; Beverages",Table334[[#This Row],[Account Deposit Amount]]-Table334[[#This Row],[Account Withdrawl Amount]], )</f>
        <v>0</v>
      </c>
      <c r="T282" s="243">
        <f>IF(Table334[[#This Row],[Category]]="Service Projects Donation",Table334[[#This Row],[Account Deposit Amount]]-Table334[[#This Row],[Account Withdrawl Amount]], )</f>
        <v>0</v>
      </c>
      <c r="U282" s="243">
        <f>IF(Table334[[#This Row],[Category]]="Cookie Debt",Table334[[#This Row],[Account Deposit Amount]]-Table334[[#This Row],[Account Withdrawl Amount]], )</f>
        <v>0</v>
      </c>
      <c r="V282" s="243">
        <f>IF(Table334[[#This Row],[Category]]="Other Expense",Table334[[#This Row],[Account Deposit Amount]]-Table334[[#This Row],[Account Withdrawl Amount]], )</f>
        <v>0</v>
      </c>
    </row>
    <row r="283" spans="1:22">
      <c r="A283" s="225"/>
      <c r="B283" s="241"/>
      <c r="C283" s="225"/>
      <c r="D283" s="225"/>
      <c r="E283" s="242"/>
      <c r="F283" s="242"/>
      <c r="G283" s="243">
        <f t="shared" si="7"/>
        <v>2518.9699999999939</v>
      </c>
      <c r="H283" s="225"/>
      <c r="I283" s="243">
        <f>IF(Table334[[#This Row],[Category]]="Fall Product",Table334[[#This Row],[Account Deposit Amount]]-Table334[[#This Row],[Account Withdrawl Amount]], )</f>
        <v>0</v>
      </c>
      <c r="J283" s="243">
        <f>IF(Table334[[#This Row],[Category]]="Cookies",Table334[[#This Row],[Account Deposit Amount]]-Table334[[#This Row],[Account Withdrawl Amount]], )</f>
        <v>0</v>
      </c>
      <c r="K283" s="243">
        <f>IF(Table334[[#This Row],[Category]]="Additional Money Earning Activities",Table334[[#This Row],[Account Deposit Amount]]-Table334[[#This Row],[Account Withdrawl Amount]], )</f>
        <v>0</v>
      </c>
      <c r="L283" s="243">
        <f>IF(Table334[[#This Row],[Category]]="Sponsorships",Table334[[#This Row],[Account Deposit Amount]]-Table334[[#This Row],[Account Withdrawl Amount]], )</f>
        <v>0</v>
      </c>
      <c r="M283" s="243">
        <f>IF(Table334[[#This Row],[Category]]="Troop Dues",Table334[[#This Row],[Account Deposit Amount]]-Table334[[#This Row],[Account Withdrawl Amount]], )</f>
        <v>0</v>
      </c>
      <c r="N283" s="243">
        <f>IF(Table334[[#This Row],[Category]]="Other Income",Table334[[#This Row],[Account Deposit Amount]]-Table334[[#This Row],[Account Withdrawl Amount]], )</f>
        <v>0</v>
      </c>
      <c r="O283" s="243">
        <f>IF(Table334[[#This Row],[Category]]="Registration",Table334[[#This Row],[Account Deposit Amount]]-Table334[[#This Row],[Account Withdrawl Amount]], )</f>
        <v>0</v>
      </c>
      <c r="P283" s="243">
        <f>IF(Table334[[#This Row],[Category]]="Insignia",Table334[[#This Row],[Account Deposit Amount]]-Table334[[#This Row],[Account Withdrawl Amount]], )</f>
        <v>0</v>
      </c>
      <c r="Q283" s="243">
        <f>IF(Table334[[#This Row],[Category]]="Activities/Program",Table334[[#This Row],[Account Deposit Amount]]-Table334[[#This Row],[Account Withdrawl Amount]], )</f>
        <v>0</v>
      </c>
      <c r="R283" s="243">
        <f>IF(Table334[[#This Row],[Category]]="Travel",Table334[[#This Row],[Account Deposit Amount]]-Table334[[#This Row],[Account Withdrawl Amount]], )</f>
        <v>0</v>
      </c>
      <c r="S283" s="243">
        <f>IF(Table334[[#This Row],[Category]]="Parties Food &amp; Beverages",Table334[[#This Row],[Account Deposit Amount]]-Table334[[#This Row],[Account Withdrawl Amount]], )</f>
        <v>0</v>
      </c>
      <c r="T283" s="243">
        <f>IF(Table334[[#This Row],[Category]]="Service Projects Donation",Table334[[#This Row],[Account Deposit Amount]]-Table334[[#This Row],[Account Withdrawl Amount]], )</f>
        <v>0</v>
      </c>
      <c r="U283" s="243">
        <f>IF(Table334[[#This Row],[Category]]="Cookie Debt",Table334[[#This Row],[Account Deposit Amount]]-Table334[[#This Row],[Account Withdrawl Amount]], )</f>
        <v>0</v>
      </c>
      <c r="V283" s="243">
        <f>IF(Table334[[#This Row],[Category]]="Other Expense",Table334[[#This Row],[Account Deposit Amount]]-Table334[[#This Row],[Account Withdrawl Amount]], )</f>
        <v>0</v>
      </c>
    </row>
    <row r="284" spans="1:22">
      <c r="A284" s="225"/>
      <c r="B284" s="241"/>
      <c r="C284" s="225"/>
      <c r="D284" s="225"/>
      <c r="E284" s="242"/>
      <c r="F284" s="242"/>
      <c r="G284" s="243">
        <f t="shared" si="7"/>
        <v>2518.9699999999939</v>
      </c>
      <c r="H284" s="225"/>
      <c r="I284" s="243">
        <f>IF(Table334[[#This Row],[Category]]="Fall Product",Table334[[#This Row],[Account Deposit Amount]]-Table334[[#This Row],[Account Withdrawl Amount]], )</f>
        <v>0</v>
      </c>
      <c r="J284" s="243">
        <f>IF(Table334[[#This Row],[Category]]="Cookies",Table334[[#This Row],[Account Deposit Amount]]-Table334[[#This Row],[Account Withdrawl Amount]], )</f>
        <v>0</v>
      </c>
      <c r="K284" s="243">
        <f>IF(Table334[[#This Row],[Category]]="Additional Money Earning Activities",Table334[[#This Row],[Account Deposit Amount]]-Table334[[#This Row],[Account Withdrawl Amount]], )</f>
        <v>0</v>
      </c>
      <c r="L284" s="243">
        <f>IF(Table334[[#This Row],[Category]]="Sponsorships",Table334[[#This Row],[Account Deposit Amount]]-Table334[[#This Row],[Account Withdrawl Amount]], )</f>
        <v>0</v>
      </c>
      <c r="M284" s="243">
        <f>IF(Table334[[#This Row],[Category]]="Troop Dues",Table334[[#This Row],[Account Deposit Amount]]-Table334[[#This Row],[Account Withdrawl Amount]], )</f>
        <v>0</v>
      </c>
      <c r="N284" s="243">
        <f>IF(Table334[[#This Row],[Category]]="Other Income",Table334[[#This Row],[Account Deposit Amount]]-Table334[[#This Row],[Account Withdrawl Amount]], )</f>
        <v>0</v>
      </c>
      <c r="O284" s="243">
        <f>IF(Table334[[#This Row],[Category]]="Registration",Table334[[#This Row],[Account Deposit Amount]]-Table334[[#This Row],[Account Withdrawl Amount]], )</f>
        <v>0</v>
      </c>
      <c r="P284" s="243">
        <f>IF(Table334[[#This Row],[Category]]="Insignia",Table334[[#This Row],[Account Deposit Amount]]-Table334[[#This Row],[Account Withdrawl Amount]], )</f>
        <v>0</v>
      </c>
      <c r="Q284" s="243">
        <f>IF(Table334[[#This Row],[Category]]="Activities/Program",Table334[[#This Row],[Account Deposit Amount]]-Table334[[#This Row],[Account Withdrawl Amount]], )</f>
        <v>0</v>
      </c>
      <c r="R284" s="243">
        <f>IF(Table334[[#This Row],[Category]]="Travel",Table334[[#This Row],[Account Deposit Amount]]-Table334[[#This Row],[Account Withdrawl Amount]], )</f>
        <v>0</v>
      </c>
      <c r="S284" s="243">
        <f>IF(Table334[[#This Row],[Category]]="Parties Food &amp; Beverages",Table334[[#This Row],[Account Deposit Amount]]-Table334[[#This Row],[Account Withdrawl Amount]], )</f>
        <v>0</v>
      </c>
      <c r="T284" s="243">
        <f>IF(Table334[[#This Row],[Category]]="Service Projects Donation",Table334[[#This Row],[Account Deposit Amount]]-Table334[[#This Row],[Account Withdrawl Amount]], )</f>
        <v>0</v>
      </c>
      <c r="U284" s="243">
        <f>IF(Table334[[#This Row],[Category]]="Cookie Debt",Table334[[#This Row],[Account Deposit Amount]]-Table334[[#This Row],[Account Withdrawl Amount]], )</f>
        <v>0</v>
      </c>
      <c r="V284" s="243">
        <f>IF(Table334[[#This Row],[Category]]="Other Expense",Table334[[#This Row],[Account Deposit Amount]]-Table334[[#This Row],[Account Withdrawl Amount]], )</f>
        <v>0</v>
      </c>
    </row>
    <row r="285" spans="1:22">
      <c r="A285" s="225"/>
      <c r="B285" s="241"/>
      <c r="C285" s="225"/>
      <c r="D285" s="225"/>
      <c r="E285" s="242"/>
      <c r="F285" s="242"/>
      <c r="G285" s="243">
        <f t="shared" si="7"/>
        <v>2518.9699999999939</v>
      </c>
      <c r="H285" s="225"/>
      <c r="I285" s="243">
        <f>IF(Table334[[#This Row],[Category]]="Fall Product",Table334[[#This Row],[Account Deposit Amount]]-Table334[[#This Row],[Account Withdrawl Amount]], )</f>
        <v>0</v>
      </c>
      <c r="J285" s="243">
        <f>IF(Table334[[#This Row],[Category]]="Cookies",Table334[[#This Row],[Account Deposit Amount]]-Table334[[#This Row],[Account Withdrawl Amount]], )</f>
        <v>0</v>
      </c>
      <c r="K285" s="243">
        <f>IF(Table334[[#This Row],[Category]]="Additional Money Earning Activities",Table334[[#This Row],[Account Deposit Amount]]-Table334[[#This Row],[Account Withdrawl Amount]], )</f>
        <v>0</v>
      </c>
      <c r="L285" s="243">
        <f>IF(Table334[[#This Row],[Category]]="Sponsorships",Table334[[#This Row],[Account Deposit Amount]]-Table334[[#This Row],[Account Withdrawl Amount]], )</f>
        <v>0</v>
      </c>
      <c r="M285" s="243">
        <f>IF(Table334[[#This Row],[Category]]="Troop Dues",Table334[[#This Row],[Account Deposit Amount]]-Table334[[#This Row],[Account Withdrawl Amount]], )</f>
        <v>0</v>
      </c>
      <c r="N285" s="243">
        <f>IF(Table334[[#This Row],[Category]]="Other Income",Table334[[#This Row],[Account Deposit Amount]]-Table334[[#This Row],[Account Withdrawl Amount]], )</f>
        <v>0</v>
      </c>
      <c r="O285" s="243">
        <f>IF(Table334[[#This Row],[Category]]="Registration",Table334[[#This Row],[Account Deposit Amount]]-Table334[[#This Row],[Account Withdrawl Amount]], )</f>
        <v>0</v>
      </c>
      <c r="P285" s="243">
        <f>IF(Table334[[#This Row],[Category]]="Insignia",Table334[[#This Row],[Account Deposit Amount]]-Table334[[#This Row],[Account Withdrawl Amount]], )</f>
        <v>0</v>
      </c>
      <c r="Q285" s="243">
        <f>IF(Table334[[#This Row],[Category]]="Activities/Program",Table334[[#This Row],[Account Deposit Amount]]-Table334[[#This Row],[Account Withdrawl Amount]], )</f>
        <v>0</v>
      </c>
      <c r="R285" s="243">
        <f>IF(Table334[[#This Row],[Category]]="Travel",Table334[[#This Row],[Account Deposit Amount]]-Table334[[#This Row],[Account Withdrawl Amount]], )</f>
        <v>0</v>
      </c>
      <c r="S285" s="243">
        <f>IF(Table334[[#This Row],[Category]]="Parties Food &amp; Beverages",Table334[[#This Row],[Account Deposit Amount]]-Table334[[#This Row],[Account Withdrawl Amount]], )</f>
        <v>0</v>
      </c>
      <c r="T285" s="243">
        <f>IF(Table334[[#This Row],[Category]]="Service Projects Donation",Table334[[#This Row],[Account Deposit Amount]]-Table334[[#This Row],[Account Withdrawl Amount]], )</f>
        <v>0</v>
      </c>
      <c r="U285" s="243">
        <f>IF(Table334[[#This Row],[Category]]="Cookie Debt",Table334[[#This Row],[Account Deposit Amount]]-Table334[[#This Row],[Account Withdrawl Amount]], )</f>
        <v>0</v>
      </c>
      <c r="V285" s="243">
        <f>IF(Table334[[#This Row],[Category]]="Other Expense",Table334[[#This Row],[Account Deposit Amount]]-Table334[[#This Row],[Account Withdrawl Amount]], )</f>
        <v>0</v>
      </c>
    </row>
    <row r="286" spans="1:22">
      <c r="A286" s="225"/>
      <c r="B286" s="241"/>
      <c r="C286" s="225"/>
      <c r="D286" s="225"/>
      <c r="E286" s="242"/>
      <c r="F286" s="242"/>
      <c r="G286" s="243">
        <f t="shared" si="7"/>
        <v>2518.9699999999939</v>
      </c>
      <c r="H286" s="225"/>
      <c r="I286" s="243">
        <f>IF(Table334[[#This Row],[Category]]="Fall Product",Table334[[#This Row],[Account Deposit Amount]]-Table334[[#This Row],[Account Withdrawl Amount]], )</f>
        <v>0</v>
      </c>
      <c r="J286" s="243">
        <f>IF(Table334[[#This Row],[Category]]="Cookies",Table334[[#This Row],[Account Deposit Amount]]-Table334[[#This Row],[Account Withdrawl Amount]], )</f>
        <v>0</v>
      </c>
      <c r="K286" s="243">
        <f>IF(Table334[[#This Row],[Category]]="Additional Money Earning Activities",Table334[[#This Row],[Account Deposit Amount]]-Table334[[#This Row],[Account Withdrawl Amount]], )</f>
        <v>0</v>
      </c>
      <c r="L286" s="243">
        <f>IF(Table334[[#This Row],[Category]]="Sponsorships",Table334[[#This Row],[Account Deposit Amount]]-Table334[[#This Row],[Account Withdrawl Amount]], )</f>
        <v>0</v>
      </c>
      <c r="M286" s="243">
        <f>IF(Table334[[#This Row],[Category]]="Troop Dues",Table334[[#This Row],[Account Deposit Amount]]-Table334[[#This Row],[Account Withdrawl Amount]], )</f>
        <v>0</v>
      </c>
      <c r="N286" s="243">
        <f>IF(Table334[[#This Row],[Category]]="Other Income",Table334[[#This Row],[Account Deposit Amount]]-Table334[[#This Row],[Account Withdrawl Amount]], )</f>
        <v>0</v>
      </c>
      <c r="O286" s="243">
        <f>IF(Table334[[#This Row],[Category]]="Registration",Table334[[#This Row],[Account Deposit Amount]]-Table334[[#This Row],[Account Withdrawl Amount]], )</f>
        <v>0</v>
      </c>
      <c r="P286" s="243">
        <f>IF(Table334[[#This Row],[Category]]="Insignia",Table334[[#This Row],[Account Deposit Amount]]-Table334[[#This Row],[Account Withdrawl Amount]], )</f>
        <v>0</v>
      </c>
      <c r="Q286" s="243">
        <f>IF(Table334[[#This Row],[Category]]="Activities/Program",Table334[[#This Row],[Account Deposit Amount]]-Table334[[#This Row],[Account Withdrawl Amount]], )</f>
        <v>0</v>
      </c>
      <c r="R286" s="243">
        <f>IF(Table334[[#This Row],[Category]]="Travel",Table334[[#This Row],[Account Deposit Amount]]-Table334[[#This Row],[Account Withdrawl Amount]], )</f>
        <v>0</v>
      </c>
      <c r="S286" s="243">
        <f>IF(Table334[[#This Row],[Category]]="Parties Food &amp; Beverages",Table334[[#This Row],[Account Deposit Amount]]-Table334[[#This Row],[Account Withdrawl Amount]], )</f>
        <v>0</v>
      </c>
      <c r="T286" s="243">
        <f>IF(Table334[[#This Row],[Category]]="Service Projects Donation",Table334[[#This Row],[Account Deposit Amount]]-Table334[[#This Row],[Account Withdrawl Amount]], )</f>
        <v>0</v>
      </c>
      <c r="U286" s="243">
        <f>IF(Table334[[#This Row],[Category]]="Cookie Debt",Table334[[#This Row],[Account Deposit Amount]]-Table334[[#This Row],[Account Withdrawl Amount]], )</f>
        <v>0</v>
      </c>
      <c r="V286" s="243">
        <f>IF(Table334[[#This Row],[Category]]="Other Expense",Table334[[#This Row],[Account Deposit Amount]]-Table334[[#This Row],[Account Withdrawl Amount]], )</f>
        <v>0</v>
      </c>
    </row>
    <row r="287" spans="1:22">
      <c r="A287" s="225"/>
      <c r="B287" s="241"/>
      <c r="C287" s="225"/>
      <c r="D287" s="225"/>
      <c r="E287" s="242"/>
      <c r="F287" s="242"/>
      <c r="G287" s="243">
        <f t="shared" si="7"/>
        <v>2518.9699999999939</v>
      </c>
      <c r="H287" s="225"/>
      <c r="I287" s="243">
        <f>IF(Table334[[#This Row],[Category]]="Fall Product",Table334[[#This Row],[Account Deposit Amount]]-Table334[[#This Row],[Account Withdrawl Amount]], )</f>
        <v>0</v>
      </c>
      <c r="J287" s="243">
        <f>IF(Table334[[#This Row],[Category]]="Cookies",Table334[[#This Row],[Account Deposit Amount]]-Table334[[#This Row],[Account Withdrawl Amount]], )</f>
        <v>0</v>
      </c>
      <c r="K287" s="243">
        <f>IF(Table334[[#This Row],[Category]]="Additional Money Earning Activities",Table334[[#This Row],[Account Deposit Amount]]-Table334[[#This Row],[Account Withdrawl Amount]], )</f>
        <v>0</v>
      </c>
      <c r="L287" s="243">
        <f>IF(Table334[[#This Row],[Category]]="Sponsorships",Table334[[#This Row],[Account Deposit Amount]]-Table334[[#This Row],[Account Withdrawl Amount]], )</f>
        <v>0</v>
      </c>
      <c r="M287" s="243">
        <f>IF(Table334[[#This Row],[Category]]="Troop Dues",Table334[[#This Row],[Account Deposit Amount]]-Table334[[#This Row],[Account Withdrawl Amount]], )</f>
        <v>0</v>
      </c>
      <c r="N287" s="243">
        <f>IF(Table334[[#This Row],[Category]]="Other Income",Table334[[#This Row],[Account Deposit Amount]]-Table334[[#This Row],[Account Withdrawl Amount]], )</f>
        <v>0</v>
      </c>
      <c r="O287" s="243">
        <f>IF(Table334[[#This Row],[Category]]="Registration",Table334[[#This Row],[Account Deposit Amount]]-Table334[[#This Row],[Account Withdrawl Amount]], )</f>
        <v>0</v>
      </c>
      <c r="P287" s="243">
        <f>IF(Table334[[#This Row],[Category]]="Insignia",Table334[[#This Row],[Account Deposit Amount]]-Table334[[#This Row],[Account Withdrawl Amount]], )</f>
        <v>0</v>
      </c>
      <c r="Q287" s="243">
        <f>IF(Table334[[#This Row],[Category]]="Activities/Program",Table334[[#This Row],[Account Deposit Amount]]-Table334[[#This Row],[Account Withdrawl Amount]], )</f>
        <v>0</v>
      </c>
      <c r="R287" s="243">
        <f>IF(Table334[[#This Row],[Category]]="Travel",Table334[[#This Row],[Account Deposit Amount]]-Table334[[#This Row],[Account Withdrawl Amount]], )</f>
        <v>0</v>
      </c>
      <c r="S287" s="243">
        <f>IF(Table334[[#This Row],[Category]]="Parties Food &amp; Beverages",Table334[[#This Row],[Account Deposit Amount]]-Table334[[#This Row],[Account Withdrawl Amount]], )</f>
        <v>0</v>
      </c>
      <c r="T287" s="243">
        <f>IF(Table334[[#This Row],[Category]]="Service Projects Donation",Table334[[#This Row],[Account Deposit Amount]]-Table334[[#This Row],[Account Withdrawl Amount]], )</f>
        <v>0</v>
      </c>
      <c r="U287" s="243">
        <f>IF(Table334[[#This Row],[Category]]="Cookie Debt",Table334[[#This Row],[Account Deposit Amount]]-Table334[[#This Row],[Account Withdrawl Amount]], )</f>
        <v>0</v>
      </c>
      <c r="V287" s="243">
        <f>IF(Table334[[#This Row],[Category]]="Other Expense",Table334[[#This Row],[Account Deposit Amount]]-Table334[[#This Row],[Account Withdrawl Amount]], )</f>
        <v>0</v>
      </c>
    </row>
    <row r="288" spans="1:22">
      <c r="A288" s="225"/>
      <c r="B288" s="241"/>
      <c r="C288" s="225"/>
      <c r="D288" s="225"/>
      <c r="E288" s="242"/>
      <c r="F288" s="242"/>
      <c r="G288" s="243">
        <f t="shared" si="7"/>
        <v>2518.9699999999939</v>
      </c>
      <c r="H288" s="225"/>
      <c r="I288" s="243">
        <f>IF(Table334[[#This Row],[Category]]="Fall Product",Table334[[#This Row],[Account Deposit Amount]]-Table334[[#This Row],[Account Withdrawl Amount]], )</f>
        <v>0</v>
      </c>
      <c r="J288" s="243">
        <f>IF(Table334[[#This Row],[Category]]="Cookies",Table334[[#This Row],[Account Deposit Amount]]-Table334[[#This Row],[Account Withdrawl Amount]], )</f>
        <v>0</v>
      </c>
      <c r="K288" s="243">
        <f>IF(Table334[[#This Row],[Category]]="Additional Money Earning Activities",Table334[[#This Row],[Account Deposit Amount]]-Table334[[#This Row],[Account Withdrawl Amount]], )</f>
        <v>0</v>
      </c>
      <c r="L288" s="243">
        <f>IF(Table334[[#This Row],[Category]]="Sponsorships",Table334[[#This Row],[Account Deposit Amount]]-Table334[[#This Row],[Account Withdrawl Amount]], )</f>
        <v>0</v>
      </c>
      <c r="M288" s="243">
        <f>IF(Table334[[#This Row],[Category]]="Troop Dues",Table334[[#This Row],[Account Deposit Amount]]-Table334[[#This Row],[Account Withdrawl Amount]], )</f>
        <v>0</v>
      </c>
      <c r="N288" s="243">
        <f>IF(Table334[[#This Row],[Category]]="Other Income",Table334[[#This Row],[Account Deposit Amount]]-Table334[[#This Row],[Account Withdrawl Amount]], )</f>
        <v>0</v>
      </c>
      <c r="O288" s="243">
        <f>IF(Table334[[#This Row],[Category]]="Registration",Table334[[#This Row],[Account Deposit Amount]]-Table334[[#This Row],[Account Withdrawl Amount]], )</f>
        <v>0</v>
      </c>
      <c r="P288" s="243">
        <f>IF(Table334[[#This Row],[Category]]="Insignia",Table334[[#This Row],[Account Deposit Amount]]-Table334[[#This Row],[Account Withdrawl Amount]], )</f>
        <v>0</v>
      </c>
      <c r="Q288" s="243">
        <f>IF(Table334[[#This Row],[Category]]="Activities/Program",Table334[[#This Row],[Account Deposit Amount]]-Table334[[#This Row],[Account Withdrawl Amount]], )</f>
        <v>0</v>
      </c>
      <c r="R288" s="243">
        <f>IF(Table334[[#This Row],[Category]]="Travel",Table334[[#This Row],[Account Deposit Amount]]-Table334[[#This Row],[Account Withdrawl Amount]], )</f>
        <v>0</v>
      </c>
      <c r="S288" s="243">
        <f>IF(Table334[[#This Row],[Category]]="Parties Food &amp; Beverages",Table334[[#This Row],[Account Deposit Amount]]-Table334[[#This Row],[Account Withdrawl Amount]], )</f>
        <v>0</v>
      </c>
      <c r="T288" s="243">
        <f>IF(Table334[[#This Row],[Category]]="Service Projects Donation",Table334[[#This Row],[Account Deposit Amount]]-Table334[[#This Row],[Account Withdrawl Amount]], )</f>
        <v>0</v>
      </c>
      <c r="U288" s="243">
        <f>IF(Table334[[#This Row],[Category]]="Cookie Debt",Table334[[#This Row],[Account Deposit Amount]]-Table334[[#This Row],[Account Withdrawl Amount]], )</f>
        <v>0</v>
      </c>
      <c r="V288" s="243">
        <f>IF(Table334[[#This Row],[Category]]="Other Expense",Table334[[#This Row],[Account Deposit Amount]]-Table334[[#This Row],[Account Withdrawl Amount]], )</f>
        <v>0</v>
      </c>
    </row>
    <row r="289" spans="1:22">
      <c r="A289" s="225"/>
      <c r="B289" s="241"/>
      <c r="C289" s="225"/>
      <c r="D289" s="225"/>
      <c r="E289" s="242"/>
      <c r="F289" s="242"/>
      <c r="G289" s="243">
        <f t="shared" si="7"/>
        <v>2518.9699999999939</v>
      </c>
      <c r="H289" s="225"/>
      <c r="I289" s="243">
        <f>IF(Table334[[#This Row],[Category]]="Fall Product",Table334[[#This Row],[Account Deposit Amount]]-Table334[[#This Row],[Account Withdrawl Amount]], )</f>
        <v>0</v>
      </c>
      <c r="J289" s="243">
        <f>IF(Table334[[#This Row],[Category]]="Cookies",Table334[[#This Row],[Account Deposit Amount]]-Table334[[#This Row],[Account Withdrawl Amount]], )</f>
        <v>0</v>
      </c>
      <c r="K289" s="243">
        <f>IF(Table334[[#This Row],[Category]]="Additional Money Earning Activities",Table334[[#This Row],[Account Deposit Amount]]-Table334[[#This Row],[Account Withdrawl Amount]], )</f>
        <v>0</v>
      </c>
      <c r="L289" s="243">
        <f>IF(Table334[[#This Row],[Category]]="Sponsorships",Table334[[#This Row],[Account Deposit Amount]]-Table334[[#This Row],[Account Withdrawl Amount]], )</f>
        <v>0</v>
      </c>
      <c r="M289" s="243">
        <f>IF(Table334[[#This Row],[Category]]="Troop Dues",Table334[[#This Row],[Account Deposit Amount]]-Table334[[#This Row],[Account Withdrawl Amount]], )</f>
        <v>0</v>
      </c>
      <c r="N289" s="243">
        <f>IF(Table334[[#This Row],[Category]]="Other Income",Table334[[#This Row],[Account Deposit Amount]]-Table334[[#This Row],[Account Withdrawl Amount]], )</f>
        <v>0</v>
      </c>
      <c r="O289" s="243">
        <f>IF(Table334[[#This Row],[Category]]="Registration",Table334[[#This Row],[Account Deposit Amount]]-Table334[[#This Row],[Account Withdrawl Amount]], )</f>
        <v>0</v>
      </c>
      <c r="P289" s="243">
        <f>IF(Table334[[#This Row],[Category]]="Insignia",Table334[[#This Row],[Account Deposit Amount]]-Table334[[#This Row],[Account Withdrawl Amount]], )</f>
        <v>0</v>
      </c>
      <c r="Q289" s="243">
        <f>IF(Table334[[#This Row],[Category]]="Activities/Program",Table334[[#This Row],[Account Deposit Amount]]-Table334[[#This Row],[Account Withdrawl Amount]], )</f>
        <v>0</v>
      </c>
      <c r="R289" s="243">
        <f>IF(Table334[[#This Row],[Category]]="Travel",Table334[[#This Row],[Account Deposit Amount]]-Table334[[#This Row],[Account Withdrawl Amount]], )</f>
        <v>0</v>
      </c>
      <c r="S289" s="243">
        <f>IF(Table334[[#This Row],[Category]]="Parties Food &amp; Beverages",Table334[[#This Row],[Account Deposit Amount]]-Table334[[#This Row],[Account Withdrawl Amount]], )</f>
        <v>0</v>
      </c>
      <c r="T289" s="243">
        <f>IF(Table334[[#This Row],[Category]]="Service Projects Donation",Table334[[#This Row],[Account Deposit Amount]]-Table334[[#This Row],[Account Withdrawl Amount]], )</f>
        <v>0</v>
      </c>
      <c r="U289" s="243">
        <f>IF(Table334[[#This Row],[Category]]="Cookie Debt",Table334[[#This Row],[Account Deposit Amount]]-Table334[[#This Row],[Account Withdrawl Amount]], )</f>
        <v>0</v>
      </c>
      <c r="V289" s="243">
        <f>IF(Table334[[#This Row],[Category]]="Other Expense",Table334[[#This Row],[Account Deposit Amount]]-Table334[[#This Row],[Account Withdrawl Amount]], )</f>
        <v>0</v>
      </c>
    </row>
    <row r="290" spans="1:22">
      <c r="A290" s="225"/>
      <c r="B290" s="241"/>
      <c r="C290" s="225"/>
      <c r="D290" s="225"/>
      <c r="E290" s="242"/>
      <c r="F290" s="242"/>
      <c r="G290" s="243">
        <f t="shared" si="7"/>
        <v>2518.9699999999939</v>
      </c>
      <c r="H290" s="225"/>
      <c r="I290" s="243">
        <f>IF(Table334[[#This Row],[Category]]="Fall Product",Table334[[#This Row],[Account Deposit Amount]]-Table334[[#This Row],[Account Withdrawl Amount]], )</f>
        <v>0</v>
      </c>
      <c r="J290" s="243">
        <f>IF(Table334[[#This Row],[Category]]="Cookies",Table334[[#This Row],[Account Deposit Amount]]-Table334[[#This Row],[Account Withdrawl Amount]], )</f>
        <v>0</v>
      </c>
      <c r="K290" s="243">
        <f>IF(Table334[[#This Row],[Category]]="Additional Money Earning Activities",Table334[[#This Row],[Account Deposit Amount]]-Table334[[#This Row],[Account Withdrawl Amount]], )</f>
        <v>0</v>
      </c>
      <c r="L290" s="243">
        <f>IF(Table334[[#This Row],[Category]]="Sponsorships",Table334[[#This Row],[Account Deposit Amount]]-Table334[[#This Row],[Account Withdrawl Amount]], )</f>
        <v>0</v>
      </c>
      <c r="M290" s="243">
        <f>IF(Table334[[#This Row],[Category]]="Troop Dues",Table334[[#This Row],[Account Deposit Amount]]-Table334[[#This Row],[Account Withdrawl Amount]], )</f>
        <v>0</v>
      </c>
      <c r="N290" s="243">
        <f>IF(Table334[[#This Row],[Category]]="Other Income",Table334[[#This Row],[Account Deposit Amount]]-Table334[[#This Row],[Account Withdrawl Amount]], )</f>
        <v>0</v>
      </c>
      <c r="O290" s="243">
        <f>IF(Table334[[#This Row],[Category]]="Registration",Table334[[#This Row],[Account Deposit Amount]]-Table334[[#This Row],[Account Withdrawl Amount]], )</f>
        <v>0</v>
      </c>
      <c r="P290" s="243">
        <f>IF(Table334[[#This Row],[Category]]="Insignia",Table334[[#This Row],[Account Deposit Amount]]-Table334[[#This Row],[Account Withdrawl Amount]], )</f>
        <v>0</v>
      </c>
      <c r="Q290" s="243">
        <f>IF(Table334[[#This Row],[Category]]="Activities/Program",Table334[[#This Row],[Account Deposit Amount]]-Table334[[#This Row],[Account Withdrawl Amount]], )</f>
        <v>0</v>
      </c>
      <c r="R290" s="243">
        <f>IF(Table334[[#This Row],[Category]]="Travel",Table334[[#This Row],[Account Deposit Amount]]-Table334[[#This Row],[Account Withdrawl Amount]], )</f>
        <v>0</v>
      </c>
      <c r="S290" s="243">
        <f>IF(Table334[[#This Row],[Category]]="Parties Food &amp; Beverages",Table334[[#This Row],[Account Deposit Amount]]-Table334[[#This Row],[Account Withdrawl Amount]], )</f>
        <v>0</v>
      </c>
      <c r="T290" s="243">
        <f>IF(Table334[[#This Row],[Category]]="Service Projects Donation",Table334[[#This Row],[Account Deposit Amount]]-Table334[[#This Row],[Account Withdrawl Amount]], )</f>
        <v>0</v>
      </c>
      <c r="U290" s="243">
        <f>IF(Table334[[#This Row],[Category]]="Cookie Debt",Table334[[#This Row],[Account Deposit Amount]]-Table334[[#This Row],[Account Withdrawl Amount]], )</f>
        <v>0</v>
      </c>
      <c r="V290" s="243">
        <f>IF(Table334[[#This Row],[Category]]="Other Expense",Table334[[#This Row],[Account Deposit Amount]]-Table334[[#This Row],[Account Withdrawl Amount]], )</f>
        <v>0</v>
      </c>
    </row>
    <row r="291" spans="1:22">
      <c r="A291" s="225"/>
      <c r="B291" s="241"/>
      <c r="C291" s="225"/>
      <c r="D291" s="225"/>
      <c r="E291" s="242"/>
      <c r="F291" s="242"/>
      <c r="G291" s="243">
        <f t="shared" si="7"/>
        <v>2518.9699999999939</v>
      </c>
      <c r="H291" s="225"/>
      <c r="I291" s="243">
        <f>IF(Table334[[#This Row],[Category]]="Fall Product",Table334[[#This Row],[Account Deposit Amount]]-Table334[[#This Row],[Account Withdrawl Amount]], )</f>
        <v>0</v>
      </c>
      <c r="J291" s="243">
        <f>IF(Table334[[#This Row],[Category]]="Cookies",Table334[[#This Row],[Account Deposit Amount]]-Table334[[#This Row],[Account Withdrawl Amount]], )</f>
        <v>0</v>
      </c>
      <c r="K291" s="243">
        <f>IF(Table334[[#This Row],[Category]]="Additional Money Earning Activities",Table334[[#This Row],[Account Deposit Amount]]-Table334[[#This Row],[Account Withdrawl Amount]], )</f>
        <v>0</v>
      </c>
      <c r="L291" s="243">
        <f>IF(Table334[[#This Row],[Category]]="Sponsorships",Table334[[#This Row],[Account Deposit Amount]]-Table334[[#This Row],[Account Withdrawl Amount]], )</f>
        <v>0</v>
      </c>
      <c r="M291" s="243">
        <f>IF(Table334[[#This Row],[Category]]="Troop Dues",Table334[[#This Row],[Account Deposit Amount]]-Table334[[#This Row],[Account Withdrawl Amount]], )</f>
        <v>0</v>
      </c>
      <c r="N291" s="243">
        <f>IF(Table334[[#This Row],[Category]]="Other Income",Table334[[#This Row],[Account Deposit Amount]]-Table334[[#This Row],[Account Withdrawl Amount]], )</f>
        <v>0</v>
      </c>
      <c r="O291" s="243">
        <f>IF(Table334[[#This Row],[Category]]="Registration",Table334[[#This Row],[Account Deposit Amount]]-Table334[[#This Row],[Account Withdrawl Amount]], )</f>
        <v>0</v>
      </c>
      <c r="P291" s="243">
        <f>IF(Table334[[#This Row],[Category]]="Insignia",Table334[[#This Row],[Account Deposit Amount]]-Table334[[#This Row],[Account Withdrawl Amount]], )</f>
        <v>0</v>
      </c>
      <c r="Q291" s="243">
        <f>IF(Table334[[#This Row],[Category]]="Activities/Program",Table334[[#This Row],[Account Deposit Amount]]-Table334[[#This Row],[Account Withdrawl Amount]], )</f>
        <v>0</v>
      </c>
      <c r="R291" s="243">
        <f>IF(Table334[[#This Row],[Category]]="Travel",Table334[[#This Row],[Account Deposit Amount]]-Table334[[#This Row],[Account Withdrawl Amount]], )</f>
        <v>0</v>
      </c>
      <c r="S291" s="243">
        <f>IF(Table334[[#This Row],[Category]]="Parties Food &amp; Beverages",Table334[[#This Row],[Account Deposit Amount]]-Table334[[#This Row],[Account Withdrawl Amount]], )</f>
        <v>0</v>
      </c>
      <c r="T291" s="243">
        <f>IF(Table334[[#This Row],[Category]]="Service Projects Donation",Table334[[#This Row],[Account Deposit Amount]]-Table334[[#This Row],[Account Withdrawl Amount]], )</f>
        <v>0</v>
      </c>
      <c r="U291" s="243">
        <f>IF(Table334[[#This Row],[Category]]="Cookie Debt",Table334[[#This Row],[Account Deposit Amount]]-Table334[[#This Row],[Account Withdrawl Amount]], )</f>
        <v>0</v>
      </c>
      <c r="V291" s="243">
        <f>IF(Table334[[#This Row],[Category]]="Other Expense",Table334[[#This Row],[Account Deposit Amount]]-Table334[[#This Row],[Account Withdrawl Amount]], )</f>
        <v>0</v>
      </c>
    </row>
    <row r="292" spans="1:22">
      <c r="A292" s="225"/>
      <c r="B292" s="241"/>
      <c r="C292" s="225"/>
      <c r="D292" s="225"/>
      <c r="E292" s="242"/>
      <c r="F292" s="242"/>
      <c r="G292" s="243">
        <f t="shared" si="7"/>
        <v>2518.9699999999939</v>
      </c>
      <c r="H292" s="225"/>
      <c r="I292" s="243">
        <f>IF(Table334[[#This Row],[Category]]="Fall Product",Table334[[#This Row],[Account Deposit Amount]]-Table334[[#This Row],[Account Withdrawl Amount]], )</f>
        <v>0</v>
      </c>
      <c r="J292" s="243">
        <f>IF(Table334[[#This Row],[Category]]="Cookies",Table334[[#This Row],[Account Deposit Amount]]-Table334[[#This Row],[Account Withdrawl Amount]], )</f>
        <v>0</v>
      </c>
      <c r="K292" s="243">
        <f>IF(Table334[[#This Row],[Category]]="Additional Money Earning Activities",Table334[[#This Row],[Account Deposit Amount]]-Table334[[#This Row],[Account Withdrawl Amount]], )</f>
        <v>0</v>
      </c>
      <c r="L292" s="243">
        <f>IF(Table334[[#This Row],[Category]]="Sponsorships",Table334[[#This Row],[Account Deposit Amount]]-Table334[[#This Row],[Account Withdrawl Amount]], )</f>
        <v>0</v>
      </c>
      <c r="M292" s="243">
        <f>IF(Table334[[#This Row],[Category]]="Troop Dues",Table334[[#This Row],[Account Deposit Amount]]-Table334[[#This Row],[Account Withdrawl Amount]], )</f>
        <v>0</v>
      </c>
      <c r="N292" s="243">
        <f>IF(Table334[[#This Row],[Category]]="Other Income",Table334[[#This Row],[Account Deposit Amount]]-Table334[[#This Row],[Account Withdrawl Amount]], )</f>
        <v>0</v>
      </c>
      <c r="O292" s="243">
        <f>IF(Table334[[#This Row],[Category]]="Registration",Table334[[#This Row],[Account Deposit Amount]]-Table334[[#This Row],[Account Withdrawl Amount]], )</f>
        <v>0</v>
      </c>
      <c r="P292" s="243">
        <f>IF(Table334[[#This Row],[Category]]="Insignia",Table334[[#This Row],[Account Deposit Amount]]-Table334[[#This Row],[Account Withdrawl Amount]], )</f>
        <v>0</v>
      </c>
      <c r="Q292" s="243">
        <f>IF(Table334[[#This Row],[Category]]="Activities/Program",Table334[[#This Row],[Account Deposit Amount]]-Table334[[#This Row],[Account Withdrawl Amount]], )</f>
        <v>0</v>
      </c>
      <c r="R292" s="243">
        <f>IF(Table334[[#This Row],[Category]]="Travel",Table334[[#This Row],[Account Deposit Amount]]-Table334[[#This Row],[Account Withdrawl Amount]], )</f>
        <v>0</v>
      </c>
      <c r="S292" s="243">
        <f>IF(Table334[[#This Row],[Category]]="Parties Food &amp; Beverages",Table334[[#This Row],[Account Deposit Amount]]-Table334[[#This Row],[Account Withdrawl Amount]], )</f>
        <v>0</v>
      </c>
      <c r="T292" s="243">
        <f>IF(Table334[[#This Row],[Category]]="Service Projects Donation",Table334[[#This Row],[Account Deposit Amount]]-Table334[[#This Row],[Account Withdrawl Amount]], )</f>
        <v>0</v>
      </c>
      <c r="U292" s="243">
        <f>IF(Table334[[#This Row],[Category]]="Cookie Debt",Table334[[#This Row],[Account Deposit Amount]]-Table334[[#This Row],[Account Withdrawl Amount]], )</f>
        <v>0</v>
      </c>
      <c r="V292" s="243">
        <f>IF(Table334[[#This Row],[Category]]="Other Expense",Table334[[#This Row],[Account Deposit Amount]]-Table334[[#This Row],[Account Withdrawl Amount]], )</f>
        <v>0</v>
      </c>
    </row>
    <row r="293" spans="1:22">
      <c r="A293" s="225"/>
      <c r="B293" s="241"/>
      <c r="C293" s="225"/>
      <c r="D293" s="225"/>
      <c r="E293" s="242"/>
      <c r="F293" s="242"/>
      <c r="G293" s="243">
        <f t="shared" si="7"/>
        <v>2518.9699999999939</v>
      </c>
      <c r="H293" s="225"/>
      <c r="I293" s="243">
        <f>IF(Table334[[#This Row],[Category]]="Fall Product",Table334[[#This Row],[Account Deposit Amount]]-Table334[[#This Row],[Account Withdrawl Amount]], )</f>
        <v>0</v>
      </c>
      <c r="J293" s="243">
        <f>IF(Table334[[#This Row],[Category]]="Cookies",Table334[[#This Row],[Account Deposit Amount]]-Table334[[#This Row],[Account Withdrawl Amount]], )</f>
        <v>0</v>
      </c>
      <c r="K293" s="243">
        <f>IF(Table334[[#This Row],[Category]]="Additional Money Earning Activities",Table334[[#This Row],[Account Deposit Amount]]-Table334[[#This Row],[Account Withdrawl Amount]], )</f>
        <v>0</v>
      </c>
      <c r="L293" s="243">
        <f>IF(Table334[[#This Row],[Category]]="Sponsorships",Table334[[#This Row],[Account Deposit Amount]]-Table334[[#This Row],[Account Withdrawl Amount]], )</f>
        <v>0</v>
      </c>
      <c r="M293" s="243">
        <f>IF(Table334[[#This Row],[Category]]="Troop Dues",Table334[[#This Row],[Account Deposit Amount]]-Table334[[#This Row],[Account Withdrawl Amount]], )</f>
        <v>0</v>
      </c>
      <c r="N293" s="243">
        <f>IF(Table334[[#This Row],[Category]]="Other Income",Table334[[#This Row],[Account Deposit Amount]]-Table334[[#This Row],[Account Withdrawl Amount]], )</f>
        <v>0</v>
      </c>
      <c r="O293" s="243">
        <f>IF(Table334[[#This Row],[Category]]="Registration",Table334[[#This Row],[Account Deposit Amount]]-Table334[[#This Row],[Account Withdrawl Amount]], )</f>
        <v>0</v>
      </c>
      <c r="P293" s="243">
        <f>IF(Table334[[#This Row],[Category]]="Insignia",Table334[[#This Row],[Account Deposit Amount]]-Table334[[#This Row],[Account Withdrawl Amount]], )</f>
        <v>0</v>
      </c>
      <c r="Q293" s="243">
        <f>IF(Table334[[#This Row],[Category]]="Activities/Program",Table334[[#This Row],[Account Deposit Amount]]-Table334[[#This Row],[Account Withdrawl Amount]], )</f>
        <v>0</v>
      </c>
      <c r="R293" s="243">
        <f>IF(Table334[[#This Row],[Category]]="Travel",Table334[[#This Row],[Account Deposit Amount]]-Table334[[#This Row],[Account Withdrawl Amount]], )</f>
        <v>0</v>
      </c>
      <c r="S293" s="243">
        <f>IF(Table334[[#This Row],[Category]]="Parties Food &amp; Beverages",Table334[[#This Row],[Account Deposit Amount]]-Table334[[#This Row],[Account Withdrawl Amount]], )</f>
        <v>0</v>
      </c>
      <c r="T293" s="243">
        <f>IF(Table334[[#This Row],[Category]]="Service Projects Donation",Table334[[#This Row],[Account Deposit Amount]]-Table334[[#This Row],[Account Withdrawl Amount]], )</f>
        <v>0</v>
      </c>
      <c r="U293" s="243">
        <f>IF(Table334[[#This Row],[Category]]="Cookie Debt",Table334[[#This Row],[Account Deposit Amount]]-Table334[[#This Row],[Account Withdrawl Amount]], )</f>
        <v>0</v>
      </c>
      <c r="V293" s="243">
        <f>IF(Table334[[#This Row],[Category]]="Other Expense",Table334[[#This Row],[Account Deposit Amount]]-Table334[[#This Row],[Account Withdrawl Amount]], )</f>
        <v>0</v>
      </c>
    </row>
    <row r="294" spans="1:22">
      <c r="A294" s="225"/>
      <c r="B294" s="241"/>
      <c r="C294" s="225"/>
      <c r="D294" s="225"/>
      <c r="E294" s="242"/>
      <c r="F294" s="242"/>
      <c r="G294" s="243">
        <f t="shared" si="7"/>
        <v>2518.9699999999939</v>
      </c>
      <c r="H294" s="225"/>
      <c r="I294" s="243">
        <f>IF(Table334[[#This Row],[Category]]="Fall Product",Table334[[#This Row],[Account Deposit Amount]]-Table334[[#This Row],[Account Withdrawl Amount]], )</f>
        <v>0</v>
      </c>
      <c r="J294" s="243">
        <f>IF(Table334[[#This Row],[Category]]="Cookies",Table334[[#This Row],[Account Deposit Amount]]-Table334[[#This Row],[Account Withdrawl Amount]], )</f>
        <v>0</v>
      </c>
      <c r="K294" s="243">
        <f>IF(Table334[[#This Row],[Category]]="Additional Money Earning Activities",Table334[[#This Row],[Account Deposit Amount]]-Table334[[#This Row],[Account Withdrawl Amount]], )</f>
        <v>0</v>
      </c>
      <c r="L294" s="243">
        <f>IF(Table334[[#This Row],[Category]]="Sponsorships",Table334[[#This Row],[Account Deposit Amount]]-Table334[[#This Row],[Account Withdrawl Amount]], )</f>
        <v>0</v>
      </c>
      <c r="M294" s="243">
        <f>IF(Table334[[#This Row],[Category]]="Troop Dues",Table334[[#This Row],[Account Deposit Amount]]-Table334[[#This Row],[Account Withdrawl Amount]], )</f>
        <v>0</v>
      </c>
      <c r="N294" s="243">
        <f>IF(Table334[[#This Row],[Category]]="Other Income",Table334[[#This Row],[Account Deposit Amount]]-Table334[[#This Row],[Account Withdrawl Amount]], )</f>
        <v>0</v>
      </c>
      <c r="O294" s="243">
        <f>IF(Table334[[#This Row],[Category]]="Registration",Table334[[#This Row],[Account Deposit Amount]]-Table334[[#This Row],[Account Withdrawl Amount]], )</f>
        <v>0</v>
      </c>
      <c r="P294" s="243">
        <f>IF(Table334[[#This Row],[Category]]="Insignia",Table334[[#This Row],[Account Deposit Amount]]-Table334[[#This Row],[Account Withdrawl Amount]], )</f>
        <v>0</v>
      </c>
      <c r="Q294" s="243">
        <f>IF(Table334[[#This Row],[Category]]="Activities/Program",Table334[[#This Row],[Account Deposit Amount]]-Table334[[#This Row],[Account Withdrawl Amount]], )</f>
        <v>0</v>
      </c>
      <c r="R294" s="243">
        <f>IF(Table334[[#This Row],[Category]]="Travel",Table334[[#This Row],[Account Deposit Amount]]-Table334[[#This Row],[Account Withdrawl Amount]], )</f>
        <v>0</v>
      </c>
      <c r="S294" s="243">
        <f>IF(Table334[[#This Row],[Category]]="Parties Food &amp; Beverages",Table334[[#This Row],[Account Deposit Amount]]-Table334[[#This Row],[Account Withdrawl Amount]], )</f>
        <v>0</v>
      </c>
      <c r="T294" s="243">
        <f>IF(Table334[[#This Row],[Category]]="Service Projects Donation",Table334[[#This Row],[Account Deposit Amount]]-Table334[[#This Row],[Account Withdrawl Amount]], )</f>
        <v>0</v>
      </c>
      <c r="U294" s="243">
        <f>IF(Table334[[#This Row],[Category]]="Cookie Debt",Table334[[#This Row],[Account Deposit Amount]]-Table334[[#This Row],[Account Withdrawl Amount]], )</f>
        <v>0</v>
      </c>
      <c r="V294" s="243">
        <f>IF(Table334[[#This Row],[Category]]="Other Expense",Table334[[#This Row],[Account Deposit Amount]]-Table334[[#This Row],[Account Withdrawl Amount]], )</f>
        <v>0</v>
      </c>
    </row>
    <row r="295" spans="1:22">
      <c r="A295" s="225"/>
      <c r="B295" s="241"/>
      <c r="C295" s="225"/>
      <c r="D295" s="225"/>
      <c r="E295" s="242"/>
      <c r="F295" s="242"/>
      <c r="G295" s="243">
        <f t="shared" si="7"/>
        <v>2518.9699999999939</v>
      </c>
      <c r="H295" s="225"/>
      <c r="I295" s="243">
        <f>IF(Table334[[#This Row],[Category]]="Fall Product",Table334[[#This Row],[Account Deposit Amount]]-Table334[[#This Row],[Account Withdrawl Amount]], )</f>
        <v>0</v>
      </c>
      <c r="J295" s="243">
        <f>IF(Table334[[#This Row],[Category]]="Cookies",Table334[[#This Row],[Account Deposit Amount]]-Table334[[#This Row],[Account Withdrawl Amount]], )</f>
        <v>0</v>
      </c>
      <c r="K295" s="243">
        <f>IF(Table334[[#This Row],[Category]]="Additional Money Earning Activities",Table334[[#This Row],[Account Deposit Amount]]-Table334[[#This Row],[Account Withdrawl Amount]], )</f>
        <v>0</v>
      </c>
      <c r="L295" s="243">
        <f>IF(Table334[[#This Row],[Category]]="Sponsorships",Table334[[#This Row],[Account Deposit Amount]]-Table334[[#This Row],[Account Withdrawl Amount]], )</f>
        <v>0</v>
      </c>
      <c r="M295" s="243">
        <f>IF(Table334[[#This Row],[Category]]="Troop Dues",Table334[[#This Row],[Account Deposit Amount]]-Table334[[#This Row],[Account Withdrawl Amount]], )</f>
        <v>0</v>
      </c>
      <c r="N295" s="243">
        <f>IF(Table334[[#This Row],[Category]]="Other Income",Table334[[#This Row],[Account Deposit Amount]]-Table334[[#This Row],[Account Withdrawl Amount]], )</f>
        <v>0</v>
      </c>
      <c r="O295" s="243">
        <f>IF(Table334[[#This Row],[Category]]="Registration",Table334[[#This Row],[Account Deposit Amount]]-Table334[[#This Row],[Account Withdrawl Amount]], )</f>
        <v>0</v>
      </c>
      <c r="P295" s="243">
        <f>IF(Table334[[#This Row],[Category]]="Insignia",Table334[[#This Row],[Account Deposit Amount]]-Table334[[#This Row],[Account Withdrawl Amount]], )</f>
        <v>0</v>
      </c>
      <c r="Q295" s="243">
        <f>IF(Table334[[#This Row],[Category]]="Activities/Program",Table334[[#This Row],[Account Deposit Amount]]-Table334[[#This Row],[Account Withdrawl Amount]], )</f>
        <v>0</v>
      </c>
      <c r="R295" s="243">
        <f>IF(Table334[[#This Row],[Category]]="Travel",Table334[[#This Row],[Account Deposit Amount]]-Table334[[#This Row],[Account Withdrawl Amount]], )</f>
        <v>0</v>
      </c>
      <c r="S295" s="243">
        <f>IF(Table334[[#This Row],[Category]]="Parties Food &amp; Beverages",Table334[[#This Row],[Account Deposit Amount]]-Table334[[#This Row],[Account Withdrawl Amount]], )</f>
        <v>0</v>
      </c>
      <c r="T295" s="243">
        <f>IF(Table334[[#This Row],[Category]]="Service Projects Donation",Table334[[#This Row],[Account Deposit Amount]]-Table334[[#This Row],[Account Withdrawl Amount]], )</f>
        <v>0</v>
      </c>
      <c r="U295" s="243">
        <f>IF(Table334[[#This Row],[Category]]="Cookie Debt",Table334[[#This Row],[Account Deposit Amount]]-Table334[[#This Row],[Account Withdrawl Amount]], )</f>
        <v>0</v>
      </c>
      <c r="V295" s="243">
        <f>IF(Table334[[#This Row],[Category]]="Other Expense",Table334[[#This Row],[Account Deposit Amount]]-Table334[[#This Row],[Account Withdrawl Amount]], )</f>
        <v>0</v>
      </c>
    </row>
    <row r="296" spans="1:22">
      <c r="A296" s="225"/>
      <c r="B296" s="241"/>
      <c r="C296" s="225"/>
      <c r="D296" s="225"/>
      <c r="E296" s="242"/>
      <c r="F296" s="242"/>
      <c r="G296" s="243">
        <f t="shared" si="7"/>
        <v>2518.9699999999939</v>
      </c>
      <c r="H296" s="225"/>
      <c r="I296" s="243">
        <f>IF(Table334[[#This Row],[Category]]="Fall Product",Table334[[#This Row],[Account Deposit Amount]]-Table334[[#This Row],[Account Withdrawl Amount]], )</f>
        <v>0</v>
      </c>
      <c r="J296" s="243">
        <f>IF(Table334[[#This Row],[Category]]="Cookies",Table334[[#This Row],[Account Deposit Amount]]-Table334[[#This Row],[Account Withdrawl Amount]], )</f>
        <v>0</v>
      </c>
      <c r="K296" s="243">
        <f>IF(Table334[[#This Row],[Category]]="Additional Money Earning Activities",Table334[[#This Row],[Account Deposit Amount]]-Table334[[#This Row],[Account Withdrawl Amount]], )</f>
        <v>0</v>
      </c>
      <c r="L296" s="243">
        <f>IF(Table334[[#This Row],[Category]]="Sponsorships",Table334[[#This Row],[Account Deposit Amount]]-Table334[[#This Row],[Account Withdrawl Amount]], )</f>
        <v>0</v>
      </c>
      <c r="M296" s="243">
        <f>IF(Table334[[#This Row],[Category]]="Troop Dues",Table334[[#This Row],[Account Deposit Amount]]-Table334[[#This Row],[Account Withdrawl Amount]], )</f>
        <v>0</v>
      </c>
      <c r="N296" s="243">
        <f>IF(Table334[[#This Row],[Category]]="Other Income",Table334[[#This Row],[Account Deposit Amount]]-Table334[[#This Row],[Account Withdrawl Amount]], )</f>
        <v>0</v>
      </c>
      <c r="O296" s="243">
        <f>IF(Table334[[#This Row],[Category]]="Registration",Table334[[#This Row],[Account Deposit Amount]]-Table334[[#This Row],[Account Withdrawl Amount]], )</f>
        <v>0</v>
      </c>
      <c r="P296" s="243">
        <f>IF(Table334[[#This Row],[Category]]="Insignia",Table334[[#This Row],[Account Deposit Amount]]-Table334[[#This Row],[Account Withdrawl Amount]], )</f>
        <v>0</v>
      </c>
      <c r="Q296" s="243">
        <f>IF(Table334[[#This Row],[Category]]="Activities/Program",Table334[[#This Row],[Account Deposit Amount]]-Table334[[#This Row],[Account Withdrawl Amount]], )</f>
        <v>0</v>
      </c>
      <c r="R296" s="243">
        <f>IF(Table334[[#This Row],[Category]]="Travel",Table334[[#This Row],[Account Deposit Amount]]-Table334[[#This Row],[Account Withdrawl Amount]], )</f>
        <v>0</v>
      </c>
      <c r="S296" s="243">
        <f>IF(Table334[[#This Row],[Category]]="Parties Food &amp; Beverages",Table334[[#This Row],[Account Deposit Amount]]-Table334[[#This Row],[Account Withdrawl Amount]], )</f>
        <v>0</v>
      </c>
      <c r="T296" s="243">
        <f>IF(Table334[[#This Row],[Category]]="Service Projects Donation",Table334[[#This Row],[Account Deposit Amount]]-Table334[[#This Row],[Account Withdrawl Amount]], )</f>
        <v>0</v>
      </c>
      <c r="U296" s="243">
        <f>IF(Table334[[#This Row],[Category]]="Cookie Debt",Table334[[#This Row],[Account Deposit Amount]]-Table334[[#This Row],[Account Withdrawl Amount]], )</f>
        <v>0</v>
      </c>
      <c r="V296" s="243">
        <f>IF(Table334[[#This Row],[Category]]="Other Expense",Table334[[#This Row],[Account Deposit Amount]]-Table334[[#This Row],[Account Withdrawl Amount]], )</f>
        <v>0</v>
      </c>
    </row>
    <row r="297" spans="1:22">
      <c r="A297" s="225"/>
      <c r="B297" s="241"/>
      <c r="C297" s="225"/>
      <c r="D297" s="225"/>
      <c r="E297" s="242"/>
      <c r="F297" s="242"/>
      <c r="G297" s="243">
        <f t="shared" si="7"/>
        <v>2518.9699999999939</v>
      </c>
      <c r="H297" s="225"/>
      <c r="I297" s="243">
        <f>IF(Table334[[#This Row],[Category]]="Fall Product",Table334[[#This Row],[Account Deposit Amount]]-Table334[[#This Row],[Account Withdrawl Amount]], )</f>
        <v>0</v>
      </c>
      <c r="J297" s="243">
        <f>IF(Table334[[#This Row],[Category]]="Cookies",Table334[[#This Row],[Account Deposit Amount]]-Table334[[#This Row],[Account Withdrawl Amount]], )</f>
        <v>0</v>
      </c>
      <c r="K297" s="243">
        <f>IF(Table334[[#This Row],[Category]]="Additional Money Earning Activities",Table334[[#This Row],[Account Deposit Amount]]-Table334[[#This Row],[Account Withdrawl Amount]], )</f>
        <v>0</v>
      </c>
      <c r="L297" s="243">
        <f>IF(Table334[[#This Row],[Category]]="Sponsorships",Table334[[#This Row],[Account Deposit Amount]]-Table334[[#This Row],[Account Withdrawl Amount]], )</f>
        <v>0</v>
      </c>
      <c r="M297" s="243">
        <f>IF(Table334[[#This Row],[Category]]="Troop Dues",Table334[[#This Row],[Account Deposit Amount]]-Table334[[#This Row],[Account Withdrawl Amount]], )</f>
        <v>0</v>
      </c>
      <c r="N297" s="243">
        <f>IF(Table334[[#This Row],[Category]]="Other Income",Table334[[#This Row],[Account Deposit Amount]]-Table334[[#This Row],[Account Withdrawl Amount]], )</f>
        <v>0</v>
      </c>
      <c r="O297" s="243">
        <f>IF(Table334[[#This Row],[Category]]="Registration",Table334[[#This Row],[Account Deposit Amount]]-Table334[[#This Row],[Account Withdrawl Amount]], )</f>
        <v>0</v>
      </c>
      <c r="P297" s="243">
        <f>IF(Table334[[#This Row],[Category]]="Insignia",Table334[[#This Row],[Account Deposit Amount]]-Table334[[#This Row],[Account Withdrawl Amount]], )</f>
        <v>0</v>
      </c>
      <c r="Q297" s="243">
        <f>IF(Table334[[#This Row],[Category]]="Activities/Program",Table334[[#This Row],[Account Deposit Amount]]-Table334[[#This Row],[Account Withdrawl Amount]], )</f>
        <v>0</v>
      </c>
      <c r="R297" s="243">
        <f>IF(Table334[[#This Row],[Category]]="Travel",Table334[[#This Row],[Account Deposit Amount]]-Table334[[#This Row],[Account Withdrawl Amount]], )</f>
        <v>0</v>
      </c>
      <c r="S297" s="243">
        <f>IF(Table334[[#This Row],[Category]]="Parties Food &amp; Beverages",Table334[[#This Row],[Account Deposit Amount]]-Table334[[#This Row],[Account Withdrawl Amount]], )</f>
        <v>0</v>
      </c>
      <c r="T297" s="243">
        <f>IF(Table334[[#This Row],[Category]]="Service Projects Donation",Table334[[#This Row],[Account Deposit Amount]]-Table334[[#This Row],[Account Withdrawl Amount]], )</f>
        <v>0</v>
      </c>
      <c r="U297" s="243">
        <f>IF(Table334[[#This Row],[Category]]="Cookie Debt",Table334[[#This Row],[Account Deposit Amount]]-Table334[[#This Row],[Account Withdrawl Amount]], )</f>
        <v>0</v>
      </c>
      <c r="V297" s="243">
        <f>IF(Table334[[#This Row],[Category]]="Other Expense",Table334[[#This Row],[Account Deposit Amount]]-Table334[[#This Row],[Account Withdrawl Amount]], )</f>
        <v>0</v>
      </c>
    </row>
    <row r="298" spans="1:22">
      <c r="A298" s="225"/>
      <c r="B298" s="241"/>
      <c r="C298" s="225"/>
      <c r="D298" s="225"/>
      <c r="E298" s="242"/>
      <c r="F298" s="242"/>
      <c r="G298" s="243">
        <f t="shared" si="7"/>
        <v>2518.9699999999939</v>
      </c>
      <c r="H298" s="225"/>
      <c r="I298" s="243">
        <f>IF(Table334[[#This Row],[Category]]="Fall Product",Table334[[#This Row],[Account Deposit Amount]]-Table334[[#This Row],[Account Withdrawl Amount]], )</f>
        <v>0</v>
      </c>
      <c r="J298" s="243">
        <f>IF(Table334[[#This Row],[Category]]="Cookies",Table334[[#This Row],[Account Deposit Amount]]-Table334[[#This Row],[Account Withdrawl Amount]], )</f>
        <v>0</v>
      </c>
      <c r="K298" s="243">
        <f>IF(Table334[[#This Row],[Category]]="Additional Money Earning Activities",Table334[[#This Row],[Account Deposit Amount]]-Table334[[#This Row],[Account Withdrawl Amount]], )</f>
        <v>0</v>
      </c>
      <c r="L298" s="243">
        <f>IF(Table334[[#This Row],[Category]]="Sponsorships",Table334[[#This Row],[Account Deposit Amount]]-Table334[[#This Row],[Account Withdrawl Amount]], )</f>
        <v>0</v>
      </c>
      <c r="M298" s="243">
        <f>IF(Table334[[#This Row],[Category]]="Troop Dues",Table334[[#This Row],[Account Deposit Amount]]-Table334[[#This Row],[Account Withdrawl Amount]], )</f>
        <v>0</v>
      </c>
      <c r="N298" s="243">
        <f>IF(Table334[[#This Row],[Category]]="Other Income",Table334[[#This Row],[Account Deposit Amount]]-Table334[[#This Row],[Account Withdrawl Amount]], )</f>
        <v>0</v>
      </c>
      <c r="O298" s="243">
        <f>IF(Table334[[#This Row],[Category]]="Registration",Table334[[#This Row],[Account Deposit Amount]]-Table334[[#This Row],[Account Withdrawl Amount]], )</f>
        <v>0</v>
      </c>
      <c r="P298" s="243">
        <f>IF(Table334[[#This Row],[Category]]="Insignia",Table334[[#This Row],[Account Deposit Amount]]-Table334[[#This Row],[Account Withdrawl Amount]], )</f>
        <v>0</v>
      </c>
      <c r="Q298" s="243">
        <f>IF(Table334[[#This Row],[Category]]="Activities/Program",Table334[[#This Row],[Account Deposit Amount]]-Table334[[#This Row],[Account Withdrawl Amount]], )</f>
        <v>0</v>
      </c>
      <c r="R298" s="243">
        <f>IF(Table334[[#This Row],[Category]]="Travel",Table334[[#This Row],[Account Deposit Amount]]-Table334[[#This Row],[Account Withdrawl Amount]], )</f>
        <v>0</v>
      </c>
      <c r="S298" s="243">
        <f>IF(Table334[[#This Row],[Category]]="Parties Food &amp; Beverages",Table334[[#This Row],[Account Deposit Amount]]-Table334[[#This Row],[Account Withdrawl Amount]], )</f>
        <v>0</v>
      </c>
      <c r="T298" s="243">
        <f>IF(Table334[[#This Row],[Category]]="Service Projects Donation",Table334[[#This Row],[Account Deposit Amount]]-Table334[[#This Row],[Account Withdrawl Amount]], )</f>
        <v>0</v>
      </c>
      <c r="U298" s="243">
        <f>IF(Table334[[#This Row],[Category]]="Cookie Debt",Table334[[#This Row],[Account Deposit Amount]]-Table334[[#This Row],[Account Withdrawl Amount]], )</f>
        <v>0</v>
      </c>
      <c r="V298" s="243">
        <f>IF(Table334[[#This Row],[Category]]="Other Expense",Table334[[#This Row],[Account Deposit Amount]]-Table334[[#This Row],[Account Withdrawl Amount]], )</f>
        <v>0</v>
      </c>
    </row>
    <row r="299" spans="1:22">
      <c r="A299" s="225"/>
      <c r="B299" s="241"/>
      <c r="C299" s="225"/>
      <c r="D299" s="225"/>
      <c r="E299" s="242"/>
      <c r="F299" s="242"/>
      <c r="G299" s="243">
        <f t="shared" si="7"/>
        <v>2518.9699999999939</v>
      </c>
      <c r="H299" s="225"/>
      <c r="I299" s="243">
        <f>IF(Table334[[#This Row],[Category]]="Fall Product",Table334[[#This Row],[Account Deposit Amount]]-Table334[[#This Row],[Account Withdrawl Amount]], )</f>
        <v>0</v>
      </c>
      <c r="J299" s="243">
        <f>IF(Table334[[#This Row],[Category]]="Cookies",Table334[[#This Row],[Account Deposit Amount]]-Table334[[#This Row],[Account Withdrawl Amount]], )</f>
        <v>0</v>
      </c>
      <c r="K299" s="243">
        <f>IF(Table334[[#This Row],[Category]]="Additional Money Earning Activities",Table334[[#This Row],[Account Deposit Amount]]-Table334[[#This Row],[Account Withdrawl Amount]], )</f>
        <v>0</v>
      </c>
      <c r="L299" s="243">
        <f>IF(Table334[[#This Row],[Category]]="Sponsorships",Table334[[#This Row],[Account Deposit Amount]]-Table334[[#This Row],[Account Withdrawl Amount]], )</f>
        <v>0</v>
      </c>
      <c r="M299" s="243">
        <f>IF(Table334[[#This Row],[Category]]="Troop Dues",Table334[[#This Row],[Account Deposit Amount]]-Table334[[#This Row],[Account Withdrawl Amount]], )</f>
        <v>0</v>
      </c>
      <c r="N299" s="243">
        <f>IF(Table334[[#This Row],[Category]]="Other Income",Table334[[#This Row],[Account Deposit Amount]]-Table334[[#This Row],[Account Withdrawl Amount]], )</f>
        <v>0</v>
      </c>
      <c r="O299" s="243">
        <f>IF(Table334[[#This Row],[Category]]="Registration",Table334[[#This Row],[Account Deposit Amount]]-Table334[[#This Row],[Account Withdrawl Amount]], )</f>
        <v>0</v>
      </c>
      <c r="P299" s="243">
        <f>IF(Table334[[#This Row],[Category]]="Insignia",Table334[[#This Row],[Account Deposit Amount]]-Table334[[#This Row],[Account Withdrawl Amount]], )</f>
        <v>0</v>
      </c>
      <c r="Q299" s="243">
        <f>IF(Table334[[#This Row],[Category]]="Activities/Program",Table334[[#This Row],[Account Deposit Amount]]-Table334[[#This Row],[Account Withdrawl Amount]], )</f>
        <v>0</v>
      </c>
      <c r="R299" s="243">
        <f>IF(Table334[[#This Row],[Category]]="Travel",Table334[[#This Row],[Account Deposit Amount]]-Table334[[#This Row],[Account Withdrawl Amount]], )</f>
        <v>0</v>
      </c>
      <c r="S299" s="243">
        <f>IF(Table334[[#This Row],[Category]]="Parties Food &amp; Beverages",Table334[[#This Row],[Account Deposit Amount]]-Table334[[#This Row],[Account Withdrawl Amount]], )</f>
        <v>0</v>
      </c>
      <c r="T299" s="243">
        <f>IF(Table334[[#This Row],[Category]]="Service Projects Donation",Table334[[#This Row],[Account Deposit Amount]]-Table334[[#This Row],[Account Withdrawl Amount]], )</f>
        <v>0</v>
      </c>
      <c r="U299" s="243">
        <f>IF(Table334[[#This Row],[Category]]="Cookie Debt",Table334[[#This Row],[Account Deposit Amount]]-Table334[[#This Row],[Account Withdrawl Amount]], )</f>
        <v>0</v>
      </c>
      <c r="V299" s="243">
        <f>IF(Table334[[#This Row],[Category]]="Other Expense",Table334[[#This Row],[Account Deposit Amount]]-Table334[[#This Row],[Account Withdrawl Amount]], )</f>
        <v>0</v>
      </c>
    </row>
    <row r="300" spans="1:22">
      <c r="A300" s="225"/>
      <c r="B300" s="241"/>
      <c r="C300" s="225"/>
      <c r="D300" s="225"/>
      <c r="E300" s="242"/>
      <c r="F300" s="242"/>
      <c r="G300" s="243">
        <f t="shared" si="7"/>
        <v>2518.9699999999939</v>
      </c>
      <c r="H300" s="225"/>
      <c r="I300" s="243">
        <f>IF(Table334[[#This Row],[Category]]="Fall Product",Table334[[#This Row],[Account Deposit Amount]]-Table334[[#This Row],[Account Withdrawl Amount]], )</f>
        <v>0</v>
      </c>
      <c r="J300" s="243">
        <f>IF(Table334[[#This Row],[Category]]="Cookies",Table334[[#This Row],[Account Deposit Amount]]-Table334[[#This Row],[Account Withdrawl Amount]], )</f>
        <v>0</v>
      </c>
      <c r="K300" s="243">
        <f>IF(Table334[[#This Row],[Category]]="Additional Money Earning Activities",Table334[[#This Row],[Account Deposit Amount]]-Table334[[#This Row],[Account Withdrawl Amount]], )</f>
        <v>0</v>
      </c>
      <c r="L300" s="243">
        <f>IF(Table334[[#This Row],[Category]]="Sponsorships",Table334[[#This Row],[Account Deposit Amount]]-Table334[[#This Row],[Account Withdrawl Amount]], )</f>
        <v>0</v>
      </c>
      <c r="M300" s="243">
        <f>IF(Table334[[#This Row],[Category]]="Troop Dues",Table334[[#This Row],[Account Deposit Amount]]-Table334[[#This Row],[Account Withdrawl Amount]], )</f>
        <v>0</v>
      </c>
      <c r="N300" s="243">
        <f>IF(Table334[[#This Row],[Category]]="Other Income",Table334[[#This Row],[Account Deposit Amount]]-Table334[[#This Row],[Account Withdrawl Amount]], )</f>
        <v>0</v>
      </c>
      <c r="O300" s="243">
        <f>IF(Table334[[#This Row],[Category]]="Registration",Table334[[#This Row],[Account Deposit Amount]]-Table334[[#This Row],[Account Withdrawl Amount]], )</f>
        <v>0</v>
      </c>
      <c r="P300" s="243">
        <f>IF(Table334[[#This Row],[Category]]="Insignia",Table334[[#This Row],[Account Deposit Amount]]-Table334[[#This Row],[Account Withdrawl Amount]], )</f>
        <v>0</v>
      </c>
      <c r="Q300" s="243">
        <f>IF(Table334[[#This Row],[Category]]="Activities/Program",Table334[[#This Row],[Account Deposit Amount]]-Table334[[#This Row],[Account Withdrawl Amount]], )</f>
        <v>0</v>
      </c>
      <c r="R300" s="243">
        <f>IF(Table334[[#This Row],[Category]]="Travel",Table334[[#This Row],[Account Deposit Amount]]-Table334[[#This Row],[Account Withdrawl Amount]], )</f>
        <v>0</v>
      </c>
      <c r="S300" s="243">
        <f>IF(Table334[[#This Row],[Category]]="Parties Food &amp; Beverages",Table334[[#This Row],[Account Deposit Amount]]-Table334[[#This Row],[Account Withdrawl Amount]], )</f>
        <v>0</v>
      </c>
      <c r="T300" s="243">
        <f>IF(Table334[[#This Row],[Category]]="Service Projects Donation",Table334[[#This Row],[Account Deposit Amount]]-Table334[[#This Row],[Account Withdrawl Amount]], )</f>
        <v>0</v>
      </c>
      <c r="U300" s="243">
        <f>IF(Table334[[#This Row],[Category]]="Cookie Debt",Table334[[#This Row],[Account Deposit Amount]]-Table334[[#This Row],[Account Withdrawl Amount]], )</f>
        <v>0</v>
      </c>
      <c r="V300" s="243">
        <f>IF(Table334[[#This Row],[Category]]="Other Expense",Table334[[#This Row],[Account Deposit Amount]]-Table334[[#This Row],[Account Withdrawl Amount]], )</f>
        <v>0</v>
      </c>
    </row>
    <row r="301" spans="1:22">
      <c r="A301" s="225"/>
      <c r="B301" s="241"/>
      <c r="C301" s="225"/>
      <c r="D301" s="225"/>
      <c r="E301" s="242"/>
      <c r="F301" s="242"/>
      <c r="G301" s="243">
        <f t="shared" si="7"/>
        <v>2518.9699999999939</v>
      </c>
      <c r="H301" s="225"/>
      <c r="I301" s="243">
        <f>IF(Table334[[#This Row],[Category]]="Fall Product",Table334[[#This Row],[Account Deposit Amount]]-Table334[[#This Row],[Account Withdrawl Amount]], )</f>
        <v>0</v>
      </c>
      <c r="J301" s="243">
        <f>IF(Table334[[#This Row],[Category]]="Cookies",Table334[[#This Row],[Account Deposit Amount]]-Table334[[#This Row],[Account Withdrawl Amount]], )</f>
        <v>0</v>
      </c>
      <c r="K301" s="243">
        <f>IF(Table334[[#This Row],[Category]]="Additional Money Earning Activities",Table334[[#This Row],[Account Deposit Amount]]-Table334[[#This Row],[Account Withdrawl Amount]], )</f>
        <v>0</v>
      </c>
      <c r="L301" s="243">
        <f>IF(Table334[[#This Row],[Category]]="Sponsorships",Table334[[#This Row],[Account Deposit Amount]]-Table334[[#This Row],[Account Withdrawl Amount]], )</f>
        <v>0</v>
      </c>
      <c r="M301" s="243">
        <f>IF(Table334[[#This Row],[Category]]="Troop Dues",Table334[[#This Row],[Account Deposit Amount]]-Table334[[#This Row],[Account Withdrawl Amount]], )</f>
        <v>0</v>
      </c>
      <c r="N301" s="243">
        <f>IF(Table334[[#This Row],[Category]]="Other Income",Table334[[#This Row],[Account Deposit Amount]]-Table334[[#This Row],[Account Withdrawl Amount]], )</f>
        <v>0</v>
      </c>
      <c r="O301" s="243">
        <f>IF(Table334[[#This Row],[Category]]="Registration",Table334[[#This Row],[Account Deposit Amount]]-Table334[[#This Row],[Account Withdrawl Amount]], )</f>
        <v>0</v>
      </c>
      <c r="P301" s="243">
        <f>IF(Table334[[#This Row],[Category]]="Insignia",Table334[[#This Row],[Account Deposit Amount]]-Table334[[#This Row],[Account Withdrawl Amount]], )</f>
        <v>0</v>
      </c>
      <c r="Q301" s="243">
        <f>IF(Table334[[#This Row],[Category]]="Activities/Program",Table334[[#This Row],[Account Deposit Amount]]-Table334[[#This Row],[Account Withdrawl Amount]], )</f>
        <v>0</v>
      </c>
      <c r="R301" s="243">
        <f>IF(Table334[[#This Row],[Category]]="Travel",Table334[[#This Row],[Account Deposit Amount]]-Table334[[#This Row],[Account Withdrawl Amount]], )</f>
        <v>0</v>
      </c>
      <c r="S301" s="243">
        <f>IF(Table334[[#This Row],[Category]]="Parties Food &amp; Beverages",Table334[[#This Row],[Account Deposit Amount]]-Table334[[#This Row],[Account Withdrawl Amount]], )</f>
        <v>0</v>
      </c>
      <c r="T301" s="243">
        <f>IF(Table334[[#This Row],[Category]]="Service Projects Donation",Table334[[#This Row],[Account Deposit Amount]]-Table334[[#This Row],[Account Withdrawl Amount]], )</f>
        <v>0</v>
      </c>
      <c r="U301" s="243">
        <f>IF(Table334[[#This Row],[Category]]="Cookie Debt",Table334[[#This Row],[Account Deposit Amount]]-Table334[[#This Row],[Account Withdrawl Amount]], )</f>
        <v>0</v>
      </c>
      <c r="V301" s="243">
        <f>IF(Table334[[#This Row],[Category]]="Other Expense",Table334[[#This Row],[Account Deposit Amount]]-Table334[[#This Row],[Account Withdrawl Amount]], )</f>
        <v>0</v>
      </c>
    </row>
    <row r="302" spans="1:22">
      <c r="A302" s="225"/>
      <c r="B302" s="241"/>
      <c r="C302" s="225"/>
      <c r="D302" s="225"/>
      <c r="E302" s="242"/>
      <c r="F302" s="242"/>
      <c r="G302" s="243">
        <f t="shared" si="7"/>
        <v>2518.9699999999939</v>
      </c>
      <c r="H302" s="225"/>
      <c r="I302" s="243">
        <f>IF(Table334[[#This Row],[Category]]="Fall Product",Table334[[#This Row],[Account Deposit Amount]]-Table334[[#This Row],[Account Withdrawl Amount]], )</f>
        <v>0</v>
      </c>
      <c r="J302" s="243">
        <f>IF(Table334[[#This Row],[Category]]="Cookies",Table334[[#This Row],[Account Deposit Amount]]-Table334[[#This Row],[Account Withdrawl Amount]], )</f>
        <v>0</v>
      </c>
      <c r="K302" s="243">
        <f>IF(Table334[[#This Row],[Category]]="Additional Money Earning Activities",Table334[[#This Row],[Account Deposit Amount]]-Table334[[#This Row],[Account Withdrawl Amount]], )</f>
        <v>0</v>
      </c>
      <c r="L302" s="243">
        <f>IF(Table334[[#This Row],[Category]]="Sponsorships",Table334[[#This Row],[Account Deposit Amount]]-Table334[[#This Row],[Account Withdrawl Amount]], )</f>
        <v>0</v>
      </c>
      <c r="M302" s="243">
        <f>IF(Table334[[#This Row],[Category]]="Troop Dues",Table334[[#This Row],[Account Deposit Amount]]-Table334[[#This Row],[Account Withdrawl Amount]], )</f>
        <v>0</v>
      </c>
      <c r="N302" s="243">
        <f>IF(Table334[[#This Row],[Category]]="Other Income",Table334[[#This Row],[Account Deposit Amount]]-Table334[[#This Row],[Account Withdrawl Amount]], )</f>
        <v>0</v>
      </c>
      <c r="O302" s="243">
        <f>IF(Table334[[#This Row],[Category]]="Registration",Table334[[#This Row],[Account Deposit Amount]]-Table334[[#This Row],[Account Withdrawl Amount]], )</f>
        <v>0</v>
      </c>
      <c r="P302" s="243">
        <f>IF(Table334[[#This Row],[Category]]="Insignia",Table334[[#This Row],[Account Deposit Amount]]-Table334[[#This Row],[Account Withdrawl Amount]], )</f>
        <v>0</v>
      </c>
      <c r="Q302" s="243">
        <f>IF(Table334[[#This Row],[Category]]="Activities/Program",Table334[[#This Row],[Account Deposit Amount]]-Table334[[#This Row],[Account Withdrawl Amount]], )</f>
        <v>0</v>
      </c>
      <c r="R302" s="243">
        <f>IF(Table334[[#This Row],[Category]]="Travel",Table334[[#This Row],[Account Deposit Amount]]-Table334[[#This Row],[Account Withdrawl Amount]], )</f>
        <v>0</v>
      </c>
      <c r="S302" s="243">
        <f>IF(Table334[[#This Row],[Category]]="Parties Food &amp; Beverages",Table334[[#This Row],[Account Deposit Amount]]-Table334[[#This Row],[Account Withdrawl Amount]], )</f>
        <v>0</v>
      </c>
      <c r="T302" s="243">
        <f>IF(Table334[[#This Row],[Category]]="Service Projects Donation",Table334[[#This Row],[Account Deposit Amount]]-Table334[[#This Row],[Account Withdrawl Amount]], )</f>
        <v>0</v>
      </c>
      <c r="U302" s="243">
        <f>IF(Table334[[#This Row],[Category]]="Cookie Debt",Table334[[#This Row],[Account Deposit Amount]]-Table334[[#This Row],[Account Withdrawl Amount]], )</f>
        <v>0</v>
      </c>
      <c r="V302" s="243">
        <f>IF(Table334[[#This Row],[Category]]="Other Expense",Table334[[#This Row],[Account Deposit Amount]]-Table334[[#This Row],[Account Withdrawl Amount]], )</f>
        <v>0</v>
      </c>
    </row>
    <row r="303" spans="1:22">
      <c r="A303" s="225"/>
      <c r="B303" s="241"/>
      <c r="C303" s="225"/>
      <c r="D303" s="225"/>
      <c r="E303" s="242"/>
      <c r="F303" s="242"/>
      <c r="G303" s="243">
        <f t="shared" si="7"/>
        <v>2518.9699999999939</v>
      </c>
      <c r="H303" s="225"/>
      <c r="I303" s="243">
        <f>IF(Table334[[#This Row],[Category]]="Fall Product",Table334[[#This Row],[Account Deposit Amount]]-Table334[[#This Row],[Account Withdrawl Amount]], )</f>
        <v>0</v>
      </c>
      <c r="J303" s="243">
        <f>IF(Table334[[#This Row],[Category]]="Cookies",Table334[[#This Row],[Account Deposit Amount]]-Table334[[#This Row],[Account Withdrawl Amount]], )</f>
        <v>0</v>
      </c>
      <c r="K303" s="243">
        <f>IF(Table334[[#This Row],[Category]]="Additional Money Earning Activities",Table334[[#This Row],[Account Deposit Amount]]-Table334[[#This Row],[Account Withdrawl Amount]], )</f>
        <v>0</v>
      </c>
      <c r="L303" s="243">
        <f>IF(Table334[[#This Row],[Category]]="Sponsorships",Table334[[#This Row],[Account Deposit Amount]]-Table334[[#This Row],[Account Withdrawl Amount]], )</f>
        <v>0</v>
      </c>
      <c r="M303" s="243">
        <f>IF(Table334[[#This Row],[Category]]="Troop Dues",Table334[[#This Row],[Account Deposit Amount]]-Table334[[#This Row],[Account Withdrawl Amount]], )</f>
        <v>0</v>
      </c>
      <c r="N303" s="243">
        <f>IF(Table334[[#This Row],[Category]]="Other Income",Table334[[#This Row],[Account Deposit Amount]]-Table334[[#This Row],[Account Withdrawl Amount]], )</f>
        <v>0</v>
      </c>
      <c r="O303" s="243">
        <f>IF(Table334[[#This Row],[Category]]="Registration",Table334[[#This Row],[Account Deposit Amount]]-Table334[[#This Row],[Account Withdrawl Amount]], )</f>
        <v>0</v>
      </c>
      <c r="P303" s="243">
        <f>IF(Table334[[#This Row],[Category]]="Insignia",Table334[[#This Row],[Account Deposit Amount]]-Table334[[#This Row],[Account Withdrawl Amount]], )</f>
        <v>0</v>
      </c>
      <c r="Q303" s="243">
        <f>IF(Table334[[#This Row],[Category]]="Activities/Program",Table334[[#This Row],[Account Deposit Amount]]-Table334[[#This Row],[Account Withdrawl Amount]], )</f>
        <v>0</v>
      </c>
      <c r="R303" s="243">
        <f>IF(Table334[[#This Row],[Category]]="Travel",Table334[[#This Row],[Account Deposit Amount]]-Table334[[#This Row],[Account Withdrawl Amount]], )</f>
        <v>0</v>
      </c>
      <c r="S303" s="243">
        <f>IF(Table334[[#This Row],[Category]]="Parties Food &amp; Beverages",Table334[[#This Row],[Account Deposit Amount]]-Table334[[#This Row],[Account Withdrawl Amount]], )</f>
        <v>0</v>
      </c>
      <c r="T303" s="243">
        <f>IF(Table334[[#This Row],[Category]]="Service Projects Donation",Table334[[#This Row],[Account Deposit Amount]]-Table334[[#This Row],[Account Withdrawl Amount]], )</f>
        <v>0</v>
      </c>
      <c r="U303" s="243">
        <f>IF(Table334[[#This Row],[Category]]="Cookie Debt",Table334[[#This Row],[Account Deposit Amount]]-Table334[[#This Row],[Account Withdrawl Amount]], )</f>
        <v>0</v>
      </c>
      <c r="V303" s="243">
        <f>IF(Table334[[#This Row],[Category]]="Other Expense",Table334[[#This Row],[Account Deposit Amount]]-Table334[[#This Row],[Account Withdrawl Amount]], )</f>
        <v>0</v>
      </c>
    </row>
    <row r="304" spans="1:22">
      <c r="A304" s="225"/>
      <c r="B304" s="241"/>
      <c r="C304" s="225"/>
      <c r="D304" s="225"/>
      <c r="E304" s="242"/>
      <c r="F304" s="242"/>
      <c r="G304" s="243">
        <f t="shared" si="7"/>
        <v>2518.9699999999939</v>
      </c>
      <c r="H304" s="225"/>
      <c r="I304" s="243">
        <f>IF(Table334[[#This Row],[Category]]="Fall Product",Table334[[#This Row],[Account Deposit Amount]]-Table334[[#This Row],[Account Withdrawl Amount]], )</f>
        <v>0</v>
      </c>
      <c r="J304" s="243">
        <f>IF(Table334[[#This Row],[Category]]="Cookies",Table334[[#This Row],[Account Deposit Amount]]-Table334[[#This Row],[Account Withdrawl Amount]], )</f>
        <v>0</v>
      </c>
      <c r="K304" s="243">
        <f>IF(Table334[[#This Row],[Category]]="Additional Money Earning Activities",Table334[[#This Row],[Account Deposit Amount]]-Table334[[#This Row],[Account Withdrawl Amount]], )</f>
        <v>0</v>
      </c>
      <c r="L304" s="243">
        <f>IF(Table334[[#This Row],[Category]]="Sponsorships",Table334[[#This Row],[Account Deposit Amount]]-Table334[[#This Row],[Account Withdrawl Amount]], )</f>
        <v>0</v>
      </c>
      <c r="M304" s="243">
        <f>IF(Table334[[#This Row],[Category]]="Troop Dues",Table334[[#This Row],[Account Deposit Amount]]-Table334[[#This Row],[Account Withdrawl Amount]], )</f>
        <v>0</v>
      </c>
      <c r="N304" s="243">
        <f>IF(Table334[[#This Row],[Category]]="Other Income",Table334[[#This Row],[Account Deposit Amount]]-Table334[[#This Row],[Account Withdrawl Amount]], )</f>
        <v>0</v>
      </c>
      <c r="O304" s="243">
        <f>IF(Table334[[#This Row],[Category]]="Registration",Table334[[#This Row],[Account Deposit Amount]]-Table334[[#This Row],[Account Withdrawl Amount]], )</f>
        <v>0</v>
      </c>
      <c r="P304" s="243">
        <f>IF(Table334[[#This Row],[Category]]="Insignia",Table334[[#This Row],[Account Deposit Amount]]-Table334[[#This Row],[Account Withdrawl Amount]], )</f>
        <v>0</v>
      </c>
      <c r="Q304" s="243">
        <f>IF(Table334[[#This Row],[Category]]="Activities/Program",Table334[[#This Row],[Account Deposit Amount]]-Table334[[#This Row],[Account Withdrawl Amount]], )</f>
        <v>0</v>
      </c>
      <c r="R304" s="243">
        <f>IF(Table334[[#This Row],[Category]]="Travel",Table334[[#This Row],[Account Deposit Amount]]-Table334[[#This Row],[Account Withdrawl Amount]], )</f>
        <v>0</v>
      </c>
      <c r="S304" s="243">
        <f>IF(Table334[[#This Row],[Category]]="Parties Food &amp; Beverages",Table334[[#This Row],[Account Deposit Amount]]-Table334[[#This Row],[Account Withdrawl Amount]], )</f>
        <v>0</v>
      </c>
      <c r="T304" s="243">
        <f>IF(Table334[[#This Row],[Category]]="Service Projects Donation",Table334[[#This Row],[Account Deposit Amount]]-Table334[[#This Row],[Account Withdrawl Amount]], )</f>
        <v>0</v>
      </c>
      <c r="U304" s="243">
        <f>IF(Table334[[#This Row],[Category]]="Cookie Debt",Table334[[#This Row],[Account Deposit Amount]]-Table334[[#This Row],[Account Withdrawl Amount]], )</f>
        <v>0</v>
      </c>
      <c r="V304" s="243">
        <f>IF(Table334[[#This Row],[Category]]="Other Expense",Table334[[#This Row],[Account Deposit Amount]]-Table334[[#This Row],[Account Withdrawl Amount]], )</f>
        <v>0</v>
      </c>
    </row>
    <row r="305" spans="1:22">
      <c r="A305" s="225"/>
      <c r="B305" s="241"/>
      <c r="C305" s="225"/>
      <c r="D305" s="225"/>
      <c r="E305" s="242"/>
      <c r="F305" s="242"/>
      <c r="G305" s="243">
        <f t="shared" si="7"/>
        <v>2518.9699999999939</v>
      </c>
      <c r="H305" s="225"/>
      <c r="I305" s="243">
        <f>IF(Table334[[#This Row],[Category]]="Fall Product",Table334[[#This Row],[Account Deposit Amount]]-Table334[[#This Row],[Account Withdrawl Amount]], )</f>
        <v>0</v>
      </c>
      <c r="J305" s="243">
        <f>IF(Table334[[#This Row],[Category]]="Cookies",Table334[[#This Row],[Account Deposit Amount]]-Table334[[#This Row],[Account Withdrawl Amount]], )</f>
        <v>0</v>
      </c>
      <c r="K305" s="243">
        <f>IF(Table334[[#This Row],[Category]]="Additional Money Earning Activities",Table334[[#This Row],[Account Deposit Amount]]-Table334[[#This Row],[Account Withdrawl Amount]], )</f>
        <v>0</v>
      </c>
      <c r="L305" s="243">
        <f>IF(Table334[[#This Row],[Category]]="Sponsorships",Table334[[#This Row],[Account Deposit Amount]]-Table334[[#This Row],[Account Withdrawl Amount]], )</f>
        <v>0</v>
      </c>
      <c r="M305" s="243">
        <f>IF(Table334[[#This Row],[Category]]="Troop Dues",Table334[[#This Row],[Account Deposit Amount]]-Table334[[#This Row],[Account Withdrawl Amount]], )</f>
        <v>0</v>
      </c>
      <c r="N305" s="243">
        <f>IF(Table334[[#This Row],[Category]]="Other Income",Table334[[#This Row],[Account Deposit Amount]]-Table334[[#This Row],[Account Withdrawl Amount]], )</f>
        <v>0</v>
      </c>
      <c r="O305" s="243">
        <f>IF(Table334[[#This Row],[Category]]="Registration",Table334[[#This Row],[Account Deposit Amount]]-Table334[[#This Row],[Account Withdrawl Amount]], )</f>
        <v>0</v>
      </c>
      <c r="P305" s="243">
        <f>IF(Table334[[#This Row],[Category]]="Insignia",Table334[[#This Row],[Account Deposit Amount]]-Table334[[#This Row],[Account Withdrawl Amount]], )</f>
        <v>0</v>
      </c>
      <c r="Q305" s="243">
        <f>IF(Table334[[#This Row],[Category]]="Activities/Program",Table334[[#This Row],[Account Deposit Amount]]-Table334[[#This Row],[Account Withdrawl Amount]], )</f>
        <v>0</v>
      </c>
      <c r="R305" s="243">
        <f>IF(Table334[[#This Row],[Category]]="Travel",Table334[[#This Row],[Account Deposit Amount]]-Table334[[#This Row],[Account Withdrawl Amount]], )</f>
        <v>0</v>
      </c>
      <c r="S305" s="243">
        <f>IF(Table334[[#This Row],[Category]]="Parties Food &amp; Beverages",Table334[[#This Row],[Account Deposit Amount]]-Table334[[#This Row],[Account Withdrawl Amount]], )</f>
        <v>0</v>
      </c>
      <c r="T305" s="243">
        <f>IF(Table334[[#This Row],[Category]]="Service Projects Donation",Table334[[#This Row],[Account Deposit Amount]]-Table334[[#This Row],[Account Withdrawl Amount]], )</f>
        <v>0</v>
      </c>
      <c r="U305" s="243">
        <f>IF(Table334[[#This Row],[Category]]="Cookie Debt",Table334[[#This Row],[Account Deposit Amount]]-Table334[[#This Row],[Account Withdrawl Amount]], )</f>
        <v>0</v>
      </c>
      <c r="V305" s="243">
        <f>IF(Table334[[#This Row],[Category]]="Other Expense",Table334[[#This Row],[Account Deposit Amount]]-Table334[[#This Row],[Account Withdrawl Amount]], )</f>
        <v>0</v>
      </c>
    </row>
    <row r="306" spans="1:22">
      <c r="A306" s="225"/>
      <c r="B306" s="241"/>
      <c r="C306" s="225"/>
      <c r="D306" s="225"/>
      <c r="E306" s="242"/>
      <c r="F306" s="242"/>
      <c r="G306" s="243">
        <f t="shared" si="7"/>
        <v>2518.9699999999939</v>
      </c>
      <c r="H306" s="225"/>
      <c r="I306" s="243">
        <f>IF(Table334[[#This Row],[Category]]="Fall Product",Table334[[#This Row],[Account Deposit Amount]]-Table334[[#This Row],[Account Withdrawl Amount]], )</f>
        <v>0</v>
      </c>
      <c r="J306" s="243">
        <f>IF(Table334[[#This Row],[Category]]="Cookies",Table334[[#This Row],[Account Deposit Amount]]-Table334[[#This Row],[Account Withdrawl Amount]], )</f>
        <v>0</v>
      </c>
      <c r="K306" s="243">
        <f>IF(Table334[[#This Row],[Category]]="Additional Money Earning Activities",Table334[[#This Row],[Account Deposit Amount]]-Table334[[#This Row],[Account Withdrawl Amount]], )</f>
        <v>0</v>
      </c>
      <c r="L306" s="243">
        <f>IF(Table334[[#This Row],[Category]]="Sponsorships",Table334[[#This Row],[Account Deposit Amount]]-Table334[[#This Row],[Account Withdrawl Amount]], )</f>
        <v>0</v>
      </c>
      <c r="M306" s="243">
        <f>IF(Table334[[#This Row],[Category]]="Troop Dues",Table334[[#This Row],[Account Deposit Amount]]-Table334[[#This Row],[Account Withdrawl Amount]], )</f>
        <v>0</v>
      </c>
      <c r="N306" s="243">
        <f>IF(Table334[[#This Row],[Category]]="Other Income",Table334[[#This Row],[Account Deposit Amount]]-Table334[[#This Row],[Account Withdrawl Amount]], )</f>
        <v>0</v>
      </c>
      <c r="O306" s="243">
        <f>IF(Table334[[#This Row],[Category]]="Registration",Table334[[#This Row],[Account Deposit Amount]]-Table334[[#This Row],[Account Withdrawl Amount]], )</f>
        <v>0</v>
      </c>
      <c r="P306" s="243">
        <f>IF(Table334[[#This Row],[Category]]="Insignia",Table334[[#This Row],[Account Deposit Amount]]-Table334[[#This Row],[Account Withdrawl Amount]], )</f>
        <v>0</v>
      </c>
      <c r="Q306" s="243">
        <f>IF(Table334[[#This Row],[Category]]="Activities/Program",Table334[[#This Row],[Account Deposit Amount]]-Table334[[#This Row],[Account Withdrawl Amount]], )</f>
        <v>0</v>
      </c>
      <c r="R306" s="243">
        <f>IF(Table334[[#This Row],[Category]]="Travel",Table334[[#This Row],[Account Deposit Amount]]-Table334[[#This Row],[Account Withdrawl Amount]], )</f>
        <v>0</v>
      </c>
      <c r="S306" s="243">
        <f>IF(Table334[[#This Row],[Category]]="Parties Food &amp; Beverages",Table334[[#This Row],[Account Deposit Amount]]-Table334[[#This Row],[Account Withdrawl Amount]], )</f>
        <v>0</v>
      </c>
      <c r="T306" s="243">
        <f>IF(Table334[[#This Row],[Category]]="Service Projects Donation",Table334[[#This Row],[Account Deposit Amount]]-Table334[[#This Row],[Account Withdrawl Amount]], )</f>
        <v>0</v>
      </c>
      <c r="U306" s="243">
        <f>IF(Table334[[#This Row],[Category]]="Cookie Debt",Table334[[#This Row],[Account Deposit Amount]]-Table334[[#This Row],[Account Withdrawl Amount]], )</f>
        <v>0</v>
      </c>
      <c r="V306" s="243">
        <f>IF(Table334[[#This Row],[Category]]="Other Expense",Table334[[#This Row],[Account Deposit Amount]]-Table334[[#This Row],[Account Withdrawl Amount]], )</f>
        <v>0</v>
      </c>
    </row>
    <row r="307" spans="1:22">
      <c r="A307" s="225"/>
      <c r="B307" s="241"/>
      <c r="C307" s="225"/>
      <c r="D307" s="225"/>
      <c r="E307" s="242"/>
      <c r="F307" s="242"/>
      <c r="G307" s="243">
        <f t="shared" si="7"/>
        <v>2518.9699999999939</v>
      </c>
      <c r="H307" s="225"/>
      <c r="I307" s="243">
        <f>IF(Table334[[#This Row],[Category]]="Fall Product",Table334[[#This Row],[Account Deposit Amount]]-Table334[[#This Row],[Account Withdrawl Amount]], )</f>
        <v>0</v>
      </c>
      <c r="J307" s="243">
        <f>IF(Table334[[#This Row],[Category]]="Cookies",Table334[[#This Row],[Account Deposit Amount]]-Table334[[#This Row],[Account Withdrawl Amount]], )</f>
        <v>0</v>
      </c>
      <c r="K307" s="243">
        <f>IF(Table334[[#This Row],[Category]]="Additional Money Earning Activities",Table334[[#This Row],[Account Deposit Amount]]-Table334[[#This Row],[Account Withdrawl Amount]], )</f>
        <v>0</v>
      </c>
      <c r="L307" s="243">
        <f>IF(Table334[[#This Row],[Category]]="Sponsorships",Table334[[#This Row],[Account Deposit Amount]]-Table334[[#This Row],[Account Withdrawl Amount]], )</f>
        <v>0</v>
      </c>
      <c r="M307" s="243">
        <f>IF(Table334[[#This Row],[Category]]="Troop Dues",Table334[[#This Row],[Account Deposit Amount]]-Table334[[#This Row],[Account Withdrawl Amount]], )</f>
        <v>0</v>
      </c>
      <c r="N307" s="243">
        <f>IF(Table334[[#This Row],[Category]]="Other Income",Table334[[#This Row],[Account Deposit Amount]]-Table334[[#This Row],[Account Withdrawl Amount]], )</f>
        <v>0</v>
      </c>
      <c r="O307" s="243">
        <f>IF(Table334[[#This Row],[Category]]="Registration",Table334[[#This Row],[Account Deposit Amount]]-Table334[[#This Row],[Account Withdrawl Amount]], )</f>
        <v>0</v>
      </c>
      <c r="P307" s="243">
        <f>IF(Table334[[#This Row],[Category]]="Insignia",Table334[[#This Row],[Account Deposit Amount]]-Table334[[#This Row],[Account Withdrawl Amount]], )</f>
        <v>0</v>
      </c>
      <c r="Q307" s="243">
        <f>IF(Table334[[#This Row],[Category]]="Activities/Program",Table334[[#This Row],[Account Deposit Amount]]-Table334[[#This Row],[Account Withdrawl Amount]], )</f>
        <v>0</v>
      </c>
      <c r="R307" s="243">
        <f>IF(Table334[[#This Row],[Category]]="Travel",Table334[[#This Row],[Account Deposit Amount]]-Table334[[#This Row],[Account Withdrawl Amount]], )</f>
        <v>0</v>
      </c>
      <c r="S307" s="243">
        <f>IF(Table334[[#This Row],[Category]]="Parties Food &amp; Beverages",Table334[[#This Row],[Account Deposit Amount]]-Table334[[#This Row],[Account Withdrawl Amount]], )</f>
        <v>0</v>
      </c>
      <c r="T307" s="243">
        <f>IF(Table334[[#This Row],[Category]]="Service Projects Donation",Table334[[#This Row],[Account Deposit Amount]]-Table334[[#This Row],[Account Withdrawl Amount]], )</f>
        <v>0</v>
      </c>
      <c r="U307" s="243">
        <f>IF(Table334[[#This Row],[Category]]="Cookie Debt",Table334[[#This Row],[Account Deposit Amount]]-Table334[[#This Row],[Account Withdrawl Amount]], )</f>
        <v>0</v>
      </c>
      <c r="V307" s="243">
        <f>IF(Table334[[#This Row],[Category]]="Other Expense",Table334[[#This Row],[Account Deposit Amount]]-Table334[[#This Row],[Account Withdrawl Amount]], )</f>
        <v>0</v>
      </c>
    </row>
    <row r="308" spans="1:22">
      <c r="A308" s="225"/>
      <c r="B308" s="241"/>
      <c r="C308" s="225"/>
      <c r="D308" s="225"/>
      <c r="E308" s="242"/>
      <c r="F308" s="242"/>
      <c r="G308" s="243">
        <f t="shared" si="7"/>
        <v>2518.9699999999939</v>
      </c>
      <c r="H308" s="225"/>
      <c r="I308" s="243">
        <f>IF(Table334[[#This Row],[Category]]="Fall Product",Table334[[#This Row],[Account Deposit Amount]]-Table334[[#This Row],[Account Withdrawl Amount]], )</f>
        <v>0</v>
      </c>
      <c r="J308" s="243">
        <f>IF(Table334[[#This Row],[Category]]="Cookies",Table334[[#This Row],[Account Deposit Amount]]-Table334[[#This Row],[Account Withdrawl Amount]], )</f>
        <v>0</v>
      </c>
      <c r="K308" s="243">
        <f>IF(Table334[[#This Row],[Category]]="Additional Money Earning Activities",Table334[[#This Row],[Account Deposit Amount]]-Table334[[#This Row],[Account Withdrawl Amount]], )</f>
        <v>0</v>
      </c>
      <c r="L308" s="243">
        <f>IF(Table334[[#This Row],[Category]]="Sponsorships",Table334[[#This Row],[Account Deposit Amount]]-Table334[[#This Row],[Account Withdrawl Amount]], )</f>
        <v>0</v>
      </c>
      <c r="M308" s="243">
        <f>IF(Table334[[#This Row],[Category]]="Troop Dues",Table334[[#This Row],[Account Deposit Amount]]-Table334[[#This Row],[Account Withdrawl Amount]], )</f>
        <v>0</v>
      </c>
      <c r="N308" s="243">
        <f>IF(Table334[[#This Row],[Category]]="Other Income",Table334[[#This Row],[Account Deposit Amount]]-Table334[[#This Row],[Account Withdrawl Amount]], )</f>
        <v>0</v>
      </c>
      <c r="O308" s="243">
        <f>IF(Table334[[#This Row],[Category]]="Registration",Table334[[#This Row],[Account Deposit Amount]]-Table334[[#This Row],[Account Withdrawl Amount]], )</f>
        <v>0</v>
      </c>
      <c r="P308" s="243">
        <f>IF(Table334[[#This Row],[Category]]="Insignia",Table334[[#This Row],[Account Deposit Amount]]-Table334[[#This Row],[Account Withdrawl Amount]], )</f>
        <v>0</v>
      </c>
      <c r="Q308" s="243">
        <f>IF(Table334[[#This Row],[Category]]="Activities/Program",Table334[[#This Row],[Account Deposit Amount]]-Table334[[#This Row],[Account Withdrawl Amount]], )</f>
        <v>0</v>
      </c>
      <c r="R308" s="243">
        <f>IF(Table334[[#This Row],[Category]]="Travel",Table334[[#This Row],[Account Deposit Amount]]-Table334[[#This Row],[Account Withdrawl Amount]], )</f>
        <v>0</v>
      </c>
      <c r="S308" s="243">
        <f>IF(Table334[[#This Row],[Category]]="Parties Food &amp; Beverages",Table334[[#This Row],[Account Deposit Amount]]-Table334[[#This Row],[Account Withdrawl Amount]], )</f>
        <v>0</v>
      </c>
      <c r="T308" s="243">
        <f>IF(Table334[[#This Row],[Category]]="Service Projects Donation",Table334[[#This Row],[Account Deposit Amount]]-Table334[[#This Row],[Account Withdrawl Amount]], )</f>
        <v>0</v>
      </c>
      <c r="U308" s="243">
        <f>IF(Table334[[#This Row],[Category]]="Cookie Debt",Table334[[#This Row],[Account Deposit Amount]]-Table334[[#This Row],[Account Withdrawl Amount]], )</f>
        <v>0</v>
      </c>
      <c r="V308" s="243">
        <f>IF(Table334[[#This Row],[Category]]="Other Expense",Table334[[#This Row],[Account Deposit Amount]]-Table334[[#This Row],[Account Withdrawl Amount]], )</f>
        <v>0</v>
      </c>
    </row>
    <row r="309" spans="1:22">
      <c r="A309" s="225"/>
      <c r="B309" s="241"/>
      <c r="C309" s="225"/>
      <c r="D309" s="225"/>
      <c r="E309" s="242"/>
      <c r="F309" s="242"/>
      <c r="G309" s="243">
        <f t="shared" ref="G309:G372" si="8">G308+E309-F309</f>
        <v>2518.9699999999939</v>
      </c>
      <c r="H309" s="225"/>
      <c r="I309" s="243">
        <f>IF(Table334[[#This Row],[Category]]="Fall Product",Table334[[#This Row],[Account Deposit Amount]]-Table334[[#This Row],[Account Withdrawl Amount]], )</f>
        <v>0</v>
      </c>
      <c r="J309" s="243">
        <f>IF(Table334[[#This Row],[Category]]="Cookies",Table334[[#This Row],[Account Deposit Amount]]-Table334[[#This Row],[Account Withdrawl Amount]], )</f>
        <v>0</v>
      </c>
      <c r="K309" s="243">
        <f>IF(Table334[[#This Row],[Category]]="Additional Money Earning Activities",Table334[[#This Row],[Account Deposit Amount]]-Table334[[#This Row],[Account Withdrawl Amount]], )</f>
        <v>0</v>
      </c>
      <c r="L309" s="243">
        <f>IF(Table334[[#This Row],[Category]]="Sponsorships",Table334[[#This Row],[Account Deposit Amount]]-Table334[[#This Row],[Account Withdrawl Amount]], )</f>
        <v>0</v>
      </c>
      <c r="M309" s="243">
        <f>IF(Table334[[#This Row],[Category]]="Troop Dues",Table334[[#This Row],[Account Deposit Amount]]-Table334[[#This Row],[Account Withdrawl Amount]], )</f>
        <v>0</v>
      </c>
      <c r="N309" s="243">
        <f>IF(Table334[[#This Row],[Category]]="Other Income",Table334[[#This Row],[Account Deposit Amount]]-Table334[[#This Row],[Account Withdrawl Amount]], )</f>
        <v>0</v>
      </c>
      <c r="O309" s="243">
        <f>IF(Table334[[#This Row],[Category]]="Registration",Table334[[#This Row],[Account Deposit Amount]]-Table334[[#This Row],[Account Withdrawl Amount]], )</f>
        <v>0</v>
      </c>
      <c r="P309" s="243">
        <f>IF(Table334[[#This Row],[Category]]="Insignia",Table334[[#This Row],[Account Deposit Amount]]-Table334[[#This Row],[Account Withdrawl Amount]], )</f>
        <v>0</v>
      </c>
      <c r="Q309" s="243">
        <f>IF(Table334[[#This Row],[Category]]="Activities/Program",Table334[[#This Row],[Account Deposit Amount]]-Table334[[#This Row],[Account Withdrawl Amount]], )</f>
        <v>0</v>
      </c>
      <c r="R309" s="243">
        <f>IF(Table334[[#This Row],[Category]]="Travel",Table334[[#This Row],[Account Deposit Amount]]-Table334[[#This Row],[Account Withdrawl Amount]], )</f>
        <v>0</v>
      </c>
      <c r="S309" s="243">
        <f>IF(Table334[[#This Row],[Category]]="Parties Food &amp; Beverages",Table334[[#This Row],[Account Deposit Amount]]-Table334[[#This Row],[Account Withdrawl Amount]], )</f>
        <v>0</v>
      </c>
      <c r="T309" s="243">
        <f>IF(Table334[[#This Row],[Category]]="Service Projects Donation",Table334[[#This Row],[Account Deposit Amount]]-Table334[[#This Row],[Account Withdrawl Amount]], )</f>
        <v>0</v>
      </c>
      <c r="U309" s="243">
        <f>IF(Table334[[#This Row],[Category]]="Cookie Debt",Table334[[#This Row],[Account Deposit Amount]]-Table334[[#This Row],[Account Withdrawl Amount]], )</f>
        <v>0</v>
      </c>
      <c r="V309" s="243">
        <f>IF(Table334[[#This Row],[Category]]="Other Expense",Table334[[#This Row],[Account Deposit Amount]]-Table334[[#This Row],[Account Withdrawl Amount]], )</f>
        <v>0</v>
      </c>
    </row>
    <row r="310" spans="1:22">
      <c r="A310" s="225"/>
      <c r="B310" s="241"/>
      <c r="C310" s="225"/>
      <c r="D310" s="225"/>
      <c r="E310" s="242"/>
      <c r="F310" s="242"/>
      <c r="G310" s="243">
        <f t="shared" si="8"/>
        <v>2518.9699999999939</v>
      </c>
      <c r="H310" s="225"/>
      <c r="I310" s="243">
        <f>IF(Table334[[#This Row],[Category]]="Fall Product",Table334[[#This Row],[Account Deposit Amount]]-Table334[[#This Row],[Account Withdrawl Amount]], )</f>
        <v>0</v>
      </c>
      <c r="J310" s="243">
        <f>IF(Table334[[#This Row],[Category]]="Cookies",Table334[[#This Row],[Account Deposit Amount]]-Table334[[#This Row],[Account Withdrawl Amount]], )</f>
        <v>0</v>
      </c>
      <c r="K310" s="243">
        <f>IF(Table334[[#This Row],[Category]]="Additional Money Earning Activities",Table334[[#This Row],[Account Deposit Amount]]-Table334[[#This Row],[Account Withdrawl Amount]], )</f>
        <v>0</v>
      </c>
      <c r="L310" s="243">
        <f>IF(Table334[[#This Row],[Category]]="Sponsorships",Table334[[#This Row],[Account Deposit Amount]]-Table334[[#This Row],[Account Withdrawl Amount]], )</f>
        <v>0</v>
      </c>
      <c r="M310" s="243">
        <f>IF(Table334[[#This Row],[Category]]="Troop Dues",Table334[[#This Row],[Account Deposit Amount]]-Table334[[#This Row],[Account Withdrawl Amount]], )</f>
        <v>0</v>
      </c>
      <c r="N310" s="243">
        <f>IF(Table334[[#This Row],[Category]]="Other Income",Table334[[#This Row],[Account Deposit Amount]]-Table334[[#This Row],[Account Withdrawl Amount]], )</f>
        <v>0</v>
      </c>
      <c r="O310" s="243">
        <f>IF(Table334[[#This Row],[Category]]="Registration",Table334[[#This Row],[Account Deposit Amount]]-Table334[[#This Row],[Account Withdrawl Amount]], )</f>
        <v>0</v>
      </c>
      <c r="P310" s="243">
        <f>IF(Table334[[#This Row],[Category]]="Insignia",Table334[[#This Row],[Account Deposit Amount]]-Table334[[#This Row],[Account Withdrawl Amount]], )</f>
        <v>0</v>
      </c>
      <c r="Q310" s="243">
        <f>IF(Table334[[#This Row],[Category]]="Activities/Program",Table334[[#This Row],[Account Deposit Amount]]-Table334[[#This Row],[Account Withdrawl Amount]], )</f>
        <v>0</v>
      </c>
      <c r="R310" s="243">
        <f>IF(Table334[[#This Row],[Category]]="Travel",Table334[[#This Row],[Account Deposit Amount]]-Table334[[#This Row],[Account Withdrawl Amount]], )</f>
        <v>0</v>
      </c>
      <c r="S310" s="243">
        <f>IF(Table334[[#This Row],[Category]]="Parties Food &amp; Beverages",Table334[[#This Row],[Account Deposit Amount]]-Table334[[#This Row],[Account Withdrawl Amount]], )</f>
        <v>0</v>
      </c>
      <c r="T310" s="243">
        <f>IF(Table334[[#This Row],[Category]]="Service Projects Donation",Table334[[#This Row],[Account Deposit Amount]]-Table334[[#This Row],[Account Withdrawl Amount]], )</f>
        <v>0</v>
      </c>
      <c r="U310" s="243">
        <f>IF(Table334[[#This Row],[Category]]="Cookie Debt",Table334[[#This Row],[Account Deposit Amount]]-Table334[[#This Row],[Account Withdrawl Amount]], )</f>
        <v>0</v>
      </c>
      <c r="V310" s="243">
        <f>IF(Table334[[#This Row],[Category]]="Other Expense",Table334[[#This Row],[Account Deposit Amount]]-Table334[[#This Row],[Account Withdrawl Amount]], )</f>
        <v>0</v>
      </c>
    </row>
    <row r="311" spans="1:22">
      <c r="A311" s="225"/>
      <c r="B311" s="241"/>
      <c r="C311" s="225"/>
      <c r="D311" s="225"/>
      <c r="E311" s="242"/>
      <c r="F311" s="242"/>
      <c r="G311" s="243">
        <f t="shared" si="8"/>
        <v>2518.9699999999939</v>
      </c>
      <c r="H311" s="225"/>
      <c r="I311" s="243">
        <f>IF(Table334[[#This Row],[Category]]="Fall Product",Table334[[#This Row],[Account Deposit Amount]]-Table334[[#This Row],[Account Withdrawl Amount]], )</f>
        <v>0</v>
      </c>
      <c r="J311" s="243">
        <f>IF(Table334[[#This Row],[Category]]="Cookies",Table334[[#This Row],[Account Deposit Amount]]-Table334[[#This Row],[Account Withdrawl Amount]], )</f>
        <v>0</v>
      </c>
      <c r="K311" s="243">
        <f>IF(Table334[[#This Row],[Category]]="Additional Money Earning Activities",Table334[[#This Row],[Account Deposit Amount]]-Table334[[#This Row],[Account Withdrawl Amount]], )</f>
        <v>0</v>
      </c>
      <c r="L311" s="243">
        <f>IF(Table334[[#This Row],[Category]]="Sponsorships",Table334[[#This Row],[Account Deposit Amount]]-Table334[[#This Row],[Account Withdrawl Amount]], )</f>
        <v>0</v>
      </c>
      <c r="M311" s="243">
        <f>IF(Table334[[#This Row],[Category]]="Troop Dues",Table334[[#This Row],[Account Deposit Amount]]-Table334[[#This Row],[Account Withdrawl Amount]], )</f>
        <v>0</v>
      </c>
      <c r="N311" s="243">
        <f>IF(Table334[[#This Row],[Category]]="Other Income",Table334[[#This Row],[Account Deposit Amount]]-Table334[[#This Row],[Account Withdrawl Amount]], )</f>
        <v>0</v>
      </c>
      <c r="O311" s="243">
        <f>IF(Table334[[#This Row],[Category]]="Registration",Table334[[#This Row],[Account Deposit Amount]]-Table334[[#This Row],[Account Withdrawl Amount]], )</f>
        <v>0</v>
      </c>
      <c r="P311" s="243">
        <f>IF(Table334[[#This Row],[Category]]="Insignia",Table334[[#This Row],[Account Deposit Amount]]-Table334[[#This Row],[Account Withdrawl Amount]], )</f>
        <v>0</v>
      </c>
      <c r="Q311" s="243">
        <f>IF(Table334[[#This Row],[Category]]="Activities/Program",Table334[[#This Row],[Account Deposit Amount]]-Table334[[#This Row],[Account Withdrawl Amount]], )</f>
        <v>0</v>
      </c>
      <c r="R311" s="243">
        <f>IF(Table334[[#This Row],[Category]]="Travel",Table334[[#This Row],[Account Deposit Amount]]-Table334[[#This Row],[Account Withdrawl Amount]], )</f>
        <v>0</v>
      </c>
      <c r="S311" s="243">
        <f>IF(Table334[[#This Row],[Category]]="Parties Food &amp; Beverages",Table334[[#This Row],[Account Deposit Amount]]-Table334[[#This Row],[Account Withdrawl Amount]], )</f>
        <v>0</v>
      </c>
      <c r="T311" s="243">
        <f>IF(Table334[[#This Row],[Category]]="Service Projects Donation",Table334[[#This Row],[Account Deposit Amount]]-Table334[[#This Row],[Account Withdrawl Amount]], )</f>
        <v>0</v>
      </c>
      <c r="U311" s="243">
        <f>IF(Table334[[#This Row],[Category]]="Cookie Debt",Table334[[#This Row],[Account Deposit Amount]]-Table334[[#This Row],[Account Withdrawl Amount]], )</f>
        <v>0</v>
      </c>
      <c r="V311" s="243">
        <f>IF(Table334[[#This Row],[Category]]="Other Expense",Table334[[#This Row],[Account Deposit Amount]]-Table334[[#This Row],[Account Withdrawl Amount]], )</f>
        <v>0</v>
      </c>
    </row>
    <row r="312" spans="1:22">
      <c r="A312" s="225"/>
      <c r="B312" s="241"/>
      <c r="C312" s="225"/>
      <c r="D312" s="225"/>
      <c r="E312" s="242"/>
      <c r="F312" s="242"/>
      <c r="G312" s="243">
        <f t="shared" si="8"/>
        <v>2518.9699999999939</v>
      </c>
      <c r="H312" s="225"/>
      <c r="I312" s="243">
        <f>IF(Table334[[#This Row],[Category]]="Fall Product",Table334[[#This Row],[Account Deposit Amount]]-Table334[[#This Row],[Account Withdrawl Amount]], )</f>
        <v>0</v>
      </c>
      <c r="J312" s="243">
        <f>IF(Table334[[#This Row],[Category]]="Cookies",Table334[[#This Row],[Account Deposit Amount]]-Table334[[#This Row],[Account Withdrawl Amount]], )</f>
        <v>0</v>
      </c>
      <c r="K312" s="243">
        <f>IF(Table334[[#This Row],[Category]]="Additional Money Earning Activities",Table334[[#This Row],[Account Deposit Amount]]-Table334[[#This Row],[Account Withdrawl Amount]], )</f>
        <v>0</v>
      </c>
      <c r="L312" s="243">
        <f>IF(Table334[[#This Row],[Category]]="Sponsorships",Table334[[#This Row],[Account Deposit Amount]]-Table334[[#This Row],[Account Withdrawl Amount]], )</f>
        <v>0</v>
      </c>
      <c r="M312" s="243">
        <f>IF(Table334[[#This Row],[Category]]="Troop Dues",Table334[[#This Row],[Account Deposit Amount]]-Table334[[#This Row],[Account Withdrawl Amount]], )</f>
        <v>0</v>
      </c>
      <c r="N312" s="243">
        <f>IF(Table334[[#This Row],[Category]]="Other Income",Table334[[#This Row],[Account Deposit Amount]]-Table334[[#This Row],[Account Withdrawl Amount]], )</f>
        <v>0</v>
      </c>
      <c r="O312" s="243">
        <f>IF(Table334[[#This Row],[Category]]="Registration",Table334[[#This Row],[Account Deposit Amount]]-Table334[[#This Row],[Account Withdrawl Amount]], )</f>
        <v>0</v>
      </c>
      <c r="P312" s="243">
        <f>IF(Table334[[#This Row],[Category]]="Insignia",Table334[[#This Row],[Account Deposit Amount]]-Table334[[#This Row],[Account Withdrawl Amount]], )</f>
        <v>0</v>
      </c>
      <c r="Q312" s="243">
        <f>IF(Table334[[#This Row],[Category]]="Activities/Program",Table334[[#This Row],[Account Deposit Amount]]-Table334[[#This Row],[Account Withdrawl Amount]], )</f>
        <v>0</v>
      </c>
      <c r="R312" s="243">
        <f>IF(Table334[[#This Row],[Category]]="Travel",Table334[[#This Row],[Account Deposit Amount]]-Table334[[#This Row],[Account Withdrawl Amount]], )</f>
        <v>0</v>
      </c>
      <c r="S312" s="243">
        <f>IF(Table334[[#This Row],[Category]]="Parties Food &amp; Beverages",Table334[[#This Row],[Account Deposit Amount]]-Table334[[#This Row],[Account Withdrawl Amount]], )</f>
        <v>0</v>
      </c>
      <c r="T312" s="243">
        <f>IF(Table334[[#This Row],[Category]]="Service Projects Donation",Table334[[#This Row],[Account Deposit Amount]]-Table334[[#This Row],[Account Withdrawl Amount]], )</f>
        <v>0</v>
      </c>
      <c r="U312" s="243">
        <f>IF(Table334[[#This Row],[Category]]="Cookie Debt",Table334[[#This Row],[Account Deposit Amount]]-Table334[[#This Row],[Account Withdrawl Amount]], )</f>
        <v>0</v>
      </c>
      <c r="V312" s="243">
        <f>IF(Table334[[#This Row],[Category]]="Other Expense",Table334[[#This Row],[Account Deposit Amount]]-Table334[[#This Row],[Account Withdrawl Amount]], )</f>
        <v>0</v>
      </c>
    </row>
    <row r="313" spans="1:22">
      <c r="A313" s="225"/>
      <c r="B313" s="241"/>
      <c r="C313" s="225"/>
      <c r="D313" s="225"/>
      <c r="E313" s="242"/>
      <c r="F313" s="242"/>
      <c r="G313" s="243">
        <f t="shared" si="8"/>
        <v>2518.9699999999939</v>
      </c>
      <c r="H313" s="225"/>
      <c r="I313" s="243">
        <f>IF(Table334[[#This Row],[Category]]="Fall Product",Table334[[#This Row],[Account Deposit Amount]]-Table334[[#This Row],[Account Withdrawl Amount]], )</f>
        <v>0</v>
      </c>
      <c r="J313" s="243">
        <f>IF(Table334[[#This Row],[Category]]="Cookies",Table334[[#This Row],[Account Deposit Amount]]-Table334[[#This Row],[Account Withdrawl Amount]], )</f>
        <v>0</v>
      </c>
      <c r="K313" s="243">
        <f>IF(Table334[[#This Row],[Category]]="Additional Money Earning Activities",Table334[[#This Row],[Account Deposit Amount]]-Table334[[#This Row],[Account Withdrawl Amount]], )</f>
        <v>0</v>
      </c>
      <c r="L313" s="243">
        <f>IF(Table334[[#This Row],[Category]]="Sponsorships",Table334[[#This Row],[Account Deposit Amount]]-Table334[[#This Row],[Account Withdrawl Amount]], )</f>
        <v>0</v>
      </c>
      <c r="M313" s="243">
        <f>IF(Table334[[#This Row],[Category]]="Troop Dues",Table334[[#This Row],[Account Deposit Amount]]-Table334[[#This Row],[Account Withdrawl Amount]], )</f>
        <v>0</v>
      </c>
      <c r="N313" s="243">
        <f>IF(Table334[[#This Row],[Category]]="Other Income",Table334[[#This Row],[Account Deposit Amount]]-Table334[[#This Row],[Account Withdrawl Amount]], )</f>
        <v>0</v>
      </c>
      <c r="O313" s="243">
        <f>IF(Table334[[#This Row],[Category]]="Registration",Table334[[#This Row],[Account Deposit Amount]]-Table334[[#This Row],[Account Withdrawl Amount]], )</f>
        <v>0</v>
      </c>
      <c r="P313" s="243">
        <f>IF(Table334[[#This Row],[Category]]="Insignia",Table334[[#This Row],[Account Deposit Amount]]-Table334[[#This Row],[Account Withdrawl Amount]], )</f>
        <v>0</v>
      </c>
      <c r="Q313" s="243">
        <f>IF(Table334[[#This Row],[Category]]="Activities/Program",Table334[[#This Row],[Account Deposit Amount]]-Table334[[#This Row],[Account Withdrawl Amount]], )</f>
        <v>0</v>
      </c>
      <c r="R313" s="243">
        <f>IF(Table334[[#This Row],[Category]]="Travel",Table334[[#This Row],[Account Deposit Amount]]-Table334[[#This Row],[Account Withdrawl Amount]], )</f>
        <v>0</v>
      </c>
      <c r="S313" s="243">
        <f>IF(Table334[[#This Row],[Category]]="Parties Food &amp; Beverages",Table334[[#This Row],[Account Deposit Amount]]-Table334[[#This Row],[Account Withdrawl Amount]], )</f>
        <v>0</v>
      </c>
      <c r="T313" s="243">
        <f>IF(Table334[[#This Row],[Category]]="Service Projects Donation",Table334[[#This Row],[Account Deposit Amount]]-Table334[[#This Row],[Account Withdrawl Amount]], )</f>
        <v>0</v>
      </c>
      <c r="U313" s="243">
        <f>IF(Table334[[#This Row],[Category]]="Cookie Debt",Table334[[#This Row],[Account Deposit Amount]]-Table334[[#This Row],[Account Withdrawl Amount]], )</f>
        <v>0</v>
      </c>
      <c r="V313" s="243">
        <f>IF(Table334[[#This Row],[Category]]="Other Expense",Table334[[#This Row],[Account Deposit Amount]]-Table334[[#This Row],[Account Withdrawl Amount]], )</f>
        <v>0</v>
      </c>
    </row>
    <row r="314" spans="1:22">
      <c r="A314" s="225"/>
      <c r="B314" s="241"/>
      <c r="C314" s="225"/>
      <c r="D314" s="225"/>
      <c r="E314" s="242"/>
      <c r="F314" s="242"/>
      <c r="G314" s="243">
        <f t="shared" si="8"/>
        <v>2518.9699999999939</v>
      </c>
      <c r="H314" s="225"/>
      <c r="I314" s="243">
        <f>IF(Table334[[#This Row],[Category]]="Fall Product",Table334[[#This Row],[Account Deposit Amount]]-Table334[[#This Row],[Account Withdrawl Amount]], )</f>
        <v>0</v>
      </c>
      <c r="J314" s="243">
        <f>IF(Table334[[#This Row],[Category]]="Cookies",Table334[[#This Row],[Account Deposit Amount]]-Table334[[#This Row],[Account Withdrawl Amount]], )</f>
        <v>0</v>
      </c>
      <c r="K314" s="243">
        <f>IF(Table334[[#This Row],[Category]]="Additional Money Earning Activities",Table334[[#This Row],[Account Deposit Amount]]-Table334[[#This Row],[Account Withdrawl Amount]], )</f>
        <v>0</v>
      </c>
      <c r="L314" s="243">
        <f>IF(Table334[[#This Row],[Category]]="Sponsorships",Table334[[#This Row],[Account Deposit Amount]]-Table334[[#This Row],[Account Withdrawl Amount]], )</f>
        <v>0</v>
      </c>
      <c r="M314" s="243">
        <f>IF(Table334[[#This Row],[Category]]="Troop Dues",Table334[[#This Row],[Account Deposit Amount]]-Table334[[#This Row],[Account Withdrawl Amount]], )</f>
        <v>0</v>
      </c>
      <c r="N314" s="243">
        <f>IF(Table334[[#This Row],[Category]]="Other Income",Table334[[#This Row],[Account Deposit Amount]]-Table334[[#This Row],[Account Withdrawl Amount]], )</f>
        <v>0</v>
      </c>
      <c r="O314" s="243">
        <f>IF(Table334[[#This Row],[Category]]="Registration",Table334[[#This Row],[Account Deposit Amount]]-Table334[[#This Row],[Account Withdrawl Amount]], )</f>
        <v>0</v>
      </c>
      <c r="P314" s="243">
        <f>IF(Table334[[#This Row],[Category]]="Insignia",Table334[[#This Row],[Account Deposit Amount]]-Table334[[#This Row],[Account Withdrawl Amount]], )</f>
        <v>0</v>
      </c>
      <c r="Q314" s="243">
        <f>IF(Table334[[#This Row],[Category]]="Activities/Program",Table334[[#This Row],[Account Deposit Amount]]-Table334[[#This Row],[Account Withdrawl Amount]], )</f>
        <v>0</v>
      </c>
      <c r="R314" s="243">
        <f>IF(Table334[[#This Row],[Category]]="Travel",Table334[[#This Row],[Account Deposit Amount]]-Table334[[#This Row],[Account Withdrawl Amount]], )</f>
        <v>0</v>
      </c>
      <c r="S314" s="243">
        <f>IF(Table334[[#This Row],[Category]]="Parties Food &amp; Beverages",Table334[[#This Row],[Account Deposit Amount]]-Table334[[#This Row],[Account Withdrawl Amount]], )</f>
        <v>0</v>
      </c>
      <c r="T314" s="243">
        <f>IF(Table334[[#This Row],[Category]]="Service Projects Donation",Table334[[#This Row],[Account Deposit Amount]]-Table334[[#This Row],[Account Withdrawl Amount]], )</f>
        <v>0</v>
      </c>
      <c r="U314" s="243">
        <f>IF(Table334[[#This Row],[Category]]="Cookie Debt",Table334[[#This Row],[Account Deposit Amount]]-Table334[[#This Row],[Account Withdrawl Amount]], )</f>
        <v>0</v>
      </c>
      <c r="V314" s="243">
        <f>IF(Table334[[#This Row],[Category]]="Other Expense",Table334[[#This Row],[Account Deposit Amount]]-Table334[[#This Row],[Account Withdrawl Amount]], )</f>
        <v>0</v>
      </c>
    </row>
    <row r="315" spans="1:22">
      <c r="A315" s="225"/>
      <c r="B315" s="241"/>
      <c r="C315" s="225"/>
      <c r="D315" s="225"/>
      <c r="E315" s="242"/>
      <c r="F315" s="242"/>
      <c r="G315" s="243">
        <f t="shared" si="8"/>
        <v>2518.9699999999939</v>
      </c>
      <c r="H315" s="225"/>
      <c r="I315" s="243">
        <f>IF(Table334[[#This Row],[Category]]="Fall Product",Table334[[#This Row],[Account Deposit Amount]]-Table334[[#This Row],[Account Withdrawl Amount]], )</f>
        <v>0</v>
      </c>
      <c r="J315" s="243">
        <f>IF(Table334[[#This Row],[Category]]="Cookies",Table334[[#This Row],[Account Deposit Amount]]-Table334[[#This Row],[Account Withdrawl Amount]], )</f>
        <v>0</v>
      </c>
      <c r="K315" s="243">
        <f>IF(Table334[[#This Row],[Category]]="Additional Money Earning Activities",Table334[[#This Row],[Account Deposit Amount]]-Table334[[#This Row],[Account Withdrawl Amount]], )</f>
        <v>0</v>
      </c>
      <c r="L315" s="243">
        <f>IF(Table334[[#This Row],[Category]]="Sponsorships",Table334[[#This Row],[Account Deposit Amount]]-Table334[[#This Row],[Account Withdrawl Amount]], )</f>
        <v>0</v>
      </c>
      <c r="M315" s="243">
        <f>IF(Table334[[#This Row],[Category]]="Troop Dues",Table334[[#This Row],[Account Deposit Amount]]-Table334[[#This Row],[Account Withdrawl Amount]], )</f>
        <v>0</v>
      </c>
      <c r="N315" s="243">
        <f>IF(Table334[[#This Row],[Category]]="Other Income",Table334[[#This Row],[Account Deposit Amount]]-Table334[[#This Row],[Account Withdrawl Amount]], )</f>
        <v>0</v>
      </c>
      <c r="O315" s="243">
        <f>IF(Table334[[#This Row],[Category]]="Registration",Table334[[#This Row],[Account Deposit Amount]]-Table334[[#This Row],[Account Withdrawl Amount]], )</f>
        <v>0</v>
      </c>
      <c r="P315" s="243">
        <f>IF(Table334[[#This Row],[Category]]="Insignia",Table334[[#This Row],[Account Deposit Amount]]-Table334[[#This Row],[Account Withdrawl Amount]], )</f>
        <v>0</v>
      </c>
      <c r="Q315" s="243">
        <f>IF(Table334[[#This Row],[Category]]="Activities/Program",Table334[[#This Row],[Account Deposit Amount]]-Table334[[#This Row],[Account Withdrawl Amount]], )</f>
        <v>0</v>
      </c>
      <c r="R315" s="243">
        <f>IF(Table334[[#This Row],[Category]]="Travel",Table334[[#This Row],[Account Deposit Amount]]-Table334[[#This Row],[Account Withdrawl Amount]], )</f>
        <v>0</v>
      </c>
      <c r="S315" s="243">
        <f>IF(Table334[[#This Row],[Category]]="Parties Food &amp; Beverages",Table334[[#This Row],[Account Deposit Amount]]-Table334[[#This Row],[Account Withdrawl Amount]], )</f>
        <v>0</v>
      </c>
      <c r="T315" s="243">
        <f>IF(Table334[[#This Row],[Category]]="Service Projects Donation",Table334[[#This Row],[Account Deposit Amount]]-Table334[[#This Row],[Account Withdrawl Amount]], )</f>
        <v>0</v>
      </c>
      <c r="U315" s="243">
        <f>IF(Table334[[#This Row],[Category]]="Cookie Debt",Table334[[#This Row],[Account Deposit Amount]]-Table334[[#This Row],[Account Withdrawl Amount]], )</f>
        <v>0</v>
      </c>
      <c r="V315" s="243">
        <f>IF(Table334[[#This Row],[Category]]="Other Expense",Table334[[#This Row],[Account Deposit Amount]]-Table334[[#This Row],[Account Withdrawl Amount]], )</f>
        <v>0</v>
      </c>
    </row>
    <row r="316" spans="1:22">
      <c r="A316" s="225"/>
      <c r="B316" s="241"/>
      <c r="C316" s="225"/>
      <c r="D316" s="225"/>
      <c r="E316" s="242"/>
      <c r="F316" s="242"/>
      <c r="G316" s="243">
        <f t="shared" si="8"/>
        <v>2518.9699999999939</v>
      </c>
      <c r="H316" s="225"/>
      <c r="I316" s="243">
        <f>IF(Table334[[#This Row],[Category]]="Fall Product",Table334[[#This Row],[Account Deposit Amount]]-Table334[[#This Row],[Account Withdrawl Amount]], )</f>
        <v>0</v>
      </c>
      <c r="J316" s="243">
        <f>IF(Table334[[#This Row],[Category]]="Cookies",Table334[[#This Row],[Account Deposit Amount]]-Table334[[#This Row],[Account Withdrawl Amount]], )</f>
        <v>0</v>
      </c>
      <c r="K316" s="243">
        <f>IF(Table334[[#This Row],[Category]]="Additional Money Earning Activities",Table334[[#This Row],[Account Deposit Amount]]-Table334[[#This Row],[Account Withdrawl Amount]], )</f>
        <v>0</v>
      </c>
      <c r="L316" s="243">
        <f>IF(Table334[[#This Row],[Category]]="Sponsorships",Table334[[#This Row],[Account Deposit Amount]]-Table334[[#This Row],[Account Withdrawl Amount]], )</f>
        <v>0</v>
      </c>
      <c r="M316" s="243">
        <f>IF(Table334[[#This Row],[Category]]="Troop Dues",Table334[[#This Row],[Account Deposit Amount]]-Table334[[#This Row],[Account Withdrawl Amount]], )</f>
        <v>0</v>
      </c>
      <c r="N316" s="243">
        <f>IF(Table334[[#This Row],[Category]]="Other Income",Table334[[#This Row],[Account Deposit Amount]]-Table334[[#This Row],[Account Withdrawl Amount]], )</f>
        <v>0</v>
      </c>
      <c r="O316" s="243">
        <f>IF(Table334[[#This Row],[Category]]="Registration",Table334[[#This Row],[Account Deposit Amount]]-Table334[[#This Row],[Account Withdrawl Amount]], )</f>
        <v>0</v>
      </c>
      <c r="P316" s="243">
        <f>IF(Table334[[#This Row],[Category]]="Insignia",Table334[[#This Row],[Account Deposit Amount]]-Table334[[#This Row],[Account Withdrawl Amount]], )</f>
        <v>0</v>
      </c>
      <c r="Q316" s="243">
        <f>IF(Table334[[#This Row],[Category]]="Activities/Program",Table334[[#This Row],[Account Deposit Amount]]-Table334[[#This Row],[Account Withdrawl Amount]], )</f>
        <v>0</v>
      </c>
      <c r="R316" s="243">
        <f>IF(Table334[[#This Row],[Category]]="Travel",Table334[[#This Row],[Account Deposit Amount]]-Table334[[#This Row],[Account Withdrawl Amount]], )</f>
        <v>0</v>
      </c>
      <c r="S316" s="243">
        <f>IF(Table334[[#This Row],[Category]]="Parties Food &amp; Beverages",Table334[[#This Row],[Account Deposit Amount]]-Table334[[#This Row],[Account Withdrawl Amount]], )</f>
        <v>0</v>
      </c>
      <c r="T316" s="243">
        <f>IF(Table334[[#This Row],[Category]]="Service Projects Donation",Table334[[#This Row],[Account Deposit Amount]]-Table334[[#This Row],[Account Withdrawl Amount]], )</f>
        <v>0</v>
      </c>
      <c r="U316" s="243">
        <f>IF(Table334[[#This Row],[Category]]="Cookie Debt",Table334[[#This Row],[Account Deposit Amount]]-Table334[[#This Row],[Account Withdrawl Amount]], )</f>
        <v>0</v>
      </c>
      <c r="V316" s="243">
        <f>IF(Table334[[#This Row],[Category]]="Other Expense",Table334[[#This Row],[Account Deposit Amount]]-Table334[[#This Row],[Account Withdrawl Amount]], )</f>
        <v>0</v>
      </c>
    </row>
    <row r="317" spans="1:22">
      <c r="A317" s="225"/>
      <c r="B317" s="241"/>
      <c r="C317" s="225"/>
      <c r="D317" s="225"/>
      <c r="E317" s="242"/>
      <c r="F317" s="242"/>
      <c r="G317" s="243">
        <f t="shared" si="8"/>
        <v>2518.9699999999939</v>
      </c>
      <c r="H317" s="225"/>
      <c r="I317" s="243">
        <f>IF(Table334[[#This Row],[Category]]="Fall Product",Table334[[#This Row],[Account Deposit Amount]]-Table334[[#This Row],[Account Withdrawl Amount]], )</f>
        <v>0</v>
      </c>
      <c r="J317" s="243">
        <f>IF(Table334[[#This Row],[Category]]="Cookies",Table334[[#This Row],[Account Deposit Amount]]-Table334[[#This Row],[Account Withdrawl Amount]], )</f>
        <v>0</v>
      </c>
      <c r="K317" s="243">
        <f>IF(Table334[[#This Row],[Category]]="Additional Money Earning Activities",Table334[[#This Row],[Account Deposit Amount]]-Table334[[#This Row],[Account Withdrawl Amount]], )</f>
        <v>0</v>
      </c>
      <c r="L317" s="243">
        <f>IF(Table334[[#This Row],[Category]]="Sponsorships",Table334[[#This Row],[Account Deposit Amount]]-Table334[[#This Row],[Account Withdrawl Amount]], )</f>
        <v>0</v>
      </c>
      <c r="M317" s="243">
        <f>IF(Table334[[#This Row],[Category]]="Troop Dues",Table334[[#This Row],[Account Deposit Amount]]-Table334[[#This Row],[Account Withdrawl Amount]], )</f>
        <v>0</v>
      </c>
      <c r="N317" s="243">
        <f>IF(Table334[[#This Row],[Category]]="Other Income",Table334[[#This Row],[Account Deposit Amount]]-Table334[[#This Row],[Account Withdrawl Amount]], )</f>
        <v>0</v>
      </c>
      <c r="O317" s="243">
        <f>IF(Table334[[#This Row],[Category]]="Registration",Table334[[#This Row],[Account Deposit Amount]]-Table334[[#This Row],[Account Withdrawl Amount]], )</f>
        <v>0</v>
      </c>
      <c r="P317" s="243">
        <f>IF(Table334[[#This Row],[Category]]="Insignia",Table334[[#This Row],[Account Deposit Amount]]-Table334[[#This Row],[Account Withdrawl Amount]], )</f>
        <v>0</v>
      </c>
      <c r="Q317" s="243">
        <f>IF(Table334[[#This Row],[Category]]="Activities/Program",Table334[[#This Row],[Account Deposit Amount]]-Table334[[#This Row],[Account Withdrawl Amount]], )</f>
        <v>0</v>
      </c>
      <c r="R317" s="243">
        <f>IF(Table334[[#This Row],[Category]]="Travel",Table334[[#This Row],[Account Deposit Amount]]-Table334[[#This Row],[Account Withdrawl Amount]], )</f>
        <v>0</v>
      </c>
      <c r="S317" s="243">
        <f>IF(Table334[[#This Row],[Category]]="Parties Food &amp; Beverages",Table334[[#This Row],[Account Deposit Amount]]-Table334[[#This Row],[Account Withdrawl Amount]], )</f>
        <v>0</v>
      </c>
      <c r="T317" s="243">
        <f>IF(Table334[[#This Row],[Category]]="Service Projects Donation",Table334[[#This Row],[Account Deposit Amount]]-Table334[[#This Row],[Account Withdrawl Amount]], )</f>
        <v>0</v>
      </c>
      <c r="U317" s="243">
        <f>IF(Table334[[#This Row],[Category]]="Cookie Debt",Table334[[#This Row],[Account Deposit Amount]]-Table334[[#This Row],[Account Withdrawl Amount]], )</f>
        <v>0</v>
      </c>
      <c r="V317" s="243">
        <f>IF(Table334[[#This Row],[Category]]="Other Expense",Table334[[#This Row],[Account Deposit Amount]]-Table334[[#This Row],[Account Withdrawl Amount]], )</f>
        <v>0</v>
      </c>
    </row>
    <row r="318" spans="1:22">
      <c r="A318" s="225"/>
      <c r="B318" s="241"/>
      <c r="C318" s="225"/>
      <c r="D318" s="225"/>
      <c r="E318" s="242"/>
      <c r="F318" s="242"/>
      <c r="G318" s="243">
        <f t="shared" si="8"/>
        <v>2518.9699999999939</v>
      </c>
      <c r="H318" s="225"/>
      <c r="I318" s="243">
        <f>IF(Table334[[#This Row],[Category]]="Fall Product",Table334[[#This Row],[Account Deposit Amount]]-Table334[[#This Row],[Account Withdrawl Amount]], )</f>
        <v>0</v>
      </c>
      <c r="J318" s="243">
        <f>IF(Table334[[#This Row],[Category]]="Cookies",Table334[[#This Row],[Account Deposit Amount]]-Table334[[#This Row],[Account Withdrawl Amount]], )</f>
        <v>0</v>
      </c>
      <c r="K318" s="243">
        <f>IF(Table334[[#This Row],[Category]]="Additional Money Earning Activities",Table334[[#This Row],[Account Deposit Amount]]-Table334[[#This Row],[Account Withdrawl Amount]], )</f>
        <v>0</v>
      </c>
      <c r="L318" s="243">
        <f>IF(Table334[[#This Row],[Category]]="Sponsorships",Table334[[#This Row],[Account Deposit Amount]]-Table334[[#This Row],[Account Withdrawl Amount]], )</f>
        <v>0</v>
      </c>
      <c r="M318" s="243">
        <f>IF(Table334[[#This Row],[Category]]="Troop Dues",Table334[[#This Row],[Account Deposit Amount]]-Table334[[#This Row],[Account Withdrawl Amount]], )</f>
        <v>0</v>
      </c>
      <c r="N318" s="243">
        <f>IF(Table334[[#This Row],[Category]]="Other Income",Table334[[#This Row],[Account Deposit Amount]]-Table334[[#This Row],[Account Withdrawl Amount]], )</f>
        <v>0</v>
      </c>
      <c r="O318" s="243">
        <f>IF(Table334[[#This Row],[Category]]="Registration",Table334[[#This Row],[Account Deposit Amount]]-Table334[[#This Row],[Account Withdrawl Amount]], )</f>
        <v>0</v>
      </c>
      <c r="P318" s="243">
        <f>IF(Table334[[#This Row],[Category]]="Insignia",Table334[[#This Row],[Account Deposit Amount]]-Table334[[#This Row],[Account Withdrawl Amount]], )</f>
        <v>0</v>
      </c>
      <c r="Q318" s="243">
        <f>IF(Table334[[#This Row],[Category]]="Activities/Program",Table334[[#This Row],[Account Deposit Amount]]-Table334[[#This Row],[Account Withdrawl Amount]], )</f>
        <v>0</v>
      </c>
      <c r="R318" s="243">
        <f>IF(Table334[[#This Row],[Category]]="Travel",Table334[[#This Row],[Account Deposit Amount]]-Table334[[#This Row],[Account Withdrawl Amount]], )</f>
        <v>0</v>
      </c>
      <c r="S318" s="243">
        <f>IF(Table334[[#This Row],[Category]]="Parties Food &amp; Beverages",Table334[[#This Row],[Account Deposit Amount]]-Table334[[#This Row],[Account Withdrawl Amount]], )</f>
        <v>0</v>
      </c>
      <c r="T318" s="243">
        <f>IF(Table334[[#This Row],[Category]]="Service Projects Donation",Table334[[#This Row],[Account Deposit Amount]]-Table334[[#This Row],[Account Withdrawl Amount]], )</f>
        <v>0</v>
      </c>
      <c r="U318" s="243">
        <f>IF(Table334[[#This Row],[Category]]="Cookie Debt",Table334[[#This Row],[Account Deposit Amount]]-Table334[[#This Row],[Account Withdrawl Amount]], )</f>
        <v>0</v>
      </c>
      <c r="V318" s="243">
        <f>IF(Table334[[#This Row],[Category]]="Other Expense",Table334[[#This Row],[Account Deposit Amount]]-Table334[[#This Row],[Account Withdrawl Amount]], )</f>
        <v>0</v>
      </c>
    </row>
    <row r="319" spans="1:22">
      <c r="A319" s="225"/>
      <c r="B319" s="241"/>
      <c r="C319" s="225"/>
      <c r="D319" s="225"/>
      <c r="E319" s="242"/>
      <c r="F319" s="242"/>
      <c r="G319" s="243">
        <f t="shared" si="8"/>
        <v>2518.9699999999939</v>
      </c>
      <c r="H319" s="225"/>
      <c r="I319" s="243">
        <f>IF(Table334[[#This Row],[Category]]="Fall Product",Table334[[#This Row],[Account Deposit Amount]]-Table334[[#This Row],[Account Withdrawl Amount]], )</f>
        <v>0</v>
      </c>
      <c r="J319" s="243">
        <f>IF(Table334[[#This Row],[Category]]="Cookies",Table334[[#This Row],[Account Deposit Amount]]-Table334[[#This Row],[Account Withdrawl Amount]], )</f>
        <v>0</v>
      </c>
      <c r="K319" s="243">
        <f>IF(Table334[[#This Row],[Category]]="Additional Money Earning Activities",Table334[[#This Row],[Account Deposit Amount]]-Table334[[#This Row],[Account Withdrawl Amount]], )</f>
        <v>0</v>
      </c>
      <c r="L319" s="243">
        <f>IF(Table334[[#This Row],[Category]]="Sponsorships",Table334[[#This Row],[Account Deposit Amount]]-Table334[[#This Row],[Account Withdrawl Amount]], )</f>
        <v>0</v>
      </c>
      <c r="M319" s="243">
        <f>IF(Table334[[#This Row],[Category]]="Troop Dues",Table334[[#This Row],[Account Deposit Amount]]-Table334[[#This Row],[Account Withdrawl Amount]], )</f>
        <v>0</v>
      </c>
      <c r="N319" s="243">
        <f>IF(Table334[[#This Row],[Category]]="Other Income",Table334[[#This Row],[Account Deposit Amount]]-Table334[[#This Row],[Account Withdrawl Amount]], )</f>
        <v>0</v>
      </c>
      <c r="O319" s="243">
        <f>IF(Table334[[#This Row],[Category]]="Registration",Table334[[#This Row],[Account Deposit Amount]]-Table334[[#This Row],[Account Withdrawl Amount]], )</f>
        <v>0</v>
      </c>
      <c r="P319" s="243">
        <f>IF(Table334[[#This Row],[Category]]="Insignia",Table334[[#This Row],[Account Deposit Amount]]-Table334[[#This Row],[Account Withdrawl Amount]], )</f>
        <v>0</v>
      </c>
      <c r="Q319" s="243">
        <f>IF(Table334[[#This Row],[Category]]="Activities/Program",Table334[[#This Row],[Account Deposit Amount]]-Table334[[#This Row],[Account Withdrawl Amount]], )</f>
        <v>0</v>
      </c>
      <c r="R319" s="243">
        <f>IF(Table334[[#This Row],[Category]]="Travel",Table334[[#This Row],[Account Deposit Amount]]-Table334[[#This Row],[Account Withdrawl Amount]], )</f>
        <v>0</v>
      </c>
      <c r="S319" s="243">
        <f>IF(Table334[[#This Row],[Category]]="Parties Food &amp; Beverages",Table334[[#This Row],[Account Deposit Amount]]-Table334[[#This Row],[Account Withdrawl Amount]], )</f>
        <v>0</v>
      </c>
      <c r="T319" s="243">
        <f>IF(Table334[[#This Row],[Category]]="Service Projects Donation",Table334[[#This Row],[Account Deposit Amount]]-Table334[[#This Row],[Account Withdrawl Amount]], )</f>
        <v>0</v>
      </c>
      <c r="U319" s="243">
        <f>IF(Table334[[#This Row],[Category]]="Cookie Debt",Table334[[#This Row],[Account Deposit Amount]]-Table334[[#This Row],[Account Withdrawl Amount]], )</f>
        <v>0</v>
      </c>
      <c r="V319" s="243">
        <f>IF(Table334[[#This Row],[Category]]="Other Expense",Table334[[#This Row],[Account Deposit Amount]]-Table334[[#This Row],[Account Withdrawl Amount]], )</f>
        <v>0</v>
      </c>
    </row>
    <row r="320" spans="1:22">
      <c r="A320" s="225"/>
      <c r="B320" s="241"/>
      <c r="C320" s="225"/>
      <c r="D320" s="225"/>
      <c r="E320" s="242"/>
      <c r="F320" s="242"/>
      <c r="G320" s="243">
        <f t="shared" si="8"/>
        <v>2518.9699999999939</v>
      </c>
      <c r="H320" s="225"/>
      <c r="I320" s="243">
        <f>IF(Table334[[#This Row],[Category]]="Fall Product",Table334[[#This Row],[Account Deposit Amount]]-Table334[[#This Row],[Account Withdrawl Amount]], )</f>
        <v>0</v>
      </c>
      <c r="J320" s="243">
        <f>IF(Table334[[#This Row],[Category]]="Cookies",Table334[[#This Row],[Account Deposit Amount]]-Table334[[#This Row],[Account Withdrawl Amount]], )</f>
        <v>0</v>
      </c>
      <c r="K320" s="243">
        <f>IF(Table334[[#This Row],[Category]]="Additional Money Earning Activities",Table334[[#This Row],[Account Deposit Amount]]-Table334[[#This Row],[Account Withdrawl Amount]], )</f>
        <v>0</v>
      </c>
      <c r="L320" s="243">
        <f>IF(Table334[[#This Row],[Category]]="Sponsorships",Table334[[#This Row],[Account Deposit Amount]]-Table334[[#This Row],[Account Withdrawl Amount]], )</f>
        <v>0</v>
      </c>
      <c r="M320" s="243">
        <f>IF(Table334[[#This Row],[Category]]="Troop Dues",Table334[[#This Row],[Account Deposit Amount]]-Table334[[#This Row],[Account Withdrawl Amount]], )</f>
        <v>0</v>
      </c>
      <c r="N320" s="243">
        <f>IF(Table334[[#This Row],[Category]]="Other Income",Table334[[#This Row],[Account Deposit Amount]]-Table334[[#This Row],[Account Withdrawl Amount]], )</f>
        <v>0</v>
      </c>
      <c r="O320" s="243">
        <f>IF(Table334[[#This Row],[Category]]="Registration",Table334[[#This Row],[Account Deposit Amount]]-Table334[[#This Row],[Account Withdrawl Amount]], )</f>
        <v>0</v>
      </c>
      <c r="P320" s="243">
        <f>IF(Table334[[#This Row],[Category]]="Insignia",Table334[[#This Row],[Account Deposit Amount]]-Table334[[#This Row],[Account Withdrawl Amount]], )</f>
        <v>0</v>
      </c>
      <c r="Q320" s="243">
        <f>IF(Table334[[#This Row],[Category]]="Activities/Program",Table334[[#This Row],[Account Deposit Amount]]-Table334[[#This Row],[Account Withdrawl Amount]], )</f>
        <v>0</v>
      </c>
      <c r="R320" s="243">
        <f>IF(Table334[[#This Row],[Category]]="Travel",Table334[[#This Row],[Account Deposit Amount]]-Table334[[#This Row],[Account Withdrawl Amount]], )</f>
        <v>0</v>
      </c>
      <c r="S320" s="243">
        <f>IF(Table334[[#This Row],[Category]]="Parties Food &amp; Beverages",Table334[[#This Row],[Account Deposit Amount]]-Table334[[#This Row],[Account Withdrawl Amount]], )</f>
        <v>0</v>
      </c>
      <c r="T320" s="243">
        <f>IF(Table334[[#This Row],[Category]]="Service Projects Donation",Table334[[#This Row],[Account Deposit Amount]]-Table334[[#This Row],[Account Withdrawl Amount]], )</f>
        <v>0</v>
      </c>
      <c r="U320" s="243">
        <f>IF(Table334[[#This Row],[Category]]="Cookie Debt",Table334[[#This Row],[Account Deposit Amount]]-Table334[[#This Row],[Account Withdrawl Amount]], )</f>
        <v>0</v>
      </c>
      <c r="V320" s="243">
        <f>IF(Table334[[#This Row],[Category]]="Other Expense",Table334[[#This Row],[Account Deposit Amount]]-Table334[[#This Row],[Account Withdrawl Amount]], )</f>
        <v>0</v>
      </c>
    </row>
    <row r="321" spans="1:22">
      <c r="A321" s="225"/>
      <c r="B321" s="241"/>
      <c r="C321" s="225"/>
      <c r="D321" s="225"/>
      <c r="E321" s="242"/>
      <c r="F321" s="242"/>
      <c r="G321" s="243">
        <f t="shared" si="8"/>
        <v>2518.9699999999939</v>
      </c>
      <c r="H321" s="225"/>
      <c r="I321" s="243">
        <f>IF(Table334[[#This Row],[Category]]="Fall Product",Table334[[#This Row],[Account Deposit Amount]]-Table334[[#This Row],[Account Withdrawl Amount]], )</f>
        <v>0</v>
      </c>
      <c r="J321" s="243">
        <f>IF(Table334[[#This Row],[Category]]="Cookies",Table334[[#This Row],[Account Deposit Amount]]-Table334[[#This Row],[Account Withdrawl Amount]], )</f>
        <v>0</v>
      </c>
      <c r="K321" s="243">
        <f>IF(Table334[[#This Row],[Category]]="Additional Money Earning Activities",Table334[[#This Row],[Account Deposit Amount]]-Table334[[#This Row],[Account Withdrawl Amount]], )</f>
        <v>0</v>
      </c>
      <c r="L321" s="243">
        <f>IF(Table334[[#This Row],[Category]]="Sponsorships",Table334[[#This Row],[Account Deposit Amount]]-Table334[[#This Row],[Account Withdrawl Amount]], )</f>
        <v>0</v>
      </c>
      <c r="M321" s="243">
        <f>IF(Table334[[#This Row],[Category]]="Troop Dues",Table334[[#This Row],[Account Deposit Amount]]-Table334[[#This Row],[Account Withdrawl Amount]], )</f>
        <v>0</v>
      </c>
      <c r="N321" s="243">
        <f>IF(Table334[[#This Row],[Category]]="Other Income",Table334[[#This Row],[Account Deposit Amount]]-Table334[[#This Row],[Account Withdrawl Amount]], )</f>
        <v>0</v>
      </c>
      <c r="O321" s="243">
        <f>IF(Table334[[#This Row],[Category]]="Registration",Table334[[#This Row],[Account Deposit Amount]]-Table334[[#This Row],[Account Withdrawl Amount]], )</f>
        <v>0</v>
      </c>
      <c r="P321" s="243">
        <f>IF(Table334[[#This Row],[Category]]="Insignia",Table334[[#This Row],[Account Deposit Amount]]-Table334[[#This Row],[Account Withdrawl Amount]], )</f>
        <v>0</v>
      </c>
      <c r="Q321" s="243">
        <f>IF(Table334[[#This Row],[Category]]="Activities/Program",Table334[[#This Row],[Account Deposit Amount]]-Table334[[#This Row],[Account Withdrawl Amount]], )</f>
        <v>0</v>
      </c>
      <c r="R321" s="243">
        <f>IF(Table334[[#This Row],[Category]]="Travel",Table334[[#This Row],[Account Deposit Amount]]-Table334[[#This Row],[Account Withdrawl Amount]], )</f>
        <v>0</v>
      </c>
      <c r="S321" s="243">
        <f>IF(Table334[[#This Row],[Category]]="Parties Food &amp; Beverages",Table334[[#This Row],[Account Deposit Amount]]-Table334[[#This Row],[Account Withdrawl Amount]], )</f>
        <v>0</v>
      </c>
      <c r="T321" s="243">
        <f>IF(Table334[[#This Row],[Category]]="Service Projects Donation",Table334[[#This Row],[Account Deposit Amount]]-Table334[[#This Row],[Account Withdrawl Amount]], )</f>
        <v>0</v>
      </c>
      <c r="U321" s="243">
        <f>IF(Table334[[#This Row],[Category]]="Cookie Debt",Table334[[#This Row],[Account Deposit Amount]]-Table334[[#This Row],[Account Withdrawl Amount]], )</f>
        <v>0</v>
      </c>
      <c r="V321" s="243">
        <f>IF(Table334[[#This Row],[Category]]="Other Expense",Table334[[#This Row],[Account Deposit Amount]]-Table334[[#This Row],[Account Withdrawl Amount]], )</f>
        <v>0</v>
      </c>
    </row>
    <row r="322" spans="1:22">
      <c r="A322" s="225"/>
      <c r="B322" s="241"/>
      <c r="C322" s="225"/>
      <c r="D322" s="225"/>
      <c r="E322" s="242"/>
      <c r="F322" s="242"/>
      <c r="G322" s="243">
        <f t="shared" si="8"/>
        <v>2518.9699999999939</v>
      </c>
      <c r="H322" s="225"/>
      <c r="I322" s="243">
        <f>IF(Table334[[#This Row],[Category]]="Fall Product",Table334[[#This Row],[Account Deposit Amount]]-Table334[[#This Row],[Account Withdrawl Amount]], )</f>
        <v>0</v>
      </c>
      <c r="J322" s="243">
        <f>IF(Table334[[#This Row],[Category]]="Cookies",Table334[[#This Row],[Account Deposit Amount]]-Table334[[#This Row],[Account Withdrawl Amount]], )</f>
        <v>0</v>
      </c>
      <c r="K322" s="243">
        <f>IF(Table334[[#This Row],[Category]]="Additional Money Earning Activities",Table334[[#This Row],[Account Deposit Amount]]-Table334[[#This Row],[Account Withdrawl Amount]], )</f>
        <v>0</v>
      </c>
      <c r="L322" s="243">
        <f>IF(Table334[[#This Row],[Category]]="Sponsorships",Table334[[#This Row],[Account Deposit Amount]]-Table334[[#This Row],[Account Withdrawl Amount]], )</f>
        <v>0</v>
      </c>
      <c r="M322" s="243">
        <f>IF(Table334[[#This Row],[Category]]="Troop Dues",Table334[[#This Row],[Account Deposit Amount]]-Table334[[#This Row],[Account Withdrawl Amount]], )</f>
        <v>0</v>
      </c>
      <c r="N322" s="243">
        <f>IF(Table334[[#This Row],[Category]]="Other Income",Table334[[#This Row],[Account Deposit Amount]]-Table334[[#This Row],[Account Withdrawl Amount]], )</f>
        <v>0</v>
      </c>
      <c r="O322" s="243">
        <f>IF(Table334[[#This Row],[Category]]="Registration",Table334[[#This Row],[Account Deposit Amount]]-Table334[[#This Row],[Account Withdrawl Amount]], )</f>
        <v>0</v>
      </c>
      <c r="P322" s="243">
        <f>IF(Table334[[#This Row],[Category]]="Insignia",Table334[[#This Row],[Account Deposit Amount]]-Table334[[#This Row],[Account Withdrawl Amount]], )</f>
        <v>0</v>
      </c>
      <c r="Q322" s="243">
        <f>IF(Table334[[#This Row],[Category]]="Activities/Program",Table334[[#This Row],[Account Deposit Amount]]-Table334[[#This Row],[Account Withdrawl Amount]], )</f>
        <v>0</v>
      </c>
      <c r="R322" s="243">
        <f>IF(Table334[[#This Row],[Category]]="Travel",Table334[[#This Row],[Account Deposit Amount]]-Table334[[#This Row],[Account Withdrawl Amount]], )</f>
        <v>0</v>
      </c>
      <c r="S322" s="243">
        <f>IF(Table334[[#This Row],[Category]]="Parties Food &amp; Beverages",Table334[[#This Row],[Account Deposit Amount]]-Table334[[#This Row],[Account Withdrawl Amount]], )</f>
        <v>0</v>
      </c>
      <c r="T322" s="243">
        <f>IF(Table334[[#This Row],[Category]]="Service Projects Donation",Table334[[#This Row],[Account Deposit Amount]]-Table334[[#This Row],[Account Withdrawl Amount]], )</f>
        <v>0</v>
      </c>
      <c r="U322" s="243">
        <f>IF(Table334[[#This Row],[Category]]="Cookie Debt",Table334[[#This Row],[Account Deposit Amount]]-Table334[[#This Row],[Account Withdrawl Amount]], )</f>
        <v>0</v>
      </c>
      <c r="V322" s="243">
        <f>IF(Table334[[#This Row],[Category]]="Other Expense",Table334[[#This Row],[Account Deposit Amount]]-Table334[[#This Row],[Account Withdrawl Amount]], )</f>
        <v>0</v>
      </c>
    </row>
    <row r="323" spans="1:22">
      <c r="A323" s="225"/>
      <c r="B323" s="241"/>
      <c r="C323" s="225"/>
      <c r="D323" s="225"/>
      <c r="E323" s="242"/>
      <c r="F323" s="242"/>
      <c r="G323" s="243">
        <f t="shared" si="8"/>
        <v>2518.9699999999939</v>
      </c>
      <c r="H323" s="225"/>
      <c r="I323" s="243">
        <f>IF(Table334[[#This Row],[Category]]="Fall Product",Table334[[#This Row],[Account Deposit Amount]]-Table334[[#This Row],[Account Withdrawl Amount]], )</f>
        <v>0</v>
      </c>
      <c r="J323" s="243">
        <f>IF(Table334[[#This Row],[Category]]="Cookies",Table334[[#This Row],[Account Deposit Amount]]-Table334[[#This Row],[Account Withdrawl Amount]], )</f>
        <v>0</v>
      </c>
      <c r="K323" s="243">
        <f>IF(Table334[[#This Row],[Category]]="Additional Money Earning Activities",Table334[[#This Row],[Account Deposit Amount]]-Table334[[#This Row],[Account Withdrawl Amount]], )</f>
        <v>0</v>
      </c>
      <c r="L323" s="243">
        <f>IF(Table334[[#This Row],[Category]]="Sponsorships",Table334[[#This Row],[Account Deposit Amount]]-Table334[[#This Row],[Account Withdrawl Amount]], )</f>
        <v>0</v>
      </c>
      <c r="M323" s="243">
        <f>IF(Table334[[#This Row],[Category]]="Troop Dues",Table334[[#This Row],[Account Deposit Amount]]-Table334[[#This Row],[Account Withdrawl Amount]], )</f>
        <v>0</v>
      </c>
      <c r="N323" s="243">
        <f>IF(Table334[[#This Row],[Category]]="Other Income",Table334[[#This Row],[Account Deposit Amount]]-Table334[[#This Row],[Account Withdrawl Amount]], )</f>
        <v>0</v>
      </c>
      <c r="O323" s="243">
        <f>IF(Table334[[#This Row],[Category]]="Registration",Table334[[#This Row],[Account Deposit Amount]]-Table334[[#This Row],[Account Withdrawl Amount]], )</f>
        <v>0</v>
      </c>
      <c r="P323" s="243">
        <f>IF(Table334[[#This Row],[Category]]="Insignia",Table334[[#This Row],[Account Deposit Amount]]-Table334[[#This Row],[Account Withdrawl Amount]], )</f>
        <v>0</v>
      </c>
      <c r="Q323" s="243">
        <f>IF(Table334[[#This Row],[Category]]="Activities/Program",Table334[[#This Row],[Account Deposit Amount]]-Table334[[#This Row],[Account Withdrawl Amount]], )</f>
        <v>0</v>
      </c>
      <c r="R323" s="243">
        <f>IF(Table334[[#This Row],[Category]]="Travel",Table334[[#This Row],[Account Deposit Amount]]-Table334[[#This Row],[Account Withdrawl Amount]], )</f>
        <v>0</v>
      </c>
      <c r="S323" s="243">
        <f>IF(Table334[[#This Row],[Category]]="Parties Food &amp; Beverages",Table334[[#This Row],[Account Deposit Amount]]-Table334[[#This Row],[Account Withdrawl Amount]], )</f>
        <v>0</v>
      </c>
      <c r="T323" s="243">
        <f>IF(Table334[[#This Row],[Category]]="Service Projects Donation",Table334[[#This Row],[Account Deposit Amount]]-Table334[[#This Row],[Account Withdrawl Amount]], )</f>
        <v>0</v>
      </c>
      <c r="U323" s="243">
        <f>IF(Table334[[#This Row],[Category]]="Cookie Debt",Table334[[#This Row],[Account Deposit Amount]]-Table334[[#This Row],[Account Withdrawl Amount]], )</f>
        <v>0</v>
      </c>
      <c r="V323" s="243">
        <f>IF(Table334[[#This Row],[Category]]="Other Expense",Table334[[#This Row],[Account Deposit Amount]]-Table334[[#This Row],[Account Withdrawl Amount]], )</f>
        <v>0</v>
      </c>
    </row>
    <row r="324" spans="1:22">
      <c r="A324" s="225"/>
      <c r="B324" s="241"/>
      <c r="C324" s="225"/>
      <c r="D324" s="225"/>
      <c r="E324" s="242"/>
      <c r="F324" s="242"/>
      <c r="G324" s="243">
        <f t="shared" si="8"/>
        <v>2518.9699999999939</v>
      </c>
      <c r="H324" s="225"/>
      <c r="I324" s="243">
        <f>IF(Table334[[#This Row],[Category]]="Fall Product",Table334[[#This Row],[Account Deposit Amount]]-Table334[[#This Row],[Account Withdrawl Amount]], )</f>
        <v>0</v>
      </c>
      <c r="J324" s="243">
        <f>IF(Table334[[#This Row],[Category]]="Cookies",Table334[[#This Row],[Account Deposit Amount]]-Table334[[#This Row],[Account Withdrawl Amount]], )</f>
        <v>0</v>
      </c>
      <c r="K324" s="243">
        <f>IF(Table334[[#This Row],[Category]]="Additional Money Earning Activities",Table334[[#This Row],[Account Deposit Amount]]-Table334[[#This Row],[Account Withdrawl Amount]], )</f>
        <v>0</v>
      </c>
      <c r="L324" s="243">
        <f>IF(Table334[[#This Row],[Category]]="Sponsorships",Table334[[#This Row],[Account Deposit Amount]]-Table334[[#This Row],[Account Withdrawl Amount]], )</f>
        <v>0</v>
      </c>
      <c r="M324" s="243">
        <f>IF(Table334[[#This Row],[Category]]="Troop Dues",Table334[[#This Row],[Account Deposit Amount]]-Table334[[#This Row],[Account Withdrawl Amount]], )</f>
        <v>0</v>
      </c>
      <c r="N324" s="243">
        <f>IF(Table334[[#This Row],[Category]]="Other Income",Table334[[#This Row],[Account Deposit Amount]]-Table334[[#This Row],[Account Withdrawl Amount]], )</f>
        <v>0</v>
      </c>
      <c r="O324" s="243">
        <f>IF(Table334[[#This Row],[Category]]="Registration",Table334[[#This Row],[Account Deposit Amount]]-Table334[[#This Row],[Account Withdrawl Amount]], )</f>
        <v>0</v>
      </c>
      <c r="P324" s="243">
        <f>IF(Table334[[#This Row],[Category]]="Insignia",Table334[[#This Row],[Account Deposit Amount]]-Table334[[#This Row],[Account Withdrawl Amount]], )</f>
        <v>0</v>
      </c>
      <c r="Q324" s="243">
        <f>IF(Table334[[#This Row],[Category]]="Activities/Program",Table334[[#This Row],[Account Deposit Amount]]-Table334[[#This Row],[Account Withdrawl Amount]], )</f>
        <v>0</v>
      </c>
      <c r="R324" s="243">
        <f>IF(Table334[[#This Row],[Category]]="Travel",Table334[[#This Row],[Account Deposit Amount]]-Table334[[#This Row],[Account Withdrawl Amount]], )</f>
        <v>0</v>
      </c>
      <c r="S324" s="243">
        <f>IF(Table334[[#This Row],[Category]]="Parties Food &amp; Beverages",Table334[[#This Row],[Account Deposit Amount]]-Table334[[#This Row],[Account Withdrawl Amount]], )</f>
        <v>0</v>
      </c>
      <c r="T324" s="243">
        <f>IF(Table334[[#This Row],[Category]]="Service Projects Donation",Table334[[#This Row],[Account Deposit Amount]]-Table334[[#This Row],[Account Withdrawl Amount]], )</f>
        <v>0</v>
      </c>
      <c r="U324" s="243">
        <f>IF(Table334[[#This Row],[Category]]="Cookie Debt",Table334[[#This Row],[Account Deposit Amount]]-Table334[[#This Row],[Account Withdrawl Amount]], )</f>
        <v>0</v>
      </c>
      <c r="V324" s="243">
        <f>IF(Table334[[#This Row],[Category]]="Other Expense",Table334[[#This Row],[Account Deposit Amount]]-Table334[[#This Row],[Account Withdrawl Amount]], )</f>
        <v>0</v>
      </c>
    </row>
    <row r="325" spans="1:22">
      <c r="A325" s="225"/>
      <c r="B325" s="241"/>
      <c r="C325" s="225"/>
      <c r="D325" s="225"/>
      <c r="E325" s="242"/>
      <c r="F325" s="242"/>
      <c r="G325" s="243">
        <f t="shared" si="8"/>
        <v>2518.9699999999939</v>
      </c>
      <c r="H325" s="225"/>
      <c r="I325" s="243">
        <f>IF(Table334[[#This Row],[Category]]="Fall Product",Table334[[#This Row],[Account Deposit Amount]]-Table334[[#This Row],[Account Withdrawl Amount]], )</f>
        <v>0</v>
      </c>
      <c r="J325" s="243">
        <f>IF(Table334[[#This Row],[Category]]="Cookies",Table334[[#This Row],[Account Deposit Amount]]-Table334[[#This Row],[Account Withdrawl Amount]], )</f>
        <v>0</v>
      </c>
      <c r="K325" s="243">
        <f>IF(Table334[[#This Row],[Category]]="Additional Money Earning Activities",Table334[[#This Row],[Account Deposit Amount]]-Table334[[#This Row],[Account Withdrawl Amount]], )</f>
        <v>0</v>
      </c>
      <c r="L325" s="243">
        <f>IF(Table334[[#This Row],[Category]]="Sponsorships",Table334[[#This Row],[Account Deposit Amount]]-Table334[[#This Row],[Account Withdrawl Amount]], )</f>
        <v>0</v>
      </c>
      <c r="M325" s="243">
        <f>IF(Table334[[#This Row],[Category]]="Troop Dues",Table334[[#This Row],[Account Deposit Amount]]-Table334[[#This Row],[Account Withdrawl Amount]], )</f>
        <v>0</v>
      </c>
      <c r="N325" s="243">
        <f>IF(Table334[[#This Row],[Category]]="Other Income",Table334[[#This Row],[Account Deposit Amount]]-Table334[[#This Row],[Account Withdrawl Amount]], )</f>
        <v>0</v>
      </c>
      <c r="O325" s="243">
        <f>IF(Table334[[#This Row],[Category]]="Registration",Table334[[#This Row],[Account Deposit Amount]]-Table334[[#This Row],[Account Withdrawl Amount]], )</f>
        <v>0</v>
      </c>
      <c r="P325" s="243">
        <f>IF(Table334[[#This Row],[Category]]="Insignia",Table334[[#This Row],[Account Deposit Amount]]-Table334[[#This Row],[Account Withdrawl Amount]], )</f>
        <v>0</v>
      </c>
      <c r="Q325" s="243">
        <f>IF(Table334[[#This Row],[Category]]="Activities/Program",Table334[[#This Row],[Account Deposit Amount]]-Table334[[#This Row],[Account Withdrawl Amount]], )</f>
        <v>0</v>
      </c>
      <c r="R325" s="243">
        <f>IF(Table334[[#This Row],[Category]]="Travel",Table334[[#This Row],[Account Deposit Amount]]-Table334[[#This Row],[Account Withdrawl Amount]], )</f>
        <v>0</v>
      </c>
      <c r="S325" s="243">
        <f>IF(Table334[[#This Row],[Category]]="Parties Food &amp; Beverages",Table334[[#This Row],[Account Deposit Amount]]-Table334[[#This Row],[Account Withdrawl Amount]], )</f>
        <v>0</v>
      </c>
      <c r="T325" s="243">
        <f>IF(Table334[[#This Row],[Category]]="Service Projects Donation",Table334[[#This Row],[Account Deposit Amount]]-Table334[[#This Row],[Account Withdrawl Amount]], )</f>
        <v>0</v>
      </c>
      <c r="U325" s="243">
        <f>IF(Table334[[#This Row],[Category]]="Cookie Debt",Table334[[#This Row],[Account Deposit Amount]]-Table334[[#This Row],[Account Withdrawl Amount]], )</f>
        <v>0</v>
      </c>
      <c r="V325" s="243">
        <f>IF(Table334[[#This Row],[Category]]="Other Expense",Table334[[#This Row],[Account Deposit Amount]]-Table334[[#This Row],[Account Withdrawl Amount]], )</f>
        <v>0</v>
      </c>
    </row>
    <row r="326" spans="1:22">
      <c r="A326" s="225"/>
      <c r="B326" s="241"/>
      <c r="C326" s="225"/>
      <c r="D326" s="225"/>
      <c r="E326" s="242"/>
      <c r="F326" s="242"/>
      <c r="G326" s="243">
        <f t="shared" si="8"/>
        <v>2518.9699999999939</v>
      </c>
      <c r="H326" s="225"/>
      <c r="I326" s="243">
        <f>IF(Table334[[#This Row],[Category]]="Fall Product",Table334[[#This Row],[Account Deposit Amount]]-Table334[[#This Row],[Account Withdrawl Amount]], )</f>
        <v>0</v>
      </c>
      <c r="J326" s="243">
        <f>IF(Table334[[#This Row],[Category]]="Cookies",Table334[[#This Row],[Account Deposit Amount]]-Table334[[#This Row],[Account Withdrawl Amount]], )</f>
        <v>0</v>
      </c>
      <c r="K326" s="243">
        <f>IF(Table334[[#This Row],[Category]]="Additional Money Earning Activities",Table334[[#This Row],[Account Deposit Amount]]-Table334[[#This Row],[Account Withdrawl Amount]], )</f>
        <v>0</v>
      </c>
      <c r="L326" s="243">
        <f>IF(Table334[[#This Row],[Category]]="Sponsorships",Table334[[#This Row],[Account Deposit Amount]]-Table334[[#This Row],[Account Withdrawl Amount]], )</f>
        <v>0</v>
      </c>
      <c r="M326" s="243">
        <f>IF(Table334[[#This Row],[Category]]="Troop Dues",Table334[[#This Row],[Account Deposit Amount]]-Table334[[#This Row],[Account Withdrawl Amount]], )</f>
        <v>0</v>
      </c>
      <c r="N326" s="243">
        <f>IF(Table334[[#This Row],[Category]]="Other Income",Table334[[#This Row],[Account Deposit Amount]]-Table334[[#This Row],[Account Withdrawl Amount]], )</f>
        <v>0</v>
      </c>
      <c r="O326" s="243">
        <f>IF(Table334[[#This Row],[Category]]="Registration",Table334[[#This Row],[Account Deposit Amount]]-Table334[[#This Row],[Account Withdrawl Amount]], )</f>
        <v>0</v>
      </c>
      <c r="P326" s="243">
        <f>IF(Table334[[#This Row],[Category]]="Insignia",Table334[[#This Row],[Account Deposit Amount]]-Table334[[#This Row],[Account Withdrawl Amount]], )</f>
        <v>0</v>
      </c>
      <c r="Q326" s="243">
        <f>IF(Table334[[#This Row],[Category]]="Activities/Program",Table334[[#This Row],[Account Deposit Amount]]-Table334[[#This Row],[Account Withdrawl Amount]], )</f>
        <v>0</v>
      </c>
      <c r="R326" s="243">
        <f>IF(Table334[[#This Row],[Category]]="Travel",Table334[[#This Row],[Account Deposit Amount]]-Table334[[#This Row],[Account Withdrawl Amount]], )</f>
        <v>0</v>
      </c>
      <c r="S326" s="243">
        <f>IF(Table334[[#This Row],[Category]]="Parties Food &amp; Beverages",Table334[[#This Row],[Account Deposit Amount]]-Table334[[#This Row],[Account Withdrawl Amount]], )</f>
        <v>0</v>
      </c>
      <c r="T326" s="243">
        <f>IF(Table334[[#This Row],[Category]]="Service Projects Donation",Table334[[#This Row],[Account Deposit Amount]]-Table334[[#This Row],[Account Withdrawl Amount]], )</f>
        <v>0</v>
      </c>
      <c r="U326" s="243">
        <f>IF(Table334[[#This Row],[Category]]="Cookie Debt",Table334[[#This Row],[Account Deposit Amount]]-Table334[[#This Row],[Account Withdrawl Amount]], )</f>
        <v>0</v>
      </c>
      <c r="V326" s="243">
        <f>IF(Table334[[#This Row],[Category]]="Other Expense",Table334[[#This Row],[Account Deposit Amount]]-Table334[[#This Row],[Account Withdrawl Amount]], )</f>
        <v>0</v>
      </c>
    </row>
    <row r="327" spans="1:22">
      <c r="A327" s="225"/>
      <c r="B327" s="241"/>
      <c r="C327" s="225"/>
      <c r="D327" s="225"/>
      <c r="E327" s="242"/>
      <c r="F327" s="242"/>
      <c r="G327" s="243">
        <f t="shared" si="8"/>
        <v>2518.9699999999939</v>
      </c>
      <c r="H327" s="225"/>
      <c r="I327" s="243">
        <f>IF(Table334[[#This Row],[Category]]="Fall Product",Table334[[#This Row],[Account Deposit Amount]]-Table334[[#This Row],[Account Withdrawl Amount]], )</f>
        <v>0</v>
      </c>
      <c r="J327" s="243">
        <f>IF(Table334[[#This Row],[Category]]="Cookies",Table334[[#This Row],[Account Deposit Amount]]-Table334[[#This Row],[Account Withdrawl Amount]], )</f>
        <v>0</v>
      </c>
      <c r="K327" s="243">
        <f>IF(Table334[[#This Row],[Category]]="Additional Money Earning Activities",Table334[[#This Row],[Account Deposit Amount]]-Table334[[#This Row],[Account Withdrawl Amount]], )</f>
        <v>0</v>
      </c>
      <c r="L327" s="243">
        <f>IF(Table334[[#This Row],[Category]]="Sponsorships",Table334[[#This Row],[Account Deposit Amount]]-Table334[[#This Row],[Account Withdrawl Amount]], )</f>
        <v>0</v>
      </c>
      <c r="M327" s="243">
        <f>IF(Table334[[#This Row],[Category]]="Troop Dues",Table334[[#This Row],[Account Deposit Amount]]-Table334[[#This Row],[Account Withdrawl Amount]], )</f>
        <v>0</v>
      </c>
      <c r="N327" s="243">
        <f>IF(Table334[[#This Row],[Category]]="Other Income",Table334[[#This Row],[Account Deposit Amount]]-Table334[[#This Row],[Account Withdrawl Amount]], )</f>
        <v>0</v>
      </c>
      <c r="O327" s="243">
        <f>IF(Table334[[#This Row],[Category]]="Registration",Table334[[#This Row],[Account Deposit Amount]]-Table334[[#This Row],[Account Withdrawl Amount]], )</f>
        <v>0</v>
      </c>
      <c r="P327" s="243">
        <f>IF(Table334[[#This Row],[Category]]="Insignia",Table334[[#This Row],[Account Deposit Amount]]-Table334[[#This Row],[Account Withdrawl Amount]], )</f>
        <v>0</v>
      </c>
      <c r="Q327" s="243">
        <f>IF(Table334[[#This Row],[Category]]="Activities/Program",Table334[[#This Row],[Account Deposit Amount]]-Table334[[#This Row],[Account Withdrawl Amount]], )</f>
        <v>0</v>
      </c>
      <c r="R327" s="243">
        <f>IF(Table334[[#This Row],[Category]]="Travel",Table334[[#This Row],[Account Deposit Amount]]-Table334[[#This Row],[Account Withdrawl Amount]], )</f>
        <v>0</v>
      </c>
      <c r="S327" s="243">
        <f>IF(Table334[[#This Row],[Category]]="Parties Food &amp; Beverages",Table334[[#This Row],[Account Deposit Amount]]-Table334[[#This Row],[Account Withdrawl Amount]], )</f>
        <v>0</v>
      </c>
      <c r="T327" s="243">
        <f>IF(Table334[[#This Row],[Category]]="Service Projects Donation",Table334[[#This Row],[Account Deposit Amount]]-Table334[[#This Row],[Account Withdrawl Amount]], )</f>
        <v>0</v>
      </c>
      <c r="U327" s="243">
        <f>IF(Table334[[#This Row],[Category]]="Cookie Debt",Table334[[#This Row],[Account Deposit Amount]]-Table334[[#This Row],[Account Withdrawl Amount]], )</f>
        <v>0</v>
      </c>
      <c r="V327" s="243">
        <f>IF(Table334[[#This Row],[Category]]="Other Expense",Table334[[#This Row],[Account Deposit Amount]]-Table334[[#This Row],[Account Withdrawl Amount]], )</f>
        <v>0</v>
      </c>
    </row>
    <row r="328" spans="1:22">
      <c r="A328" s="225"/>
      <c r="B328" s="241"/>
      <c r="C328" s="225"/>
      <c r="D328" s="225"/>
      <c r="E328" s="242"/>
      <c r="F328" s="242"/>
      <c r="G328" s="243">
        <f t="shared" si="8"/>
        <v>2518.9699999999939</v>
      </c>
      <c r="H328" s="225"/>
      <c r="I328" s="243">
        <f>IF(Table334[[#This Row],[Category]]="Fall Product",Table334[[#This Row],[Account Deposit Amount]]-Table334[[#This Row],[Account Withdrawl Amount]], )</f>
        <v>0</v>
      </c>
      <c r="J328" s="243">
        <f>IF(Table334[[#This Row],[Category]]="Cookies",Table334[[#This Row],[Account Deposit Amount]]-Table334[[#This Row],[Account Withdrawl Amount]], )</f>
        <v>0</v>
      </c>
      <c r="K328" s="243">
        <f>IF(Table334[[#This Row],[Category]]="Additional Money Earning Activities",Table334[[#This Row],[Account Deposit Amount]]-Table334[[#This Row],[Account Withdrawl Amount]], )</f>
        <v>0</v>
      </c>
      <c r="L328" s="243">
        <f>IF(Table334[[#This Row],[Category]]="Sponsorships",Table334[[#This Row],[Account Deposit Amount]]-Table334[[#This Row],[Account Withdrawl Amount]], )</f>
        <v>0</v>
      </c>
      <c r="M328" s="243">
        <f>IF(Table334[[#This Row],[Category]]="Troop Dues",Table334[[#This Row],[Account Deposit Amount]]-Table334[[#This Row],[Account Withdrawl Amount]], )</f>
        <v>0</v>
      </c>
      <c r="N328" s="243">
        <f>IF(Table334[[#This Row],[Category]]="Other Income",Table334[[#This Row],[Account Deposit Amount]]-Table334[[#This Row],[Account Withdrawl Amount]], )</f>
        <v>0</v>
      </c>
      <c r="O328" s="243">
        <f>IF(Table334[[#This Row],[Category]]="Registration",Table334[[#This Row],[Account Deposit Amount]]-Table334[[#This Row],[Account Withdrawl Amount]], )</f>
        <v>0</v>
      </c>
      <c r="P328" s="243">
        <f>IF(Table334[[#This Row],[Category]]="Insignia",Table334[[#This Row],[Account Deposit Amount]]-Table334[[#This Row],[Account Withdrawl Amount]], )</f>
        <v>0</v>
      </c>
      <c r="Q328" s="243">
        <f>IF(Table334[[#This Row],[Category]]="Activities/Program",Table334[[#This Row],[Account Deposit Amount]]-Table334[[#This Row],[Account Withdrawl Amount]], )</f>
        <v>0</v>
      </c>
      <c r="R328" s="243">
        <f>IF(Table334[[#This Row],[Category]]="Travel",Table334[[#This Row],[Account Deposit Amount]]-Table334[[#This Row],[Account Withdrawl Amount]], )</f>
        <v>0</v>
      </c>
      <c r="S328" s="243">
        <f>IF(Table334[[#This Row],[Category]]="Parties Food &amp; Beverages",Table334[[#This Row],[Account Deposit Amount]]-Table334[[#This Row],[Account Withdrawl Amount]], )</f>
        <v>0</v>
      </c>
      <c r="T328" s="243">
        <f>IF(Table334[[#This Row],[Category]]="Service Projects Donation",Table334[[#This Row],[Account Deposit Amount]]-Table334[[#This Row],[Account Withdrawl Amount]], )</f>
        <v>0</v>
      </c>
      <c r="U328" s="243">
        <f>IF(Table334[[#This Row],[Category]]="Cookie Debt",Table334[[#This Row],[Account Deposit Amount]]-Table334[[#This Row],[Account Withdrawl Amount]], )</f>
        <v>0</v>
      </c>
      <c r="V328" s="243">
        <f>IF(Table334[[#This Row],[Category]]="Other Expense",Table334[[#This Row],[Account Deposit Amount]]-Table334[[#This Row],[Account Withdrawl Amount]], )</f>
        <v>0</v>
      </c>
    </row>
    <row r="329" spans="1:22">
      <c r="A329" s="225"/>
      <c r="B329" s="241"/>
      <c r="C329" s="225"/>
      <c r="D329" s="225"/>
      <c r="E329" s="242"/>
      <c r="F329" s="242"/>
      <c r="G329" s="243">
        <f t="shared" si="8"/>
        <v>2518.9699999999939</v>
      </c>
      <c r="H329" s="225"/>
      <c r="I329" s="243">
        <f>IF(Table334[[#This Row],[Category]]="Fall Product",Table334[[#This Row],[Account Deposit Amount]]-Table334[[#This Row],[Account Withdrawl Amount]], )</f>
        <v>0</v>
      </c>
      <c r="J329" s="243">
        <f>IF(Table334[[#This Row],[Category]]="Cookies",Table334[[#This Row],[Account Deposit Amount]]-Table334[[#This Row],[Account Withdrawl Amount]], )</f>
        <v>0</v>
      </c>
      <c r="K329" s="243">
        <f>IF(Table334[[#This Row],[Category]]="Additional Money Earning Activities",Table334[[#This Row],[Account Deposit Amount]]-Table334[[#This Row],[Account Withdrawl Amount]], )</f>
        <v>0</v>
      </c>
      <c r="L329" s="243">
        <f>IF(Table334[[#This Row],[Category]]="Sponsorships",Table334[[#This Row],[Account Deposit Amount]]-Table334[[#This Row],[Account Withdrawl Amount]], )</f>
        <v>0</v>
      </c>
      <c r="M329" s="243">
        <f>IF(Table334[[#This Row],[Category]]="Troop Dues",Table334[[#This Row],[Account Deposit Amount]]-Table334[[#This Row],[Account Withdrawl Amount]], )</f>
        <v>0</v>
      </c>
      <c r="N329" s="243">
        <f>IF(Table334[[#This Row],[Category]]="Other Income",Table334[[#This Row],[Account Deposit Amount]]-Table334[[#This Row],[Account Withdrawl Amount]], )</f>
        <v>0</v>
      </c>
      <c r="O329" s="243">
        <f>IF(Table334[[#This Row],[Category]]="Registration",Table334[[#This Row],[Account Deposit Amount]]-Table334[[#This Row],[Account Withdrawl Amount]], )</f>
        <v>0</v>
      </c>
      <c r="P329" s="243">
        <f>IF(Table334[[#This Row],[Category]]="Insignia",Table334[[#This Row],[Account Deposit Amount]]-Table334[[#This Row],[Account Withdrawl Amount]], )</f>
        <v>0</v>
      </c>
      <c r="Q329" s="243">
        <f>IF(Table334[[#This Row],[Category]]="Activities/Program",Table334[[#This Row],[Account Deposit Amount]]-Table334[[#This Row],[Account Withdrawl Amount]], )</f>
        <v>0</v>
      </c>
      <c r="R329" s="243">
        <f>IF(Table334[[#This Row],[Category]]="Travel",Table334[[#This Row],[Account Deposit Amount]]-Table334[[#This Row],[Account Withdrawl Amount]], )</f>
        <v>0</v>
      </c>
      <c r="S329" s="243">
        <f>IF(Table334[[#This Row],[Category]]="Parties Food &amp; Beverages",Table334[[#This Row],[Account Deposit Amount]]-Table334[[#This Row],[Account Withdrawl Amount]], )</f>
        <v>0</v>
      </c>
      <c r="T329" s="243">
        <f>IF(Table334[[#This Row],[Category]]="Service Projects Donation",Table334[[#This Row],[Account Deposit Amount]]-Table334[[#This Row],[Account Withdrawl Amount]], )</f>
        <v>0</v>
      </c>
      <c r="U329" s="243">
        <f>IF(Table334[[#This Row],[Category]]="Cookie Debt",Table334[[#This Row],[Account Deposit Amount]]-Table334[[#This Row],[Account Withdrawl Amount]], )</f>
        <v>0</v>
      </c>
      <c r="V329" s="243">
        <f>IF(Table334[[#This Row],[Category]]="Other Expense",Table334[[#This Row],[Account Deposit Amount]]-Table334[[#This Row],[Account Withdrawl Amount]], )</f>
        <v>0</v>
      </c>
    </row>
    <row r="330" spans="1:22">
      <c r="A330" s="225"/>
      <c r="B330" s="241"/>
      <c r="C330" s="225"/>
      <c r="D330" s="225"/>
      <c r="E330" s="242"/>
      <c r="F330" s="242"/>
      <c r="G330" s="243">
        <f t="shared" si="8"/>
        <v>2518.9699999999939</v>
      </c>
      <c r="H330" s="225"/>
      <c r="I330" s="243">
        <f>IF(Table334[[#This Row],[Category]]="Fall Product",Table334[[#This Row],[Account Deposit Amount]]-Table334[[#This Row],[Account Withdrawl Amount]], )</f>
        <v>0</v>
      </c>
      <c r="J330" s="243">
        <f>IF(Table334[[#This Row],[Category]]="Cookies",Table334[[#This Row],[Account Deposit Amount]]-Table334[[#This Row],[Account Withdrawl Amount]], )</f>
        <v>0</v>
      </c>
      <c r="K330" s="243">
        <f>IF(Table334[[#This Row],[Category]]="Additional Money Earning Activities",Table334[[#This Row],[Account Deposit Amount]]-Table334[[#This Row],[Account Withdrawl Amount]], )</f>
        <v>0</v>
      </c>
      <c r="L330" s="243">
        <f>IF(Table334[[#This Row],[Category]]="Sponsorships",Table334[[#This Row],[Account Deposit Amount]]-Table334[[#This Row],[Account Withdrawl Amount]], )</f>
        <v>0</v>
      </c>
      <c r="M330" s="243">
        <f>IF(Table334[[#This Row],[Category]]="Troop Dues",Table334[[#This Row],[Account Deposit Amount]]-Table334[[#This Row],[Account Withdrawl Amount]], )</f>
        <v>0</v>
      </c>
      <c r="N330" s="243">
        <f>IF(Table334[[#This Row],[Category]]="Other Income",Table334[[#This Row],[Account Deposit Amount]]-Table334[[#This Row],[Account Withdrawl Amount]], )</f>
        <v>0</v>
      </c>
      <c r="O330" s="243">
        <f>IF(Table334[[#This Row],[Category]]="Registration",Table334[[#This Row],[Account Deposit Amount]]-Table334[[#This Row],[Account Withdrawl Amount]], )</f>
        <v>0</v>
      </c>
      <c r="P330" s="243">
        <f>IF(Table334[[#This Row],[Category]]="Insignia",Table334[[#This Row],[Account Deposit Amount]]-Table334[[#This Row],[Account Withdrawl Amount]], )</f>
        <v>0</v>
      </c>
      <c r="Q330" s="243">
        <f>IF(Table334[[#This Row],[Category]]="Activities/Program",Table334[[#This Row],[Account Deposit Amount]]-Table334[[#This Row],[Account Withdrawl Amount]], )</f>
        <v>0</v>
      </c>
      <c r="R330" s="243">
        <f>IF(Table334[[#This Row],[Category]]="Travel",Table334[[#This Row],[Account Deposit Amount]]-Table334[[#This Row],[Account Withdrawl Amount]], )</f>
        <v>0</v>
      </c>
      <c r="S330" s="243">
        <f>IF(Table334[[#This Row],[Category]]="Parties Food &amp; Beverages",Table334[[#This Row],[Account Deposit Amount]]-Table334[[#This Row],[Account Withdrawl Amount]], )</f>
        <v>0</v>
      </c>
      <c r="T330" s="243">
        <f>IF(Table334[[#This Row],[Category]]="Service Projects Donation",Table334[[#This Row],[Account Deposit Amount]]-Table334[[#This Row],[Account Withdrawl Amount]], )</f>
        <v>0</v>
      </c>
      <c r="U330" s="243">
        <f>IF(Table334[[#This Row],[Category]]="Cookie Debt",Table334[[#This Row],[Account Deposit Amount]]-Table334[[#This Row],[Account Withdrawl Amount]], )</f>
        <v>0</v>
      </c>
      <c r="V330" s="243">
        <f>IF(Table334[[#This Row],[Category]]="Other Expense",Table334[[#This Row],[Account Deposit Amount]]-Table334[[#This Row],[Account Withdrawl Amount]], )</f>
        <v>0</v>
      </c>
    </row>
    <row r="331" spans="1:22">
      <c r="A331" s="225"/>
      <c r="B331" s="241"/>
      <c r="C331" s="225"/>
      <c r="D331" s="225"/>
      <c r="E331" s="242"/>
      <c r="F331" s="242"/>
      <c r="G331" s="243">
        <f t="shared" si="8"/>
        <v>2518.9699999999939</v>
      </c>
      <c r="H331" s="225"/>
      <c r="I331" s="243">
        <f>IF(Table334[[#This Row],[Category]]="Fall Product",Table334[[#This Row],[Account Deposit Amount]]-Table334[[#This Row],[Account Withdrawl Amount]], )</f>
        <v>0</v>
      </c>
      <c r="J331" s="243">
        <f>IF(Table334[[#This Row],[Category]]="Cookies",Table334[[#This Row],[Account Deposit Amount]]-Table334[[#This Row],[Account Withdrawl Amount]], )</f>
        <v>0</v>
      </c>
      <c r="K331" s="243">
        <f>IF(Table334[[#This Row],[Category]]="Additional Money Earning Activities",Table334[[#This Row],[Account Deposit Amount]]-Table334[[#This Row],[Account Withdrawl Amount]], )</f>
        <v>0</v>
      </c>
      <c r="L331" s="243">
        <f>IF(Table334[[#This Row],[Category]]="Sponsorships",Table334[[#This Row],[Account Deposit Amount]]-Table334[[#This Row],[Account Withdrawl Amount]], )</f>
        <v>0</v>
      </c>
      <c r="M331" s="243">
        <f>IF(Table334[[#This Row],[Category]]="Troop Dues",Table334[[#This Row],[Account Deposit Amount]]-Table334[[#This Row],[Account Withdrawl Amount]], )</f>
        <v>0</v>
      </c>
      <c r="N331" s="243">
        <f>IF(Table334[[#This Row],[Category]]="Other Income",Table334[[#This Row],[Account Deposit Amount]]-Table334[[#This Row],[Account Withdrawl Amount]], )</f>
        <v>0</v>
      </c>
      <c r="O331" s="243">
        <f>IF(Table334[[#This Row],[Category]]="Registration",Table334[[#This Row],[Account Deposit Amount]]-Table334[[#This Row],[Account Withdrawl Amount]], )</f>
        <v>0</v>
      </c>
      <c r="P331" s="243">
        <f>IF(Table334[[#This Row],[Category]]="Insignia",Table334[[#This Row],[Account Deposit Amount]]-Table334[[#This Row],[Account Withdrawl Amount]], )</f>
        <v>0</v>
      </c>
      <c r="Q331" s="243">
        <f>IF(Table334[[#This Row],[Category]]="Activities/Program",Table334[[#This Row],[Account Deposit Amount]]-Table334[[#This Row],[Account Withdrawl Amount]], )</f>
        <v>0</v>
      </c>
      <c r="R331" s="243">
        <f>IF(Table334[[#This Row],[Category]]="Travel",Table334[[#This Row],[Account Deposit Amount]]-Table334[[#This Row],[Account Withdrawl Amount]], )</f>
        <v>0</v>
      </c>
      <c r="S331" s="243">
        <f>IF(Table334[[#This Row],[Category]]="Parties Food &amp; Beverages",Table334[[#This Row],[Account Deposit Amount]]-Table334[[#This Row],[Account Withdrawl Amount]], )</f>
        <v>0</v>
      </c>
      <c r="T331" s="243">
        <f>IF(Table334[[#This Row],[Category]]="Service Projects Donation",Table334[[#This Row],[Account Deposit Amount]]-Table334[[#This Row],[Account Withdrawl Amount]], )</f>
        <v>0</v>
      </c>
      <c r="U331" s="243">
        <f>IF(Table334[[#This Row],[Category]]="Cookie Debt",Table334[[#This Row],[Account Deposit Amount]]-Table334[[#This Row],[Account Withdrawl Amount]], )</f>
        <v>0</v>
      </c>
      <c r="V331" s="243">
        <f>IF(Table334[[#This Row],[Category]]="Other Expense",Table334[[#This Row],[Account Deposit Amount]]-Table334[[#This Row],[Account Withdrawl Amount]], )</f>
        <v>0</v>
      </c>
    </row>
    <row r="332" spans="1:22">
      <c r="A332" s="225"/>
      <c r="B332" s="241"/>
      <c r="C332" s="225"/>
      <c r="D332" s="225"/>
      <c r="E332" s="242"/>
      <c r="F332" s="242"/>
      <c r="G332" s="243">
        <f t="shared" si="8"/>
        <v>2518.9699999999939</v>
      </c>
      <c r="H332" s="225"/>
      <c r="I332" s="243">
        <f>IF(Table334[[#This Row],[Category]]="Fall Product",Table334[[#This Row],[Account Deposit Amount]]-Table334[[#This Row],[Account Withdrawl Amount]], )</f>
        <v>0</v>
      </c>
      <c r="J332" s="243">
        <f>IF(Table334[[#This Row],[Category]]="Cookies",Table334[[#This Row],[Account Deposit Amount]]-Table334[[#This Row],[Account Withdrawl Amount]], )</f>
        <v>0</v>
      </c>
      <c r="K332" s="243">
        <f>IF(Table334[[#This Row],[Category]]="Additional Money Earning Activities",Table334[[#This Row],[Account Deposit Amount]]-Table334[[#This Row],[Account Withdrawl Amount]], )</f>
        <v>0</v>
      </c>
      <c r="L332" s="243">
        <f>IF(Table334[[#This Row],[Category]]="Sponsorships",Table334[[#This Row],[Account Deposit Amount]]-Table334[[#This Row],[Account Withdrawl Amount]], )</f>
        <v>0</v>
      </c>
      <c r="M332" s="243">
        <f>IF(Table334[[#This Row],[Category]]="Troop Dues",Table334[[#This Row],[Account Deposit Amount]]-Table334[[#This Row],[Account Withdrawl Amount]], )</f>
        <v>0</v>
      </c>
      <c r="N332" s="243">
        <f>IF(Table334[[#This Row],[Category]]="Other Income",Table334[[#This Row],[Account Deposit Amount]]-Table334[[#This Row],[Account Withdrawl Amount]], )</f>
        <v>0</v>
      </c>
      <c r="O332" s="243">
        <f>IF(Table334[[#This Row],[Category]]="Registration",Table334[[#This Row],[Account Deposit Amount]]-Table334[[#This Row],[Account Withdrawl Amount]], )</f>
        <v>0</v>
      </c>
      <c r="P332" s="243">
        <f>IF(Table334[[#This Row],[Category]]="Insignia",Table334[[#This Row],[Account Deposit Amount]]-Table334[[#This Row],[Account Withdrawl Amount]], )</f>
        <v>0</v>
      </c>
      <c r="Q332" s="243">
        <f>IF(Table334[[#This Row],[Category]]="Activities/Program",Table334[[#This Row],[Account Deposit Amount]]-Table334[[#This Row],[Account Withdrawl Amount]], )</f>
        <v>0</v>
      </c>
      <c r="R332" s="243">
        <f>IF(Table334[[#This Row],[Category]]="Travel",Table334[[#This Row],[Account Deposit Amount]]-Table334[[#This Row],[Account Withdrawl Amount]], )</f>
        <v>0</v>
      </c>
      <c r="S332" s="243">
        <f>IF(Table334[[#This Row],[Category]]="Parties Food &amp; Beverages",Table334[[#This Row],[Account Deposit Amount]]-Table334[[#This Row],[Account Withdrawl Amount]], )</f>
        <v>0</v>
      </c>
      <c r="T332" s="243">
        <f>IF(Table334[[#This Row],[Category]]="Service Projects Donation",Table334[[#This Row],[Account Deposit Amount]]-Table334[[#This Row],[Account Withdrawl Amount]], )</f>
        <v>0</v>
      </c>
      <c r="U332" s="243">
        <f>IF(Table334[[#This Row],[Category]]="Cookie Debt",Table334[[#This Row],[Account Deposit Amount]]-Table334[[#This Row],[Account Withdrawl Amount]], )</f>
        <v>0</v>
      </c>
      <c r="V332" s="243">
        <f>IF(Table334[[#This Row],[Category]]="Other Expense",Table334[[#This Row],[Account Deposit Amount]]-Table334[[#This Row],[Account Withdrawl Amount]], )</f>
        <v>0</v>
      </c>
    </row>
    <row r="333" spans="1:22">
      <c r="A333" s="225"/>
      <c r="B333" s="241"/>
      <c r="C333" s="225"/>
      <c r="D333" s="225"/>
      <c r="E333" s="242"/>
      <c r="F333" s="242"/>
      <c r="G333" s="243">
        <f t="shared" si="8"/>
        <v>2518.9699999999939</v>
      </c>
      <c r="H333" s="225"/>
      <c r="I333" s="243">
        <f>IF(Table334[[#This Row],[Category]]="Fall Product",Table334[[#This Row],[Account Deposit Amount]]-Table334[[#This Row],[Account Withdrawl Amount]], )</f>
        <v>0</v>
      </c>
      <c r="J333" s="243">
        <f>IF(Table334[[#This Row],[Category]]="Cookies",Table334[[#This Row],[Account Deposit Amount]]-Table334[[#This Row],[Account Withdrawl Amount]], )</f>
        <v>0</v>
      </c>
      <c r="K333" s="243">
        <f>IF(Table334[[#This Row],[Category]]="Additional Money Earning Activities",Table334[[#This Row],[Account Deposit Amount]]-Table334[[#This Row],[Account Withdrawl Amount]], )</f>
        <v>0</v>
      </c>
      <c r="L333" s="243">
        <f>IF(Table334[[#This Row],[Category]]="Sponsorships",Table334[[#This Row],[Account Deposit Amount]]-Table334[[#This Row],[Account Withdrawl Amount]], )</f>
        <v>0</v>
      </c>
      <c r="M333" s="243">
        <f>IF(Table334[[#This Row],[Category]]="Troop Dues",Table334[[#This Row],[Account Deposit Amount]]-Table334[[#This Row],[Account Withdrawl Amount]], )</f>
        <v>0</v>
      </c>
      <c r="N333" s="243">
        <f>IF(Table334[[#This Row],[Category]]="Other Income",Table334[[#This Row],[Account Deposit Amount]]-Table334[[#This Row],[Account Withdrawl Amount]], )</f>
        <v>0</v>
      </c>
      <c r="O333" s="243">
        <f>IF(Table334[[#This Row],[Category]]="Registration",Table334[[#This Row],[Account Deposit Amount]]-Table334[[#This Row],[Account Withdrawl Amount]], )</f>
        <v>0</v>
      </c>
      <c r="P333" s="243">
        <f>IF(Table334[[#This Row],[Category]]="Insignia",Table334[[#This Row],[Account Deposit Amount]]-Table334[[#This Row],[Account Withdrawl Amount]], )</f>
        <v>0</v>
      </c>
      <c r="Q333" s="243">
        <f>IF(Table334[[#This Row],[Category]]="Activities/Program",Table334[[#This Row],[Account Deposit Amount]]-Table334[[#This Row],[Account Withdrawl Amount]], )</f>
        <v>0</v>
      </c>
      <c r="R333" s="243">
        <f>IF(Table334[[#This Row],[Category]]="Travel",Table334[[#This Row],[Account Deposit Amount]]-Table334[[#This Row],[Account Withdrawl Amount]], )</f>
        <v>0</v>
      </c>
      <c r="S333" s="243">
        <f>IF(Table334[[#This Row],[Category]]="Parties Food &amp; Beverages",Table334[[#This Row],[Account Deposit Amount]]-Table334[[#This Row],[Account Withdrawl Amount]], )</f>
        <v>0</v>
      </c>
      <c r="T333" s="243">
        <f>IF(Table334[[#This Row],[Category]]="Service Projects Donation",Table334[[#This Row],[Account Deposit Amount]]-Table334[[#This Row],[Account Withdrawl Amount]], )</f>
        <v>0</v>
      </c>
      <c r="U333" s="243">
        <f>IF(Table334[[#This Row],[Category]]="Cookie Debt",Table334[[#This Row],[Account Deposit Amount]]-Table334[[#This Row],[Account Withdrawl Amount]], )</f>
        <v>0</v>
      </c>
      <c r="V333" s="243">
        <f>IF(Table334[[#This Row],[Category]]="Other Expense",Table334[[#This Row],[Account Deposit Amount]]-Table334[[#This Row],[Account Withdrawl Amount]], )</f>
        <v>0</v>
      </c>
    </row>
    <row r="334" spans="1:22">
      <c r="A334" s="225"/>
      <c r="B334" s="241"/>
      <c r="C334" s="225"/>
      <c r="D334" s="225"/>
      <c r="E334" s="242"/>
      <c r="F334" s="242"/>
      <c r="G334" s="243">
        <f t="shared" si="8"/>
        <v>2518.9699999999939</v>
      </c>
      <c r="H334" s="225"/>
      <c r="I334" s="243">
        <f>IF(Table334[[#This Row],[Category]]="Fall Product",Table334[[#This Row],[Account Deposit Amount]]-Table334[[#This Row],[Account Withdrawl Amount]], )</f>
        <v>0</v>
      </c>
      <c r="J334" s="243">
        <f>IF(Table334[[#This Row],[Category]]="Cookies",Table334[[#This Row],[Account Deposit Amount]]-Table334[[#This Row],[Account Withdrawl Amount]], )</f>
        <v>0</v>
      </c>
      <c r="K334" s="243">
        <f>IF(Table334[[#This Row],[Category]]="Additional Money Earning Activities",Table334[[#This Row],[Account Deposit Amount]]-Table334[[#This Row],[Account Withdrawl Amount]], )</f>
        <v>0</v>
      </c>
      <c r="L334" s="243">
        <f>IF(Table334[[#This Row],[Category]]="Sponsorships",Table334[[#This Row],[Account Deposit Amount]]-Table334[[#This Row],[Account Withdrawl Amount]], )</f>
        <v>0</v>
      </c>
      <c r="M334" s="243">
        <f>IF(Table334[[#This Row],[Category]]="Troop Dues",Table334[[#This Row],[Account Deposit Amount]]-Table334[[#This Row],[Account Withdrawl Amount]], )</f>
        <v>0</v>
      </c>
      <c r="N334" s="243">
        <f>IF(Table334[[#This Row],[Category]]="Other Income",Table334[[#This Row],[Account Deposit Amount]]-Table334[[#This Row],[Account Withdrawl Amount]], )</f>
        <v>0</v>
      </c>
      <c r="O334" s="243">
        <f>IF(Table334[[#This Row],[Category]]="Registration",Table334[[#This Row],[Account Deposit Amount]]-Table334[[#This Row],[Account Withdrawl Amount]], )</f>
        <v>0</v>
      </c>
      <c r="P334" s="243">
        <f>IF(Table334[[#This Row],[Category]]="Insignia",Table334[[#This Row],[Account Deposit Amount]]-Table334[[#This Row],[Account Withdrawl Amount]], )</f>
        <v>0</v>
      </c>
      <c r="Q334" s="243">
        <f>IF(Table334[[#This Row],[Category]]="Activities/Program",Table334[[#This Row],[Account Deposit Amount]]-Table334[[#This Row],[Account Withdrawl Amount]], )</f>
        <v>0</v>
      </c>
      <c r="R334" s="243">
        <f>IF(Table334[[#This Row],[Category]]="Travel",Table334[[#This Row],[Account Deposit Amount]]-Table334[[#This Row],[Account Withdrawl Amount]], )</f>
        <v>0</v>
      </c>
      <c r="S334" s="243">
        <f>IF(Table334[[#This Row],[Category]]="Parties Food &amp; Beverages",Table334[[#This Row],[Account Deposit Amount]]-Table334[[#This Row],[Account Withdrawl Amount]], )</f>
        <v>0</v>
      </c>
      <c r="T334" s="243">
        <f>IF(Table334[[#This Row],[Category]]="Service Projects Donation",Table334[[#This Row],[Account Deposit Amount]]-Table334[[#This Row],[Account Withdrawl Amount]], )</f>
        <v>0</v>
      </c>
      <c r="U334" s="243">
        <f>IF(Table334[[#This Row],[Category]]="Cookie Debt",Table334[[#This Row],[Account Deposit Amount]]-Table334[[#This Row],[Account Withdrawl Amount]], )</f>
        <v>0</v>
      </c>
      <c r="V334" s="243">
        <f>IF(Table334[[#This Row],[Category]]="Other Expense",Table334[[#This Row],[Account Deposit Amount]]-Table334[[#This Row],[Account Withdrawl Amount]], )</f>
        <v>0</v>
      </c>
    </row>
    <row r="335" spans="1:22">
      <c r="A335" s="225"/>
      <c r="B335" s="241"/>
      <c r="C335" s="225"/>
      <c r="D335" s="225"/>
      <c r="E335" s="242"/>
      <c r="F335" s="242"/>
      <c r="G335" s="243">
        <f t="shared" si="8"/>
        <v>2518.9699999999939</v>
      </c>
      <c r="H335" s="225"/>
      <c r="I335" s="243">
        <f>IF(Table334[[#This Row],[Category]]="Fall Product",Table334[[#This Row],[Account Deposit Amount]]-Table334[[#This Row],[Account Withdrawl Amount]], )</f>
        <v>0</v>
      </c>
      <c r="J335" s="243">
        <f>IF(Table334[[#This Row],[Category]]="Cookies",Table334[[#This Row],[Account Deposit Amount]]-Table334[[#This Row],[Account Withdrawl Amount]], )</f>
        <v>0</v>
      </c>
      <c r="K335" s="243">
        <f>IF(Table334[[#This Row],[Category]]="Additional Money Earning Activities",Table334[[#This Row],[Account Deposit Amount]]-Table334[[#This Row],[Account Withdrawl Amount]], )</f>
        <v>0</v>
      </c>
      <c r="L335" s="243">
        <f>IF(Table334[[#This Row],[Category]]="Sponsorships",Table334[[#This Row],[Account Deposit Amount]]-Table334[[#This Row],[Account Withdrawl Amount]], )</f>
        <v>0</v>
      </c>
      <c r="M335" s="243">
        <f>IF(Table334[[#This Row],[Category]]="Troop Dues",Table334[[#This Row],[Account Deposit Amount]]-Table334[[#This Row],[Account Withdrawl Amount]], )</f>
        <v>0</v>
      </c>
      <c r="N335" s="243">
        <f>IF(Table334[[#This Row],[Category]]="Other Income",Table334[[#This Row],[Account Deposit Amount]]-Table334[[#This Row],[Account Withdrawl Amount]], )</f>
        <v>0</v>
      </c>
      <c r="O335" s="243">
        <f>IF(Table334[[#This Row],[Category]]="Registration",Table334[[#This Row],[Account Deposit Amount]]-Table334[[#This Row],[Account Withdrawl Amount]], )</f>
        <v>0</v>
      </c>
      <c r="P335" s="243">
        <f>IF(Table334[[#This Row],[Category]]="Insignia",Table334[[#This Row],[Account Deposit Amount]]-Table334[[#This Row],[Account Withdrawl Amount]], )</f>
        <v>0</v>
      </c>
      <c r="Q335" s="243">
        <f>IF(Table334[[#This Row],[Category]]="Activities/Program",Table334[[#This Row],[Account Deposit Amount]]-Table334[[#This Row],[Account Withdrawl Amount]], )</f>
        <v>0</v>
      </c>
      <c r="R335" s="243">
        <f>IF(Table334[[#This Row],[Category]]="Travel",Table334[[#This Row],[Account Deposit Amount]]-Table334[[#This Row],[Account Withdrawl Amount]], )</f>
        <v>0</v>
      </c>
      <c r="S335" s="243">
        <f>IF(Table334[[#This Row],[Category]]="Parties Food &amp; Beverages",Table334[[#This Row],[Account Deposit Amount]]-Table334[[#This Row],[Account Withdrawl Amount]], )</f>
        <v>0</v>
      </c>
      <c r="T335" s="243">
        <f>IF(Table334[[#This Row],[Category]]="Service Projects Donation",Table334[[#This Row],[Account Deposit Amount]]-Table334[[#This Row],[Account Withdrawl Amount]], )</f>
        <v>0</v>
      </c>
      <c r="U335" s="243">
        <f>IF(Table334[[#This Row],[Category]]="Cookie Debt",Table334[[#This Row],[Account Deposit Amount]]-Table334[[#This Row],[Account Withdrawl Amount]], )</f>
        <v>0</v>
      </c>
      <c r="V335" s="243">
        <f>IF(Table334[[#This Row],[Category]]="Other Expense",Table334[[#This Row],[Account Deposit Amount]]-Table334[[#This Row],[Account Withdrawl Amount]], )</f>
        <v>0</v>
      </c>
    </row>
    <row r="336" spans="1:22">
      <c r="A336" s="225"/>
      <c r="B336" s="241"/>
      <c r="C336" s="225"/>
      <c r="D336" s="225"/>
      <c r="E336" s="242"/>
      <c r="F336" s="242"/>
      <c r="G336" s="243">
        <f t="shared" si="8"/>
        <v>2518.9699999999939</v>
      </c>
      <c r="H336" s="225"/>
      <c r="I336" s="243">
        <f>IF(Table334[[#This Row],[Category]]="Fall Product",Table334[[#This Row],[Account Deposit Amount]]-Table334[[#This Row],[Account Withdrawl Amount]], )</f>
        <v>0</v>
      </c>
      <c r="J336" s="243">
        <f>IF(Table334[[#This Row],[Category]]="Cookies",Table334[[#This Row],[Account Deposit Amount]]-Table334[[#This Row],[Account Withdrawl Amount]], )</f>
        <v>0</v>
      </c>
      <c r="K336" s="243">
        <f>IF(Table334[[#This Row],[Category]]="Additional Money Earning Activities",Table334[[#This Row],[Account Deposit Amount]]-Table334[[#This Row],[Account Withdrawl Amount]], )</f>
        <v>0</v>
      </c>
      <c r="L336" s="243">
        <f>IF(Table334[[#This Row],[Category]]="Sponsorships",Table334[[#This Row],[Account Deposit Amount]]-Table334[[#This Row],[Account Withdrawl Amount]], )</f>
        <v>0</v>
      </c>
      <c r="M336" s="243">
        <f>IF(Table334[[#This Row],[Category]]="Troop Dues",Table334[[#This Row],[Account Deposit Amount]]-Table334[[#This Row],[Account Withdrawl Amount]], )</f>
        <v>0</v>
      </c>
      <c r="N336" s="243">
        <f>IF(Table334[[#This Row],[Category]]="Other Income",Table334[[#This Row],[Account Deposit Amount]]-Table334[[#This Row],[Account Withdrawl Amount]], )</f>
        <v>0</v>
      </c>
      <c r="O336" s="243">
        <f>IF(Table334[[#This Row],[Category]]="Registration",Table334[[#This Row],[Account Deposit Amount]]-Table334[[#This Row],[Account Withdrawl Amount]], )</f>
        <v>0</v>
      </c>
      <c r="P336" s="243">
        <f>IF(Table334[[#This Row],[Category]]="Insignia",Table334[[#This Row],[Account Deposit Amount]]-Table334[[#This Row],[Account Withdrawl Amount]], )</f>
        <v>0</v>
      </c>
      <c r="Q336" s="243">
        <f>IF(Table334[[#This Row],[Category]]="Activities/Program",Table334[[#This Row],[Account Deposit Amount]]-Table334[[#This Row],[Account Withdrawl Amount]], )</f>
        <v>0</v>
      </c>
      <c r="R336" s="243">
        <f>IF(Table334[[#This Row],[Category]]="Travel",Table334[[#This Row],[Account Deposit Amount]]-Table334[[#This Row],[Account Withdrawl Amount]], )</f>
        <v>0</v>
      </c>
      <c r="S336" s="243">
        <f>IF(Table334[[#This Row],[Category]]="Parties Food &amp; Beverages",Table334[[#This Row],[Account Deposit Amount]]-Table334[[#This Row],[Account Withdrawl Amount]], )</f>
        <v>0</v>
      </c>
      <c r="T336" s="243">
        <f>IF(Table334[[#This Row],[Category]]="Service Projects Donation",Table334[[#This Row],[Account Deposit Amount]]-Table334[[#This Row],[Account Withdrawl Amount]], )</f>
        <v>0</v>
      </c>
      <c r="U336" s="243">
        <f>IF(Table334[[#This Row],[Category]]="Cookie Debt",Table334[[#This Row],[Account Deposit Amount]]-Table334[[#This Row],[Account Withdrawl Amount]], )</f>
        <v>0</v>
      </c>
      <c r="V336" s="243">
        <f>IF(Table334[[#This Row],[Category]]="Other Expense",Table334[[#This Row],[Account Deposit Amount]]-Table334[[#This Row],[Account Withdrawl Amount]], )</f>
        <v>0</v>
      </c>
    </row>
    <row r="337" spans="1:22">
      <c r="A337" s="225"/>
      <c r="B337" s="241"/>
      <c r="C337" s="225"/>
      <c r="D337" s="225"/>
      <c r="E337" s="242"/>
      <c r="F337" s="242"/>
      <c r="G337" s="243">
        <f t="shared" si="8"/>
        <v>2518.9699999999939</v>
      </c>
      <c r="H337" s="225"/>
      <c r="I337" s="243">
        <f>IF(Table334[[#This Row],[Category]]="Fall Product",Table334[[#This Row],[Account Deposit Amount]]-Table334[[#This Row],[Account Withdrawl Amount]], )</f>
        <v>0</v>
      </c>
      <c r="J337" s="243">
        <f>IF(Table334[[#This Row],[Category]]="Cookies",Table334[[#This Row],[Account Deposit Amount]]-Table334[[#This Row],[Account Withdrawl Amount]], )</f>
        <v>0</v>
      </c>
      <c r="K337" s="243">
        <f>IF(Table334[[#This Row],[Category]]="Additional Money Earning Activities",Table334[[#This Row],[Account Deposit Amount]]-Table334[[#This Row],[Account Withdrawl Amount]], )</f>
        <v>0</v>
      </c>
      <c r="L337" s="243">
        <f>IF(Table334[[#This Row],[Category]]="Sponsorships",Table334[[#This Row],[Account Deposit Amount]]-Table334[[#This Row],[Account Withdrawl Amount]], )</f>
        <v>0</v>
      </c>
      <c r="M337" s="243">
        <f>IF(Table334[[#This Row],[Category]]="Troop Dues",Table334[[#This Row],[Account Deposit Amount]]-Table334[[#This Row],[Account Withdrawl Amount]], )</f>
        <v>0</v>
      </c>
      <c r="N337" s="243">
        <f>IF(Table334[[#This Row],[Category]]="Other Income",Table334[[#This Row],[Account Deposit Amount]]-Table334[[#This Row],[Account Withdrawl Amount]], )</f>
        <v>0</v>
      </c>
      <c r="O337" s="243">
        <f>IF(Table334[[#This Row],[Category]]="Registration",Table334[[#This Row],[Account Deposit Amount]]-Table334[[#This Row],[Account Withdrawl Amount]], )</f>
        <v>0</v>
      </c>
      <c r="P337" s="243">
        <f>IF(Table334[[#This Row],[Category]]="Insignia",Table334[[#This Row],[Account Deposit Amount]]-Table334[[#This Row],[Account Withdrawl Amount]], )</f>
        <v>0</v>
      </c>
      <c r="Q337" s="243">
        <f>IF(Table334[[#This Row],[Category]]="Activities/Program",Table334[[#This Row],[Account Deposit Amount]]-Table334[[#This Row],[Account Withdrawl Amount]], )</f>
        <v>0</v>
      </c>
      <c r="R337" s="243">
        <f>IF(Table334[[#This Row],[Category]]="Travel",Table334[[#This Row],[Account Deposit Amount]]-Table334[[#This Row],[Account Withdrawl Amount]], )</f>
        <v>0</v>
      </c>
      <c r="S337" s="243">
        <f>IF(Table334[[#This Row],[Category]]="Parties Food &amp; Beverages",Table334[[#This Row],[Account Deposit Amount]]-Table334[[#This Row],[Account Withdrawl Amount]], )</f>
        <v>0</v>
      </c>
      <c r="T337" s="243">
        <f>IF(Table334[[#This Row],[Category]]="Service Projects Donation",Table334[[#This Row],[Account Deposit Amount]]-Table334[[#This Row],[Account Withdrawl Amount]], )</f>
        <v>0</v>
      </c>
      <c r="U337" s="243">
        <f>IF(Table334[[#This Row],[Category]]="Cookie Debt",Table334[[#This Row],[Account Deposit Amount]]-Table334[[#This Row],[Account Withdrawl Amount]], )</f>
        <v>0</v>
      </c>
      <c r="V337" s="243">
        <f>IF(Table334[[#This Row],[Category]]="Other Expense",Table334[[#This Row],[Account Deposit Amount]]-Table334[[#This Row],[Account Withdrawl Amount]], )</f>
        <v>0</v>
      </c>
    </row>
    <row r="338" spans="1:22">
      <c r="A338" s="225"/>
      <c r="B338" s="241"/>
      <c r="C338" s="225"/>
      <c r="D338" s="225"/>
      <c r="E338" s="242"/>
      <c r="F338" s="242"/>
      <c r="G338" s="243">
        <f t="shared" si="8"/>
        <v>2518.9699999999939</v>
      </c>
      <c r="H338" s="225"/>
      <c r="I338" s="243">
        <f>IF(Table334[[#This Row],[Category]]="Fall Product",Table334[[#This Row],[Account Deposit Amount]]-Table334[[#This Row],[Account Withdrawl Amount]], )</f>
        <v>0</v>
      </c>
      <c r="J338" s="243">
        <f>IF(Table334[[#This Row],[Category]]="Cookies",Table334[[#This Row],[Account Deposit Amount]]-Table334[[#This Row],[Account Withdrawl Amount]], )</f>
        <v>0</v>
      </c>
      <c r="K338" s="243">
        <f>IF(Table334[[#This Row],[Category]]="Additional Money Earning Activities",Table334[[#This Row],[Account Deposit Amount]]-Table334[[#This Row],[Account Withdrawl Amount]], )</f>
        <v>0</v>
      </c>
      <c r="L338" s="243">
        <f>IF(Table334[[#This Row],[Category]]="Sponsorships",Table334[[#This Row],[Account Deposit Amount]]-Table334[[#This Row],[Account Withdrawl Amount]], )</f>
        <v>0</v>
      </c>
      <c r="M338" s="243">
        <f>IF(Table334[[#This Row],[Category]]="Troop Dues",Table334[[#This Row],[Account Deposit Amount]]-Table334[[#This Row],[Account Withdrawl Amount]], )</f>
        <v>0</v>
      </c>
      <c r="N338" s="243">
        <f>IF(Table334[[#This Row],[Category]]="Other Income",Table334[[#This Row],[Account Deposit Amount]]-Table334[[#This Row],[Account Withdrawl Amount]], )</f>
        <v>0</v>
      </c>
      <c r="O338" s="243">
        <f>IF(Table334[[#This Row],[Category]]="Registration",Table334[[#This Row],[Account Deposit Amount]]-Table334[[#This Row],[Account Withdrawl Amount]], )</f>
        <v>0</v>
      </c>
      <c r="P338" s="243">
        <f>IF(Table334[[#This Row],[Category]]="Insignia",Table334[[#This Row],[Account Deposit Amount]]-Table334[[#This Row],[Account Withdrawl Amount]], )</f>
        <v>0</v>
      </c>
      <c r="Q338" s="243">
        <f>IF(Table334[[#This Row],[Category]]="Activities/Program",Table334[[#This Row],[Account Deposit Amount]]-Table334[[#This Row],[Account Withdrawl Amount]], )</f>
        <v>0</v>
      </c>
      <c r="R338" s="243">
        <f>IF(Table334[[#This Row],[Category]]="Travel",Table334[[#This Row],[Account Deposit Amount]]-Table334[[#This Row],[Account Withdrawl Amount]], )</f>
        <v>0</v>
      </c>
      <c r="S338" s="243">
        <f>IF(Table334[[#This Row],[Category]]="Parties Food &amp; Beverages",Table334[[#This Row],[Account Deposit Amount]]-Table334[[#This Row],[Account Withdrawl Amount]], )</f>
        <v>0</v>
      </c>
      <c r="T338" s="243">
        <f>IF(Table334[[#This Row],[Category]]="Service Projects Donation",Table334[[#This Row],[Account Deposit Amount]]-Table334[[#This Row],[Account Withdrawl Amount]], )</f>
        <v>0</v>
      </c>
      <c r="U338" s="243">
        <f>IF(Table334[[#This Row],[Category]]="Cookie Debt",Table334[[#This Row],[Account Deposit Amount]]-Table334[[#This Row],[Account Withdrawl Amount]], )</f>
        <v>0</v>
      </c>
      <c r="V338" s="243">
        <f>IF(Table334[[#This Row],[Category]]="Other Expense",Table334[[#This Row],[Account Deposit Amount]]-Table334[[#This Row],[Account Withdrawl Amount]], )</f>
        <v>0</v>
      </c>
    </row>
    <row r="339" spans="1:22">
      <c r="A339" s="225"/>
      <c r="B339" s="241"/>
      <c r="C339" s="225"/>
      <c r="D339" s="225"/>
      <c r="E339" s="242"/>
      <c r="F339" s="242"/>
      <c r="G339" s="243">
        <f t="shared" si="8"/>
        <v>2518.9699999999939</v>
      </c>
      <c r="H339" s="225"/>
      <c r="I339" s="243">
        <f>IF(Table334[[#This Row],[Category]]="Fall Product",Table334[[#This Row],[Account Deposit Amount]]-Table334[[#This Row],[Account Withdrawl Amount]], )</f>
        <v>0</v>
      </c>
      <c r="J339" s="243">
        <f>IF(Table334[[#This Row],[Category]]="Cookies",Table334[[#This Row],[Account Deposit Amount]]-Table334[[#This Row],[Account Withdrawl Amount]], )</f>
        <v>0</v>
      </c>
      <c r="K339" s="243">
        <f>IF(Table334[[#This Row],[Category]]="Additional Money Earning Activities",Table334[[#This Row],[Account Deposit Amount]]-Table334[[#This Row],[Account Withdrawl Amount]], )</f>
        <v>0</v>
      </c>
      <c r="L339" s="243">
        <f>IF(Table334[[#This Row],[Category]]="Sponsorships",Table334[[#This Row],[Account Deposit Amount]]-Table334[[#This Row],[Account Withdrawl Amount]], )</f>
        <v>0</v>
      </c>
      <c r="M339" s="243">
        <f>IF(Table334[[#This Row],[Category]]="Troop Dues",Table334[[#This Row],[Account Deposit Amount]]-Table334[[#This Row],[Account Withdrawl Amount]], )</f>
        <v>0</v>
      </c>
      <c r="N339" s="243">
        <f>IF(Table334[[#This Row],[Category]]="Other Income",Table334[[#This Row],[Account Deposit Amount]]-Table334[[#This Row],[Account Withdrawl Amount]], )</f>
        <v>0</v>
      </c>
      <c r="O339" s="243">
        <f>IF(Table334[[#This Row],[Category]]="Registration",Table334[[#This Row],[Account Deposit Amount]]-Table334[[#This Row],[Account Withdrawl Amount]], )</f>
        <v>0</v>
      </c>
      <c r="P339" s="243">
        <f>IF(Table334[[#This Row],[Category]]="Insignia",Table334[[#This Row],[Account Deposit Amount]]-Table334[[#This Row],[Account Withdrawl Amount]], )</f>
        <v>0</v>
      </c>
      <c r="Q339" s="243">
        <f>IF(Table334[[#This Row],[Category]]="Activities/Program",Table334[[#This Row],[Account Deposit Amount]]-Table334[[#This Row],[Account Withdrawl Amount]], )</f>
        <v>0</v>
      </c>
      <c r="R339" s="243">
        <f>IF(Table334[[#This Row],[Category]]="Travel",Table334[[#This Row],[Account Deposit Amount]]-Table334[[#This Row],[Account Withdrawl Amount]], )</f>
        <v>0</v>
      </c>
      <c r="S339" s="243">
        <f>IF(Table334[[#This Row],[Category]]="Parties Food &amp; Beverages",Table334[[#This Row],[Account Deposit Amount]]-Table334[[#This Row],[Account Withdrawl Amount]], )</f>
        <v>0</v>
      </c>
      <c r="T339" s="243">
        <f>IF(Table334[[#This Row],[Category]]="Service Projects Donation",Table334[[#This Row],[Account Deposit Amount]]-Table334[[#This Row],[Account Withdrawl Amount]], )</f>
        <v>0</v>
      </c>
      <c r="U339" s="243">
        <f>IF(Table334[[#This Row],[Category]]="Cookie Debt",Table334[[#This Row],[Account Deposit Amount]]-Table334[[#This Row],[Account Withdrawl Amount]], )</f>
        <v>0</v>
      </c>
      <c r="V339" s="243">
        <f>IF(Table334[[#This Row],[Category]]="Other Expense",Table334[[#This Row],[Account Deposit Amount]]-Table334[[#This Row],[Account Withdrawl Amount]], )</f>
        <v>0</v>
      </c>
    </row>
    <row r="340" spans="1:22">
      <c r="A340" s="225"/>
      <c r="B340" s="241"/>
      <c r="C340" s="225"/>
      <c r="D340" s="225"/>
      <c r="E340" s="242"/>
      <c r="F340" s="242"/>
      <c r="G340" s="243">
        <f t="shared" si="8"/>
        <v>2518.9699999999939</v>
      </c>
      <c r="H340" s="225"/>
      <c r="I340" s="243">
        <f>IF(Table334[[#This Row],[Category]]="Fall Product",Table334[[#This Row],[Account Deposit Amount]]-Table334[[#This Row],[Account Withdrawl Amount]], )</f>
        <v>0</v>
      </c>
      <c r="J340" s="243">
        <f>IF(Table334[[#This Row],[Category]]="Cookies",Table334[[#This Row],[Account Deposit Amount]]-Table334[[#This Row],[Account Withdrawl Amount]], )</f>
        <v>0</v>
      </c>
      <c r="K340" s="243">
        <f>IF(Table334[[#This Row],[Category]]="Additional Money Earning Activities",Table334[[#This Row],[Account Deposit Amount]]-Table334[[#This Row],[Account Withdrawl Amount]], )</f>
        <v>0</v>
      </c>
      <c r="L340" s="243">
        <f>IF(Table334[[#This Row],[Category]]="Sponsorships",Table334[[#This Row],[Account Deposit Amount]]-Table334[[#This Row],[Account Withdrawl Amount]], )</f>
        <v>0</v>
      </c>
      <c r="M340" s="243">
        <f>IF(Table334[[#This Row],[Category]]="Troop Dues",Table334[[#This Row],[Account Deposit Amount]]-Table334[[#This Row],[Account Withdrawl Amount]], )</f>
        <v>0</v>
      </c>
      <c r="N340" s="243">
        <f>IF(Table334[[#This Row],[Category]]="Other Income",Table334[[#This Row],[Account Deposit Amount]]-Table334[[#This Row],[Account Withdrawl Amount]], )</f>
        <v>0</v>
      </c>
      <c r="O340" s="243">
        <f>IF(Table334[[#This Row],[Category]]="Registration",Table334[[#This Row],[Account Deposit Amount]]-Table334[[#This Row],[Account Withdrawl Amount]], )</f>
        <v>0</v>
      </c>
      <c r="P340" s="243">
        <f>IF(Table334[[#This Row],[Category]]="Insignia",Table334[[#This Row],[Account Deposit Amount]]-Table334[[#This Row],[Account Withdrawl Amount]], )</f>
        <v>0</v>
      </c>
      <c r="Q340" s="243">
        <f>IF(Table334[[#This Row],[Category]]="Activities/Program",Table334[[#This Row],[Account Deposit Amount]]-Table334[[#This Row],[Account Withdrawl Amount]], )</f>
        <v>0</v>
      </c>
      <c r="R340" s="243">
        <f>IF(Table334[[#This Row],[Category]]="Travel",Table334[[#This Row],[Account Deposit Amount]]-Table334[[#This Row],[Account Withdrawl Amount]], )</f>
        <v>0</v>
      </c>
      <c r="S340" s="243">
        <f>IF(Table334[[#This Row],[Category]]="Parties Food &amp; Beverages",Table334[[#This Row],[Account Deposit Amount]]-Table334[[#This Row],[Account Withdrawl Amount]], )</f>
        <v>0</v>
      </c>
      <c r="T340" s="243">
        <f>IF(Table334[[#This Row],[Category]]="Service Projects Donation",Table334[[#This Row],[Account Deposit Amount]]-Table334[[#This Row],[Account Withdrawl Amount]], )</f>
        <v>0</v>
      </c>
      <c r="U340" s="243">
        <f>IF(Table334[[#This Row],[Category]]="Cookie Debt",Table334[[#This Row],[Account Deposit Amount]]-Table334[[#This Row],[Account Withdrawl Amount]], )</f>
        <v>0</v>
      </c>
      <c r="V340" s="243">
        <f>IF(Table334[[#This Row],[Category]]="Other Expense",Table334[[#This Row],[Account Deposit Amount]]-Table334[[#This Row],[Account Withdrawl Amount]], )</f>
        <v>0</v>
      </c>
    </row>
    <row r="341" spans="1:22">
      <c r="A341" s="225"/>
      <c r="B341" s="241"/>
      <c r="C341" s="225"/>
      <c r="D341" s="225"/>
      <c r="E341" s="242"/>
      <c r="F341" s="242"/>
      <c r="G341" s="243">
        <f t="shared" si="8"/>
        <v>2518.9699999999939</v>
      </c>
      <c r="H341" s="225"/>
      <c r="I341" s="243">
        <f>IF(Table334[[#This Row],[Category]]="Fall Product",Table334[[#This Row],[Account Deposit Amount]]-Table334[[#This Row],[Account Withdrawl Amount]], )</f>
        <v>0</v>
      </c>
      <c r="J341" s="243">
        <f>IF(Table334[[#This Row],[Category]]="Cookies",Table334[[#This Row],[Account Deposit Amount]]-Table334[[#This Row],[Account Withdrawl Amount]], )</f>
        <v>0</v>
      </c>
      <c r="K341" s="243">
        <f>IF(Table334[[#This Row],[Category]]="Additional Money Earning Activities",Table334[[#This Row],[Account Deposit Amount]]-Table334[[#This Row],[Account Withdrawl Amount]], )</f>
        <v>0</v>
      </c>
      <c r="L341" s="243">
        <f>IF(Table334[[#This Row],[Category]]="Sponsorships",Table334[[#This Row],[Account Deposit Amount]]-Table334[[#This Row],[Account Withdrawl Amount]], )</f>
        <v>0</v>
      </c>
      <c r="M341" s="243">
        <f>IF(Table334[[#This Row],[Category]]="Troop Dues",Table334[[#This Row],[Account Deposit Amount]]-Table334[[#This Row],[Account Withdrawl Amount]], )</f>
        <v>0</v>
      </c>
      <c r="N341" s="243">
        <f>IF(Table334[[#This Row],[Category]]="Other Income",Table334[[#This Row],[Account Deposit Amount]]-Table334[[#This Row],[Account Withdrawl Amount]], )</f>
        <v>0</v>
      </c>
      <c r="O341" s="243">
        <f>IF(Table334[[#This Row],[Category]]="Registration",Table334[[#This Row],[Account Deposit Amount]]-Table334[[#This Row],[Account Withdrawl Amount]], )</f>
        <v>0</v>
      </c>
      <c r="P341" s="243">
        <f>IF(Table334[[#This Row],[Category]]="Insignia",Table334[[#This Row],[Account Deposit Amount]]-Table334[[#This Row],[Account Withdrawl Amount]], )</f>
        <v>0</v>
      </c>
      <c r="Q341" s="243">
        <f>IF(Table334[[#This Row],[Category]]="Activities/Program",Table334[[#This Row],[Account Deposit Amount]]-Table334[[#This Row],[Account Withdrawl Amount]], )</f>
        <v>0</v>
      </c>
      <c r="R341" s="243">
        <f>IF(Table334[[#This Row],[Category]]="Travel",Table334[[#This Row],[Account Deposit Amount]]-Table334[[#This Row],[Account Withdrawl Amount]], )</f>
        <v>0</v>
      </c>
      <c r="S341" s="243">
        <f>IF(Table334[[#This Row],[Category]]="Parties Food &amp; Beverages",Table334[[#This Row],[Account Deposit Amount]]-Table334[[#This Row],[Account Withdrawl Amount]], )</f>
        <v>0</v>
      </c>
      <c r="T341" s="243">
        <f>IF(Table334[[#This Row],[Category]]="Service Projects Donation",Table334[[#This Row],[Account Deposit Amount]]-Table334[[#This Row],[Account Withdrawl Amount]], )</f>
        <v>0</v>
      </c>
      <c r="U341" s="243">
        <f>IF(Table334[[#This Row],[Category]]="Cookie Debt",Table334[[#This Row],[Account Deposit Amount]]-Table334[[#This Row],[Account Withdrawl Amount]], )</f>
        <v>0</v>
      </c>
      <c r="V341" s="243">
        <f>IF(Table334[[#This Row],[Category]]="Other Expense",Table334[[#This Row],[Account Deposit Amount]]-Table334[[#This Row],[Account Withdrawl Amount]], )</f>
        <v>0</v>
      </c>
    </row>
    <row r="342" spans="1:22">
      <c r="A342" s="225"/>
      <c r="B342" s="241"/>
      <c r="C342" s="225"/>
      <c r="D342" s="225"/>
      <c r="E342" s="242"/>
      <c r="F342" s="242"/>
      <c r="G342" s="243">
        <f t="shared" si="8"/>
        <v>2518.9699999999939</v>
      </c>
      <c r="H342" s="225"/>
      <c r="I342" s="243">
        <f>IF(Table334[[#This Row],[Category]]="Fall Product",Table334[[#This Row],[Account Deposit Amount]]-Table334[[#This Row],[Account Withdrawl Amount]], )</f>
        <v>0</v>
      </c>
      <c r="J342" s="243">
        <f>IF(Table334[[#This Row],[Category]]="Cookies",Table334[[#This Row],[Account Deposit Amount]]-Table334[[#This Row],[Account Withdrawl Amount]], )</f>
        <v>0</v>
      </c>
      <c r="K342" s="243">
        <f>IF(Table334[[#This Row],[Category]]="Additional Money Earning Activities",Table334[[#This Row],[Account Deposit Amount]]-Table334[[#This Row],[Account Withdrawl Amount]], )</f>
        <v>0</v>
      </c>
      <c r="L342" s="243">
        <f>IF(Table334[[#This Row],[Category]]="Sponsorships",Table334[[#This Row],[Account Deposit Amount]]-Table334[[#This Row],[Account Withdrawl Amount]], )</f>
        <v>0</v>
      </c>
      <c r="M342" s="243">
        <f>IF(Table334[[#This Row],[Category]]="Troop Dues",Table334[[#This Row],[Account Deposit Amount]]-Table334[[#This Row],[Account Withdrawl Amount]], )</f>
        <v>0</v>
      </c>
      <c r="N342" s="243">
        <f>IF(Table334[[#This Row],[Category]]="Other Income",Table334[[#This Row],[Account Deposit Amount]]-Table334[[#This Row],[Account Withdrawl Amount]], )</f>
        <v>0</v>
      </c>
      <c r="O342" s="243">
        <f>IF(Table334[[#This Row],[Category]]="Registration",Table334[[#This Row],[Account Deposit Amount]]-Table334[[#This Row],[Account Withdrawl Amount]], )</f>
        <v>0</v>
      </c>
      <c r="P342" s="243">
        <f>IF(Table334[[#This Row],[Category]]="Insignia",Table334[[#This Row],[Account Deposit Amount]]-Table334[[#This Row],[Account Withdrawl Amount]], )</f>
        <v>0</v>
      </c>
      <c r="Q342" s="243">
        <f>IF(Table334[[#This Row],[Category]]="Activities/Program",Table334[[#This Row],[Account Deposit Amount]]-Table334[[#This Row],[Account Withdrawl Amount]], )</f>
        <v>0</v>
      </c>
      <c r="R342" s="243">
        <f>IF(Table334[[#This Row],[Category]]="Travel",Table334[[#This Row],[Account Deposit Amount]]-Table334[[#This Row],[Account Withdrawl Amount]], )</f>
        <v>0</v>
      </c>
      <c r="S342" s="243">
        <f>IF(Table334[[#This Row],[Category]]="Parties Food &amp; Beverages",Table334[[#This Row],[Account Deposit Amount]]-Table334[[#This Row],[Account Withdrawl Amount]], )</f>
        <v>0</v>
      </c>
      <c r="T342" s="243">
        <f>IF(Table334[[#This Row],[Category]]="Service Projects Donation",Table334[[#This Row],[Account Deposit Amount]]-Table334[[#This Row],[Account Withdrawl Amount]], )</f>
        <v>0</v>
      </c>
      <c r="U342" s="243">
        <f>IF(Table334[[#This Row],[Category]]="Cookie Debt",Table334[[#This Row],[Account Deposit Amount]]-Table334[[#This Row],[Account Withdrawl Amount]], )</f>
        <v>0</v>
      </c>
      <c r="V342" s="243">
        <f>IF(Table334[[#This Row],[Category]]="Other Expense",Table334[[#This Row],[Account Deposit Amount]]-Table334[[#This Row],[Account Withdrawl Amount]], )</f>
        <v>0</v>
      </c>
    </row>
    <row r="343" spans="1:22">
      <c r="A343" s="225"/>
      <c r="B343" s="241"/>
      <c r="C343" s="225"/>
      <c r="D343" s="225"/>
      <c r="E343" s="242"/>
      <c r="F343" s="242"/>
      <c r="G343" s="243">
        <f t="shared" si="8"/>
        <v>2518.9699999999939</v>
      </c>
      <c r="H343" s="225"/>
      <c r="I343" s="243">
        <f>IF(Table334[[#This Row],[Category]]="Fall Product",Table334[[#This Row],[Account Deposit Amount]]-Table334[[#This Row],[Account Withdrawl Amount]], )</f>
        <v>0</v>
      </c>
      <c r="J343" s="243">
        <f>IF(Table334[[#This Row],[Category]]="Cookies",Table334[[#This Row],[Account Deposit Amount]]-Table334[[#This Row],[Account Withdrawl Amount]], )</f>
        <v>0</v>
      </c>
      <c r="K343" s="243">
        <f>IF(Table334[[#This Row],[Category]]="Additional Money Earning Activities",Table334[[#This Row],[Account Deposit Amount]]-Table334[[#This Row],[Account Withdrawl Amount]], )</f>
        <v>0</v>
      </c>
      <c r="L343" s="243">
        <f>IF(Table334[[#This Row],[Category]]="Sponsorships",Table334[[#This Row],[Account Deposit Amount]]-Table334[[#This Row],[Account Withdrawl Amount]], )</f>
        <v>0</v>
      </c>
      <c r="M343" s="243">
        <f>IF(Table334[[#This Row],[Category]]="Troop Dues",Table334[[#This Row],[Account Deposit Amount]]-Table334[[#This Row],[Account Withdrawl Amount]], )</f>
        <v>0</v>
      </c>
      <c r="N343" s="243">
        <f>IF(Table334[[#This Row],[Category]]="Other Income",Table334[[#This Row],[Account Deposit Amount]]-Table334[[#This Row],[Account Withdrawl Amount]], )</f>
        <v>0</v>
      </c>
      <c r="O343" s="243">
        <f>IF(Table334[[#This Row],[Category]]="Registration",Table334[[#This Row],[Account Deposit Amount]]-Table334[[#This Row],[Account Withdrawl Amount]], )</f>
        <v>0</v>
      </c>
      <c r="P343" s="243">
        <f>IF(Table334[[#This Row],[Category]]="Insignia",Table334[[#This Row],[Account Deposit Amount]]-Table334[[#This Row],[Account Withdrawl Amount]], )</f>
        <v>0</v>
      </c>
      <c r="Q343" s="243">
        <f>IF(Table334[[#This Row],[Category]]="Activities/Program",Table334[[#This Row],[Account Deposit Amount]]-Table334[[#This Row],[Account Withdrawl Amount]], )</f>
        <v>0</v>
      </c>
      <c r="R343" s="243">
        <f>IF(Table334[[#This Row],[Category]]="Travel",Table334[[#This Row],[Account Deposit Amount]]-Table334[[#This Row],[Account Withdrawl Amount]], )</f>
        <v>0</v>
      </c>
      <c r="S343" s="243">
        <f>IF(Table334[[#This Row],[Category]]="Parties Food &amp; Beverages",Table334[[#This Row],[Account Deposit Amount]]-Table334[[#This Row],[Account Withdrawl Amount]], )</f>
        <v>0</v>
      </c>
      <c r="T343" s="243">
        <f>IF(Table334[[#This Row],[Category]]="Service Projects Donation",Table334[[#This Row],[Account Deposit Amount]]-Table334[[#This Row],[Account Withdrawl Amount]], )</f>
        <v>0</v>
      </c>
      <c r="U343" s="243">
        <f>IF(Table334[[#This Row],[Category]]="Cookie Debt",Table334[[#This Row],[Account Deposit Amount]]-Table334[[#This Row],[Account Withdrawl Amount]], )</f>
        <v>0</v>
      </c>
      <c r="V343" s="243">
        <f>IF(Table334[[#This Row],[Category]]="Other Expense",Table334[[#This Row],[Account Deposit Amount]]-Table334[[#This Row],[Account Withdrawl Amount]], )</f>
        <v>0</v>
      </c>
    </row>
    <row r="344" spans="1:22">
      <c r="A344" s="225"/>
      <c r="B344" s="241"/>
      <c r="C344" s="225"/>
      <c r="D344" s="225"/>
      <c r="E344" s="242"/>
      <c r="F344" s="242"/>
      <c r="G344" s="243">
        <f t="shared" si="8"/>
        <v>2518.9699999999939</v>
      </c>
      <c r="H344" s="225"/>
      <c r="I344" s="243">
        <f>IF(Table334[[#This Row],[Category]]="Fall Product",Table334[[#This Row],[Account Deposit Amount]]-Table334[[#This Row],[Account Withdrawl Amount]], )</f>
        <v>0</v>
      </c>
      <c r="J344" s="243">
        <f>IF(Table334[[#This Row],[Category]]="Cookies",Table334[[#This Row],[Account Deposit Amount]]-Table334[[#This Row],[Account Withdrawl Amount]], )</f>
        <v>0</v>
      </c>
      <c r="K344" s="243">
        <f>IF(Table334[[#This Row],[Category]]="Additional Money Earning Activities",Table334[[#This Row],[Account Deposit Amount]]-Table334[[#This Row],[Account Withdrawl Amount]], )</f>
        <v>0</v>
      </c>
      <c r="L344" s="243">
        <f>IF(Table334[[#This Row],[Category]]="Sponsorships",Table334[[#This Row],[Account Deposit Amount]]-Table334[[#This Row],[Account Withdrawl Amount]], )</f>
        <v>0</v>
      </c>
      <c r="M344" s="243">
        <f>IF(Table334[[#This Row],[Category]]="Troop Dues",Table334[[#This Row],[Account Deposit Amount]]-Table334[[#This Row],[Account Withdrawl Amount]], )</f>
        <v>0</v>
      </c>
      <c r="N344" s="243">
        <f>IF(Table334[[#This Row],[Category]]="Other Income",Table334[[#This Row],[Account Deposit Amount]]-Table334[[#This Row],[Account Withdrawl Amount]], )</f>
        <v>0</v>
      </c>
      <c r="O344" s="243">
        <f>IF(Table334[[#This Row],[Category]]="Registration",Table334[[#This Row],[Account Deposit Amount]]-Table334[[#This Row],[Account Withdrawl Amount]], )</f>
        <v>0</v>
      </c>
      <c r="P344" s="243">
        <f>IF(Table334[[#This Row],[Category]]="Insignia",Table334[[#This Row],[Account Deposit Amount]]-Table334[[#This Row],[Account Withdrawl Amount]], )</f>
        <v>0</v>
      </c>
      <c r="Q344" s="243">
        <f>IF(Table334[[#This Row],[Category]]="Activities/Program",Table334[[#This Row],[Account Deposit Amount]]-Table334[[#This Row],[Account Withdrawl Amount]], )</f>
        <v>0</v>
      </c>
      <c r="R344" s="243">
        <f>IF(Table334[[#This Row],[Category]]="Travel",Table334[[#This Row],[Account Deposit Amount]]-Table334[[#This Row],[Account Withdrawl Amount]], )</f>
        <v>0</v>
      </c>
      <c r="S344" s="243">
        <f>IF(Table334[[#This Row],[Category]]="Parties Food &amp; Beverages",Table334[[#This Row],[Account Deposit Amount]]-Table334[[#This Row],[Account Withdrawl Amount]], )</f>
        <v>0</v>
      </c>
      <c r="T344" s="243">
        <f>IF(Table334[[#This Row],[Category]]="Service Projects Donation",Table334[[#This Row],[Account Deposit Amount]]-Table334[[#This Row],[Account Withdrawl Amount]], )</f>
        <v>0</v>
      </c>
      <c r="U344" s="243">
        <f>IF(Table334[[#This Row],[Category]]="Cookie Debt",Table334[[#This Row],[Account Deposit Amount]]-Table334[[#This Row],[Account Withdrawl Amount]], )</f>
        <v>0</v>
      </c>
      <c r="V344" s="243">
        <f>IF(Table334[[#This Row],[Category]]="Other Expense",Table334[[#This Row],[Account Deposit Amount]]-Table334[[#This Row],[Account Withdrawl Amount]], )</f>
        <v>0</v>
      </c>
    </row>
    <row r="345" spans="1:22">
      <c r="A345" s="225"/>
      <c r="B345" s="241"/>
      <c r="C345" s="225"/>
      <c r="D345" s="225"/>
      <c r="E345" s="242"/>
      <c r="F345" s="242"/>
      <c r="G345" s="243">
        <f t="shared" si="8"/>
        <v>2518.9699999999939</v>
      </c>
      <c r="H345" s="225"/>
      <c r="I345" s="243">
        <f>IF(Table334[[#This Row],[Category]]="Fall Product",Table334[[#This Row],[Account Deposit Amount]]-Table334[[#This Row],[Account Withdrawl Amount]], )</f>
        <v>0</v>
      </c>
      <c r="J345" s="243">
        <f>IF(Table334[[#This Row],[Category]]="Cookies",Table334[[#This Row],[Account Deposit Amount]]-Table334[[#This Row],[Account Withdrawl Amount]], )</f>
        <v>0</v>
      </c>
      <c r="K345" s="243">
        <f>IF(Table334[[#This Row],[Category]]="Additional Money Earning Activities",Table334[[#This Row],[Account Deposit Amount]]-Table334[[#This Row],[Account Withdrawl Amount]], )</f>
        <v>0</v>
      </c>
      <c r="L345" s="243">
        <f>IF(Table334[[#This Row],[Category]]="Sponsorships",Table334[[#This Row],[Account Deposit Amount]]-Table334[[#This Row],[Account Withdrawl Amount]], )</f>
        <v>0</v>
      </c>
      <c r="M345" s="243">
        <f>IF(Table334[[#This Row],[Category]]="Troop Dues",Table334[[#This Row],[Account Deposit Amount]]-Table334[[#This Row],[Account Withdrawl Amount]], )</f>
        <v>0</v>
      </c>
      <c r="N345" s="243">
        <f>IF(Table334[[#This Row],[Category]]="Other Income",Table334[[#This Row],[Account Deposit Amount]]-Table334[[#This Row],[Account Withdrawl Amount]], )</f>
        <v>0</v>
      </c>
      <c r="O345" s="243">
        <f>IF(Table334[[#This Row],[Category]]="Registration",Table334[[#This Row],[Account Deposit Amount]]-Table334[[#This Row],[Account Withdrawl Amount]], )</f>
        <v>0</v>
      </c>
      <c r="P345" s="243">
        <f>IF(Table334[[#This Row],[Category]]="Insignia",Table334[[#This Row],[Account Deposit Amount]]-Table334[[#This Row],[Account Withdrawl Amount]], )</f>
        <v>0</v>
      </c>
      <c r="Q345" s="243">
        <f>IF(Table334[[#This Row],[Category]]="Activities/Program",Table334[[#This Row],[Account Deposit Amount]]-Table334[[#This Row],[Account Withdrawl Amount]], )</f>
        <v>0</v>
      </c>
      <c r="R345" s="243">
        <f>IF(Table334[[#This Row],[Category]]="Travel",Table334[[#This Row],[Account Deposit Amount]]-Table334[[#This Row],[Account Withdrawl Amount]], )</f>
        <v>0</v>
      </c>
      <c r="S345" s="243">
        <f>IF(Table334[[#This Row],[Category]]="Parties Food &amp; Beverages",Table334[[#This Row],[Account Deposit Amount]]-Table334[[#This Row],[Account Withdrawl Amount]], )</f>
        <v>0</v>
      </c>
      <c r="T345" s="243">
        <f>IF(Table334[[#This Row],[Category]]="Service Projects Donation",Table334[[#This Row],[Account Deposit Amount]]-Table334[[#This Row],[Account Withdrawl Amount]], )</f>
        <v>0</v>
      </c>
      <c r="U345" s="243">
        <f>IF(Table334[[#This Row],[Category]]="Cookie Debt",Table334[[#This Row],[Account Deposit Amount]]-Table334[[#This Row],[Account Withdrawl Amount]], )</f>
        <v>0</v>
      </c>
      <c r="V345" s="243">
        <f>IF(Table334[[#This Row],[Category]]="Other Expense",Table334[[#This Row],[Account Deposit Amount]]-Table334[[#This Row],[Account Withdrawl Amount]], )</f>
        <v>0</v>
      </c>
    </row>
    <row r="346" spans="1:22">
      <c r="A346" s="225"/>
      <c r="B346" s="241"/>
      <c r="C346" s="225"/>
      <c r="D346" s="225"/>
      <c r="E346" s="242"/>
      <c r="F346" s="242"/>
      <c r="G346" s="243">
        <f t="shared" si="8"/>
        <v>2518.9699999999939</v>
      </c>
      <c r="H346" s="225"/>
      <c r="I346" s="243">
        <f>IF(Table334[[#This Row],[Category]]="Fall Product",Table334[[#This Row],[Account Deposit Amount]]-Table334[[#This Row],[Account Withdrawl Amount]], )</f>
        <v>0</v>
      </c>
      <c r="J346" s="243">
        <f>IF(Table334[[#This Row],[Category]]="Cookies",Table334[[#This Row],[Account Deposit Amount]]-Table334[[#This Row],[Account Withdrawl Amount]], )</f>
        <v>0</v>
      </c>
      <c r="K346" s="243">
        <f>IF(Table334[[#This Row],[Category]]="Additional Money Earning Activities",Table334[[#This Row],[Account Deposit Amount]]-Table334[[#This Row],[Account Withdrawl Amount]], )</f>
        <v>0</v>
      </c>
      <c r="L346" s="243">
        <f>IF(Table334[[#This Row],[Category]]="Sponsorships",Table334[[#This Row],[Account Deposit Amount]]-Table334[[#This Row],[Account Withdrawl Amount]], )</f>
        <v>0</v>
      </c>
      <c r="M346" s="243">
        <f>IF(Table334[[#This Row],[Category]]="Troop Dues",Table334[[#This Row],[Account Deposit Amount]]-Table334[[#This Row],[Account Withdrawl Amount]], )</f>
        <v>0</v>
      </c>
      <c r="N346" s="243">
        <f>IF(Table334[[#This Row],[Category]]="Other Income",Table334[[#This Row],[Account Deposit Amount]]-Table334[[#This Row],[Account Withdrawl Amount]], )</f>
        <v>0</v>
      </c>
      <c r="O346" s="243">
        <f>IF(Table334[[#This Row],[Category]]="Registration",Table334[[#This Row],[Account Deposit Amount]]-Table334[[#This Row],[Account Withdrawl Amount]], )</f>
        <v>0</v>
      </c>
      <c r="P346" s="243">
        <f>IF(Table334[[#This Row],[Category]]="Insignia",Table334[[#This Row],[Account Deposit Amount]]-Table334[[#This Row],[Account Withdrawl Amount]], )</f>
        <v>0</v>
      </c>
      <c r="Q346" s="243">
        <f>IF(Table334[[#This Row],[Category]]="Activities/Program",Table334[[#This Row],[Account Deposit Amount]]-Table334[[#This Row],[Account Withdrawl Amount]], )</f>
        <v>0</v>
      </c>
      <c r="R346" s="243">
        <f>IF(Table334[[#This Row],[Category]]="Travel",Table334[[#This Row],[Account Deposit Amount]]-Table334[[#This Row],[Account Withdrawl Amount]], )</f>
        <v>0</v>
      </c>
      <c r="S346" s="243">
        <f>IF(Table334[[#This Row],[Category]]="Parties Food &amp; Beverages",Table334[[#This Row],[Account Deposit Amount]]-Table334[[#This Row],[Account Withdrawl Amount]], )</f>
        <v>0</v>
      </c>
      <c r="T346" s="243">
        <f>IF(Table334[[#This Row],[Category]]="Service Projects Donation",Table334[[#This Row],[Account Deposit Amount]]-Table334[[#This Row],[Account Withdrawl Amount]], )</f>
        <v>0</v>
      </c>
      <c r="U346" s="243">
        <f>IF(Table334[[#This Row],[Category]]="Cookie Debt",Table334[[#This Row],[Account Deposit Amount]]-Table334[[#This Row],[Account Withdrawl Amount]], )</f>
        <v>0</v>
      </c>
      <c r="V346" s="243">
        <f>IF(Table334[[#This Row],[Category]]="Other Expense",Table334[[#This Row],[Account Deposit Amount]]-Table334[[#This Row],[Account Withdrawl Amount]], )</f>
        <v>0</v>
      </c>
    </row>
    <row r="347" spans="1:22">
      <c r="A347" s="225"/>
      <c r="B347" s="241"/>
      <c r="C347" s="225"/>
      <c r="D347" s="225"/>
      <c r="E347" s="242"/>
      <c r="F347" s="242"/>
      <c r="G347" s="243">
        <f t="shared" si="8"/>
        <v>2518.9699999999939</v>
      </c>
      <c r="H347" s="225"/>
      <c r="I347" s="243">
        <f>IF(Table334[[#This Row],[Category]]="Fall Product",Table334[[#This Row],[Account Deposit Amount]]-Table334[[#This Row],[Account Withdrawl Amount]], )</f>
        <v>0</v>
      </c>
      <c r="J347" s="243">
        <f>IF(Table334[[#This Row],[Category]]="Cookies",Table334[[#This Row],[Account Deposit Amount]]-Table334[[#This Row],[Account Withdrawl Amount]], )</f>
        <v>0</v>
      </c>
      <c r="K347" s="243">
        <f>IF(Table334[[#This Row],[Category]]="Additional Money Earning Activities",Table334[[#This Row],[Account Deposit Amount]]-Table334[[#This Row],[Account Withdrawl Amount]], )</f>
        <v>0</v>
      </c>
      <c r="L347" s="243">
        <f>IF(Table334[[#This Row],[Category]]="Sponsorships",Table334[[#This Row],[Account Deposit Amount]]-Table334[[#This Row],[Account Withdrawl Amount]], )</f>
        <v>0</v>
      </c>
      <c r="M347" s="243">
        <f>IF(Table334[[#This Row],[Category]]="Troop Dues",Table334[[#This Row],[Account Deposit Amount]]-Table334[[#This Row],[Account Withdrawl Amount]], )</f>
        <v>0</v>
      </c>
      <c r="N347" s="243">
        <f>IF(Table334[[#This Row],[Category]]="Other Income",Table334[[#This Row],[Account Deposit Amount]]-Table334[[#This Row],[Account Withdrawl Amount]], )</f>
        <v>0</v>
      </c>
      <c r="O347" s="243">
        <f>IF(Table334[[#This Row],[Category]]="Registration",Table334[[#This Row],[Account Deposit Amount]]-Table334[[#This Row],[Account Withdrawl Amount]], )</f>
        <v>0</v>
      </c>
      <c r="P347" s="243">
        <f>IF(Table334[[#This Row],[Category]]="Insignia",Table334[[#This Row],[Account Deposit Amount]]-Table334[[#This Row],[Account Withdrawl Amount]], )</f>
        <v>0</v>
      </c>
      <c r="Q347" s="243">
        <f>IF(Table334[[#This Row],[Category]]="Activities/Program",Table334[[#This Row],[Account Deposit Amount]]-Table334[[#This Row],[Account Withdrawl Amount]], )</f>
        <v>0</v>
      </c>
      <c r="R347" s="243">
        <f>IF(Table334[[#This Row],[Category]]="Travel",Table334[[#This Row],[Account Deposit Amount]]-Table334[[#This Row],[Account Withdrawl Amount]], )</f>
        <v>0</v>
      </c>
      <c r="S347" s="243">
        <f>IF(Table334[[#This Row],[Category]]="Parties Food &amp; Beverages",Table334[[#This Row],[Account Deposit Amount]]-Table334[[#This Row],[Account Withdrawl Amount]], )</f>
        <v>0</v>
      </c>
      <c r="T347" s="243">
        <f>IF(Table334[[#This Row],[Category]]="Service Projects Donation",Table334[[#This Row],[Account Deposit Amount]]-Table334[[#This Row],[Account Withdrawl Amount]], )</f>
        <v>0</v>
      </c>
      <c r="U347" s="243">
        <f>IF(Table334[[#This Row],[Category]]="Cookie Debt",Table334[[#This Row],[Account Deposit Amount]]-Table334[[#This Row],[Account Withdrawl Amount]], )</f>
        <v>0</v>
      </c>
      <c r="V347" s="243">
        <f>IF(Table334[[#This Row],[Category]]="Other Expense",Table334[[#This Row],[Account Deposit Amount]]-Table334[[#This Row],[Account Withdrawl Amount]], )</f>
        <v>0</v>
      </c>
    </row>
    <row r="348" spans="1:22">
      <c r="A348" s="225"/>
      <c r="B348" s="241"/>
      <c r="C348" s="225"/>
      <c r="D348" s="225"/>
      <c r="E348" s="242"/>
      <c r="F348" s="242"/>
      <c r="G348" s="243">
        <f t="shared" si="8"/>
        <v>2518.9699999999939</v>
      </c>
      <c r="H348" s="225"/>
      <c r="I348" s="243">
        <f>IF(Table334[[#This Row],[Category]]="Fall Product",Table334[[#This Row],[Account Deposit Amount]]-Table334[[#This Row],[Account Withdrawl Amount]], )</f>
        <v>0</v>
      </c>
      <c r="J348" s="243">
        <f>IF(Table334[[#This Row],[Category]]="Cookies",Table334[[#This Row],[Account Deposit Amount]]-Table334[[#This Row],[Account Withdrawl Amount]], )</f>
        <v>0</v>
      </c>
      <c r="K348" s="243">
        <f>IF(Table334[[#This Row],[Category]]="Additional Money Earning Activities",Table334[[#This Row],[Account Deposit Amount]]-Table334[[#This Row],[Account Withdrawl Amount]], )</f>
        <v>0</v>
      </c>
      <c r="L348" s="243">
        <f>IF(Table334[[#This Row],[Category]]="Sponsorships",Table334[[#This Row],[Account Deposit Amount]]-Table334[[#This Row],[Account Withdrawl Amount]], )</f>
        <v>0</v>
      </c>
      <c r="M348" s="243">
        <f>IF(Table334[[#This Row],[Category]]="Troop Dues",Table334[[#This Row],[Account Deposit Amount]]-Table334[[#This Row],[Account Withdrawl Amount]], )</f>
        <v>0</v>
      </c>
      <c r="N348" s="243">
        <f>IF(Table334[[#This Row],[Category]]="Other Income",Table334[[#This Row],[Account Deposit Amount]]-Table334[[#This Row],[Account Withdrawl Amount]], )</f>
        <v>0</v>
      </c>
      <c r="O348" s="243">
        <f>IF(Table334[[#This Row],[Category]]="Registration",Table334[[#This Row],[Account Deposit Amount]]-Table334[[#This Row],[Account Withdrawl Amount]], )</f>
        <v>0</v>
      </c>
      <c r="P348" s="243">
        <f>IF(Table334[[#This Row],[Category]]="Insignia",Table334[[#This Row],[Account Deposit Amount]]-Table334[[#This Row],[Account Withdrawl Amount]], )</f>
        <v>0</v>
      </c>
      <c r="Q348" s="243">
        <f>IF(Table334[[#This Row],[Category]]="Activities/Program",Table334[[#This Row],[Account Deposit Amount]]-Table334[[#This Row],[Account Withdrawl Amount]], )</f>
        <v>0</v>
      </c>
      <c r="R348" s="243">
        <f>IF(Table334[[#This Row],[Category]]="Travel",Table334[[#This Row],[Account Deposit Amount]]-Table334[[#This Row],[Account Withdrawl Amount]], )</f>
        <v>0</v>
      </c>
      <c r="S348" s="243">
        <f>IF(Table334[[#This Row],[Category]]="Parties Food &amp; Beverages",Table334[[#This Row],[Account Deposit Amount]]-Table334[[#This Row],[Account Withdrawl Amount]], )</f>
        <v>0</v>
      </c>
      <c r="T348" s="243">
        <f>IF(Table334[[#This Row],[Category]]="Service Projects Donation",Table334[[#This Row],[Account Deposit Amount]]-Table334[[#This Row],[Account Withdrawl Amount]], )</f>
        <v>0</v>
      </c>
      <c r="U348" s="243">
        <f>IF(Table334[[#This Row],[Category]]="Cookie Debt",Table334[[#This Row],[Account Deposit Amount]]-Table334[[#This Row],[Account Withdrawl Amount]], )</f>
        <v>0</v>
      </c>
      <c r="V348" s="243">
        <f>IF(Table334[[#This Row],[Category]]="Other Expense",Table334[[#This Row],[Account Deposit Amount]]-Table334[[#This Row],[Account Withdrawl Amount]], )</f>
        <v>0</v>
      </c>
    </row>
    <row r="349" spans="1:22">
      <c r="A349" s="225"/>
      <c r="B349" s="241"/>
      <c r="C349" s="225"/>
      <c r="D349" s="225"/>
      <c r="E349" s="242"/>
      <c r="F349" s="242"/>
      <c r="G349" s="243">
        <f t="shared" si="8"/>
        <v>2518.9699999999939</v>
      </c>
      <c r="H349" s="225"/>
      <c r="I349" s="243">
        <f>IF(Table334[[#This Row],[Category]]="Fall Product",Table334[[#This Row],[Account Deposit Amount]]-Table334[[#This Row],[Account Withdrawl Amount]], )</f>
        <v>0</v>
      </c>
      <c r="J349" s="243">
        <f>IF(Table334[[#This Row],[Category]]="Cookies",Table334[[#This Row],[Account Deposit Amount]]-Table334[[#This Row],[Account Withdrawl Amount]], )</f>
        <v>0</v>
      </c>
      <c r="K349" s="243">
        <f>IF(Table334[[#This Row],[Category]]="Additional Money Earning Activities",Table334[[#This Row],[Account Deposit Amount]]-Table334[[#This Row],[Account Withdrawl Amount]], )</f>
        <v>0</v>
      </c>
      <c r="L349" s="243">
        <f>IF(Table334[[#This Row],[Category]]="Sponsorships",Table334[[#This Row],[Account Deposit Amount]]-Table334[[#This Row],[Account Withdrawl Amount]], )</f>
        <v>0</v>
      </c>
      <c r="M349" s="243">
        <f>IF(Table334[[#This Row],[Category]]="Troop Dues",Table334[[#This Row],[Account Deposit Amount]]-Table334[[#This Row],[Account Withdrawl Amount]], )</f>
        <v>0</v>
      </c>
      <c r="N349" s="243">
        <f>IF(Table334[[#This Row],[Category]]="Other Income",Table334[[#This Row],[Account Deposit Amount]]-Table334[[#This Row],[Account Withdrawl Amount]], )</f>
        <v>0</v>
      </c>
      <c r="O349" s="243">
        <f>IF(Table334[[#This Row],[Category]]="Registration",Table334[[#This Row],[Account Deposit Amount]]-Table334[[#This Row],[Account Withdrawl Amount]], )</f>
        <v>0</v>
      </c>
      <c r="P349" s="243">
        <f>IF(Table334[[#This Row],[Category]]="Insignia",Table334[[#This Row],[Account Deposit Amount]]-Table334[[#This Row],[Account Withdrawl Amount]], )</f>
        <v>0</v>
      </c>
      <c r="Q349" s="243">
        <f>IF(Table334[[#This Row],[Category]]="Activities/Program",Table334[[#This Row],[Account Deposit Amount]]-Table334[[#This Row],[Account Withdrawl Amount]], )</f>
        <v>0</v>
      </c>
      <c r="R349" s="243">
        <f>IF(Table334[[#This Row],[Category]]="Travel",Table334[[#This Row],[Account Deposit Amount]]-Table334[[#This Row],[Account Withdrawl Amount]], )</f>
        <v>0</v>
      </c>
      <c r="S349" s="243">
        <f>IF(Table334[[#This Row],[Category]]="Parties Food &amp; Beverages",Table334[[#This Row],[Account Deposit Amount]]-Table334[[#This Row],[Account Withdrawl Amount]], )</f>
        <v>0</v>
      </c>
      <c r="T349" s="243">
        <f>IF(Table334[[#This Row],[Category]]="Service Projects Donation",Table334[[#This Row],[Account Deposit Amount]]-Table334[[#This Row],[Account Withdrawl Amount]], )</f>
        <v>0</v>
      </c>
      <c r="U349" s="243">
        <f>IF(Table334[[#This Row],[Category]]="Cookie Debt",Table334[[#This Row],[Account Deposit Amount]]-Table334[[#This Row],[Account Withdrawl Amount]], )</f>
        <v>0</v>
      </c>
      <c r="V349" s="243">
        <f>IF(Table334[[#This Row],[Category]]="Other Expense",Table334[[#This Row],[Account Deposit Amount]]-Table334[[#This Row],[Account Withdrawl Amount]], )</f>
        <v>0</v>
      </c>
    </row>
    <row r="350" spans="1:22">
      <c r="A350" s="225"/>
      <c r="B350" s="241"/>
      <c r="C350" s="225"/>
      <c r="D350" s="225"/>
      <c r="E350" s="242"/>
      <c r="F350" s="242"/>
      <c r="G350" s="243">
        <f t="shared" si="8"/>
        <v>2518.9699999999939</v>
      </c>
      <c r="H350" s="225"/>
      <c r="I350" s="243">
        <f>IF(Table334[[#This Row],[Category]]="Fall Product",Table334[[#This Row],[Account Deposit Amount]]-Table334[[#This Row],[Account Withdrawl Amount]], )</f>
        <v>0</v>
      </c>
      <c r="J350" s="243">
        <f>IF(Table334[[#This Row],[Category]]="Cookies",Table334[[#This Row],[Account Deposit Amount]]-Table334[[#This Row],[Account Withdrawl Amount]], )</f>
        <v>0</v>
      </c>
      <c r="K350" s="243">
        <f>IF(Table334[[#This Row],[Category]]="Additional Money Earning Activities",Table334[[#This Row],[Account Deposit Amount]]-Table334[[#This Row],[Account Withdrawl Amount]], )</f>
        <v>0</v>
      </c>
      <c r="L350" s="243">
        <f>IF(Table334[[#This Row],[Category]]="Sponsorships",Table334[[#This Row],[Account Deposit Amount]]-Table334[[#This Row],[Account Withdrawl Amount]], )</f>
        <v>0</v>
      </c>
      <c r="M350" s="243">
        <f>IF(Table334[[#This Row],[Category]]="Troop Dues",Table334[[#This Row],[Account Deposit Amount]]-Table334[[#This Row],[Account Withdrawl Amount]], )</f>
        <v>0</v>
      </c>
      <c r="N350" s="243">
        <f>IF(Table334[[#This Row],[Category]]="Other Income",Table334[[#This Row],[Account Deposit Amount]]-Table334[[#This Row],[Account Withdrawl Amount]], )</f>
        <v>0</v>
      </c>
      <c r="O350" s="243">
        <f>IF(Table334[[#This Row],[Category]]="Registration",Table334[[#This Row],[Account Deposit Amount]]-Table334[[#This Row],[Account Withdrawl Amount]], )</f>
        <v>0</v>
      </c>
      <c r="P350" s="243">
        <f>IF(Table334[[#This Row],[Category]]="Insignia",Table334[[#This Row],[Account Deposit Amount]]-Table334[[#This Row],[Account Withdrawl Amount]], )</f>
        <v>0</v>
      </c>
      <c r="Q350" s="243">
        <f>IF(Table334[[#This Row],[Category]]="Activities/Program",Table334[[#This Row],[Account Deposit Amount]]-Table334[[#This Row],[Account Withdrawl Amount]], )</f>
        <v>0</v>
      </c>
      <c r="R350" s="243">
        <f>IF(Table334[[#This Row],[Category]]="Travel",Table334[[#This Row],[Account Deposit Amount]]-Table334[[#This Row],[Account Withdrawl Amount]], )</f>
        <v>0</v>
      </c>
      <c r="S350" s="243">
        <f>IF(Table334[[#This Row],[Category]]="Parties Food &amp; Beverages",Table334[[#This Row],[Account Deposit Amount]]-Table334[[#This Row],[Account Withdrawl Amount]], )</f>
        <v>0</v>
      </c>
      <c r="T350" s="243">
        <f>IF(Table334[[#This Row],[Category]]="Service Projects Donation",Table334[[#This Row],[Account Deposit Amount]]-Table334[[#This Row],[Account Withdrawl Amount]], )</f>
        <v>0</v>
      </c>
      <c r="U350" s="243">
        <f>IF(Table334[[#This Row],[Category]]="Cookie Debt",Table334[[#This Row],[Account Deposit Amount]]-Table334[[#This Row],[Account Withdrawl Amount]], )</f>
        <v>0</v>
      </c>
      <c r="V350" s="243">
        <f>IF(Table334[[#This Row],[Category]]="Other Expense",Table334[[#This Row],[Account Deposit Amount]]-Table334[[#This Row],[Account Withdrawl Amount]], )</f>
        <v>0</v>
      </c>
    </row>
    <row r="351" spans="1:22">
      <c r="A351" s="225"/>
      <c r="B351" s="241"/>
      <c r="C351" s="225"/>
      <c r="D351" s="225"/>
      <c r="E351" s="242"/>
      <c r="F351" s="242"/>
      <c r="G351" s="243">
        <f t="shared" si="8"/>
        <v>2518.9699999999939</v>
      </c>
      <c r="H351" s="225"/>
      <c r="I351" s="243">
        <f>IF(Table334[[#This Row],[Category]]="Fall Product",Table334[[#This Row],[Account Deposit Amount]]-Table334[[#This Row],[Account Withdrawl Amount]], )</f>
        <v>0</v>
      </c>
      <c r="J351" s="243">
        <f>IF(Table334[[#This Row],[Category]]="Cookies",Table334[[#This Row],[Account Deposit Amount]]-Table334[[#This Row],[Account Withdrawl Amount]], )</f>
        <v>0</v>
      </c>
      <c r="K351" s="243">
        <f>IF(Table334[[#This Row],[Category]]="Additional Money Earning Activities",Table334[[#This Row],[Account Deposit Amount]]-Table334[[#This Row],[Account Withdrawl Amount]], )</f>
        <v>0</v>
      </c>
      <c r="L351" s="243">
        <f>IF(Table334[[#This Row],[Category]]="Sponsorships",Table334[[#This Row],[Account Deposit Amount]]-Table334[[#This Row],[Account Withdrawl Amount]], )</f>
        <v>0</v>
      </c>
      <c r="M351" s="243">
        <f>IF(Table334[[#This Row],[Category]]="Troop Dues",Table334[[#This Row],[Account Deposit Amount]]-Table334[[#This Row],[Account Withdrawl Amount]], )</f>
        <v>0</v>
      </c>
      <c r="N351" s="243">
        <f>IF(Table334[[#This Row],[Category]]="Other Income",Table334[[#This Row],[Account Deposit Amount]]-Table334[[#This Row],[Account Withdrawl Amount]], )</f>
        <v>0</v>
      </c>
      <c r="O351" s="243">
        <f>IF(Table334[[#This Row],[Category]]="Registration",Table334[[#This Row],[Account Deposit Amount]]-Table334[[#This Row],[Account Withdrawl Amount]], )</f>
        <v>0</v>
      </c>
      <c r="P351" s="243">
        <f>IF(Table334[[#This Row],[Category]]="Insignia",Table334[[#This Row],[Account Deposit Amount]]-Table334[[#This Row],[Account Withdrawl Amount]], )</f>
        <v>0</v>
      </c>
      <c r="Q351" s="243">
        <f>IF(Table334[[#This Row],[Category]]="Activities/Program",Table334[[#This Row],[Account Deposit Amount]]-Table334[[#This Row],[Account Withdrawl Amount]], )</f>
        <v>0</v>
      </c>
      <c r="R351" s="243">
        <f>IF(Table334[[#This Row],[Category]]="Travel",Table334[[#This Row],[Account Deposit Amount]]-Table334[[#This Row],[Account Withdrawl Amount]], )</f>
        <v>0</v>
      </c>
      <c r="S351" s="243">
        <f>IF(Table334[[#This Row],[Category]]="Parties Food &amp; Beverages",Table334[[#This Row],[Account Deposit Amount]]-Table334[[#This Row],[Account Withdrawl Amount]], )</f>
        <v>0</v>
      </c>
      <c r="T351" s="243">
        <f>IF(Table334[[#This Row],[Category]]="Service Projects Donation",Table334[[#This Row],[Account Deposit Amount]]-Table334[[#This Row],[Account Withdrawl Amount]], )</f>
        <v>0</v>
      </c>
      <c r="U351" s="243">
        <f>IF(Table334[[#This Row],[Category]]="Cookie Debt",Table334[[#This Row],[Account Deposit Amount]]-Table334[[#This Row],[Account Withdrawl Amount]], )</f>
        <v>0</v>
      </c>
      <c r="V351" s="243">
        <f>IF(Table334[[#This Row],[Category]]="Other Expense",Table334[[#This Row],[Account Deposit Amount]]-Table334[[#This Row],[Account Withdrawl Amount]], )</f>
        <v>0</v>
      </c>
    </row>
    <row r="352" spans="1:22">
      <c r="A352" s="225"/>
      <c r="B352" s="241"/>
      <c r="C352" s="225"/>
      <c r="D352" s="225"/>
      <c r="E352" s="242"/>
      <c r="F352" s="242"/>
      <c r="G352" s="243">
        <f t="shared" si="8"/>
        <v>2518.9699999999939</v>
      </c>
      <c r="H352" s="225"/>
      <c r="I352" s="243">
        <f>IF(Table334[[#This Row],[Category]]="Fall Product",Table334[[#This Row],[Account Deposit Amount]]-Table334[[#This Row],[Account Withdrawl Amount]], )</f>
        <v>0</v>
      </c>
      <c r="J352" s="243">
        <f>IF(Table334[[#This Row],[Category]]="Cookies",Table334[[#This Row],[Account Deposit Amount]]-Table334[[#This Row],[Account Withdrawl Amount]], )</f>
        <v>0</v>
      </c>
      <c r="K352" s="243">
        <f>IF(Table334[[#This Row],[Category]]="Additional Money Earning Activities",Table334[[#This Row],[Account Deposit Amount]]-Table334[[#This Row],[Account Withdrawl Amount]], )</f>
        <v>0</v>
      </c>
      <c r="L352" s="243">
        <f>IF(Table334[[#This Row],[Category]]="Sponsorships",Table334[[#This Row],[Account Deposit Amount]]-Table334[[#This Row],[Account Withdrawl Amount]], )</f>
        <v>0</v>
      </c>
      <c r="M352" s="243">
        <f>IF(Table334[[#This Row],[Category]]="Troop Dues",Table334[[#This Row],[Account Deposit Amount]]-Table334[[#This Row],[Account Withdrawl Amount]], )</f>
        <v>0</v>
      </c>
      <c r="N352" s="243">
        <f>IF(Table334[[#This Row],[Category]]="Other Income",Table334[[#This Row],[Account Deposit Amount]]-Table334[[#This Row],[Account Withdrawl Amount]], )</f>
        <v>0</v>
      </c>
      <c r="O352" s="243">
        <f>IF(Table334[[#This Row],[Category]]="Registration",Table334[[#This Row],[Account Deposit Amount]]-Table334[[#This Row],[Account Withdrawl Amount]], )</f>
        <v>0</v>
      </c>
      <c r="P352" s="243">
        <f>IF(Table334[[#This Row],[Category]]="Insignia",Table334[[#This Row],[Account Deposit Amount]]-Table334[[#This Row],[Account Withdrawl Amount]], )</f>
        <v>0</v>
      </c>
      <c r="Q352" s="243">
        <f>IF(Table334[[#This Row],[Category]]="Activities/Program",Table334[[#This Row],[Account Deposit Amount]]-Table334[[#This Row],[Account Withdrawl Amount]], )</f>
        <v>0</v>
      </c>
      <c r="R352" s="243">
        <f>IF(Table334[[#This Row],[Category]]="Travel",Table334[[#This Row],[Account Deposit Amount]]-Table334[[#This Row],[Account Withdrawl Amount]], )</f>
        <v>0</v>
      </c>
      <c r="S352" s="243">
        <f>IF(Table334[[#This Row],[Category]]="Parties Food &amp; Beverages",Table334[[#This Row],[Account Deposit Amount]]-Table334[[#This Row],[Account Withdrawl Amount]], )</f>
        <v>0</v>
      </c>
      <c r="T352" s="243">
        <f>IF(Table334[[#This Row],[Category]]="Service Projects Donation",Table334[[#This Row],[Account Deposit Amount]]-Table334[[#This Row],[Account Withdrawl Amount]], )</f>
        <v>0</v>
      </c>
      <c r="U352" s="243">
        <f>IF(Table334[[#This Row],[Category]]="Cookie Debt",Table334[[#This Row],[Account Deposit Amount]]-Table334[[#This Row],[Account Withdrawl Amount]], )</f>
        <v>0</v>
      </c>
      <c r="V352" s="243">
        <f>IF(Table334[[#This Row],[Category]]="Other Expense",Table334[[#This Row],[Account Deposit Amount]]-Table334[[#This Row],[Account Withdrawl Amount]], )</f>
        <v>0</v>
      </c>
    </row>
    <row r="353" spans="1:22">
      <c r="A353" s="225"/>
      <c r="B353" s="241"/>
      <c r="C353" s="225"/>
      <c r="D353" s="225"/>
      <c r="E353" s="242"/>
      <c r="F353" s="242"/>
      <c r="G353" s="243">
        <f t="shared" si="8"/>
        <v>2518.9699999999939</v>
      </c>
      <c r="H353" s="225"/>
      <c r="I353" s="243">
        <f>IF(Table334[[#This Row],[Category]]="Fall Product",Table334[[#This Row],[Account Deposit Amount]]-Table334[[#This Row],[Account Withdrawl Amount]], )</f>
        <v>0</v>
      </c>
      <c r="J353" s="243">
        <f>IF(Table334[[#This Row],[Category]]="Cookies",Table334[[#This Row],[Account Deposit Amount]]-Table334[[#This Row],[Account Withdrawl Amount]], )</f>
        <v>0</v>
      </c>
      <c r="K353" s="243">
        <f>IF(Table334[[#This Row],[Category]]="Additional Money Earning Activities",Table334[[#This Row],[Account Deposit Amount]]-Table334[[#This Row],[Account Withdrawl Amount]], )</f>
        <v>0</v>
      </c>
      <c r="L353" s="243">
        <f>IF(Table334[[#This Row],[Category]]="Sponsorships",Table334[[#This Row],[Account Deposit Amount]]-Table334[[#This Row],[Account Withdrawl Amount]], )</f>
        <v>0</v>
      </c>
      <c r="M353" s="243">
        <f>IF(Table334[[#This Row],[Category]]="Troop Dues",Table334[[#This Row],[Account Deposit Amount]]-Table334[[#This Row],[Account Withdrawl Amount]], )</f>
        <v>0</v>
      </c>
      <c r="N353" s="243">
        <f>IF(Table334[[#This Row],[Category]]="Other Income",Table334[[#This Row],[Account Deposit Amount]]-Table334[[#This Row],[Account Withdrawl Amount]], )</f>
        <v>0</v>
      </c>
      <c r="O353" s="243">
        <f>IF(Table334[[#This Row],[Category]]="Registration",Table334[[#This Row],[Account Deposit Amount]]-Table334[[#This Row],[Account Withdrawl Amount]], )</f>
        <v>0</v>
      </c>
      <c r="P353" s="243">
        <f>IF(Table334[[#This Row],[Category]]="Insignia",Table334[[#This Row],[Account Deposit Amount]]-Table334[[#This Row],[Account Withdrawl Amount]], )</f>
        <v>0</v>
      </c>
      <c r="Q353" s="243">
        <f>IF(Table334[[#This Row],[Category]]="Activities/Program",Table334[[#This Row],[Account Deposit Amount]]-Table334[[#This Row],[Account Withdrawl Amount]], )</f>
        <v>0</v>
      </c>
      <c r="R353" s="243">
        <f>IF(Table334[[#This Row],[Category]]="Travel",Table334[[#This Row],[Account Deposit Amount]]-Table334[[#This Row],[Account Withdrawl Amount]], )</f>
        <v>0</v>
      </c>
      <c r="S353" s="243">
        <f>IF(Table334[[#This Row],[Category]]="Parties Food &amp; Beverages",Table334[[#This Row],[Account Deposit Amount]]-Table334[[#This Row],[Account Withdrawl Amount]], )</f>
        <v>0</v>
      </c>
      <c r="T353" s="243">
        <f>IF(Table334[[#This Row],[Category]]="Service Projects Donation",Table334[[#This Row],[Account Deposit Amount]]-Table334[[#This Row],[Account Withdrawl Amount]], )</f>
        <v>0</v>
      </c>
      <c r="U353" s="243">
        <f>IF(Table334[[#This Row],[Category]]="Cookie Debt",Table334[[#This Row],[Account Deposit Amount]]-Table334[[#This Row],[Account Withdrawl Amount]], )</f>
        <v>0</v>
      </c>
      <c r="V353" s="243">
        <f>IF(Table334[[#This Row],[Category]]="Other Expense",Table334[[#This Row],[Account Deposit Amount]]-Table334[[#This Row],[Account Withdrawl Amount]], )</f>
        <v>0</v>
      </c>
    </row>
    <row r="354" spans="1:22">
      <c r="A354" s="225"/>
      <c r="B354" s="241"/>
      <c r="C354" s="225"/>
      <c r="D354" s="225"/>
      <c r="E354" s="242"/>
      <c r="F354" s="242"/>
      <c r="G354" s="243">
        <f t="shared" si="8"/>
        <v>2518.9699999999939</v>
      </c>
      <c r="H354" s="225"/>
      <c r="I354" s="243">
        <f>IF(Table334[[#This Row],[Category]]="Fall Product",Table334[[#This Row],[Account Deposit Amount]]-Table334[[#This Row],[Account Withdrawl Amount]], )</f>
        <v>0</v>
      </c>
      <c r="J354" s="243">
        <f>IF(Table334[[#This Row],[Category]]="Cookies",Table334[[#This Row],[Account Deposit Amount]]-Table334[[#This Row],[Account Withdrawl Amount]], )</f>
        <v>0</v>
      </c>
      <c r="K354" s="243">
        <f>IF(Table334[[#This Row],[Category]]="Additional Money Earning Activities",Table334[[#This Row],[Account Deposit Amount]]-Table334[[#This Row],[Account Withdrawl Amount]], )</f>
        <v>0</v>
      </c>
      <c r="L354" s="243">
        <f>IF(Table334[[#This Row],[Category]]="Sponsorships",Table334[[#This Row],[Account Deposit Amount]]-Table334[[#This Row],[Account Withdrawl Amount]], )</f>
        <v>0</v>
      </c>
      <c r="M354" s="243">
        <f>IF(Table334[[#This Row],[Category]]="Troop Dues",Table334[[#This Row],[Account Deposit Amount]]-Table334[[#This Row],[Account Withdrawl Amount]], )</f>
        <v>0</v>
      </c>
      <c r="N354" s="243">
        <f>IF(Table334[[#This Row],[Category]]="Other Income",Table334[[#This Row],[Account Deposit Amount]]-Table334[[#This Row],[Account Withdrawl Amount]], )</f>
        <v>0</v>
      </c>
      <c r="O354" s="243">
        <f>IF(Table334[[#This Row],[Category]]="Registration",Table334[[#This Row],[Account Deposit Amount]]-Table334[[#This Row],[Account Withdrawl Amount]], )</f>
        <v>0</v>
      </c>
      <c r="P354" s="243">
        <f>IF(Table334[[#This Row],[Category]]="Insignia",Table334[[#This Row],[Account Deposit Amount]]-Table334[[#This Row],[Account Withdrawl Amount]], )</f>
        <v>0</v>
      </c>
      <c r="Q354" s="243">
        <f>IF(Table334[[#This Row],[Category]]="Activities/Program",Table334[[#This Row],[Account Deposit Amount]]-Table334[[#This Row],[Account Withdrawl Amount]], )</f>
        <v>0</v>
      </c>
      <c r="R354" s="243">
        <f>IF(Table334[[#This Row],[Category]]="Travel",Table334[[#This Row],[Account Deposit Amount]]-Table334[[#This Row],[Account Withdrawl Amount]], )</f>
        <v>0</v>
      </c>
      <c r="S354" s="243">
        <f>IF(Table334[[#This Row],[Category]]="Parties Food &amp; Beverages",Table334[[#This Row],[Account Deposit Amount]]-Table334[[#This Row],[Account Withdrawl Amount]], )</f>
        <v>0</v>
      </c>
      <c r="T354" s="243">
        <f>IF(Table334[[#This Row],[Category]]="Service Projects Donation",Table334[[#This Row],[Account Deposit Amount]]-Table334[[#This Row],[Account Withdrawl Amount]], )</f>
        <v>0</v>
      </c>
      <c r="U354" s="243">
        <f>IF(Table334[[#This Row],[Category]]="Cookie Debt",Table334[[#This Row],[Account Deposit Amount]]-Table334[[#This Row],[Account Withdrawl Amount]], )</f>
        <v>0</v>
      </c>
      <c r="V354" s="243">
        <f>IF(Table334[[#This Row],[Category]]="Other Expense",Table334[[#This Row],[Account Deposit Amount]]-Table334[[#This Row],[Account Withdrawl Amount]], )</f>
        <v>0</v>
      </c>
    </row>
    <row r="355" spans="1:22">
      <c r="A355" s="225"/>
      <c r="B355" s="241"/>
      <c r="C355" s="225"/>
      <c r="D355" s="225"/>
      <c r="E355" s="242"/>
      <c r="F355" s="242"/>
      <c r="G355" s="243">
        <f t="shared" si="8"/>
        <v>2518.9699999999939</v>
      </c>
      <c r="H355" s="225"/>
      <c r="I355" s="243">
        <f>IF(Table334[[#This Row],[Category]]="Fall Product",Table334[[#This Row],[Account Deposit Amount]]-Table334[[#This Row],[Account Withdrawl Amount]], )</f>
        <v>0</v>
      </c>
      <c r="J355" s="243">
        <f>IF(Table334[[#This Row],[Category]]="Cookies",Table334[[#This Row],[Account Deposit Amount]]-Table334[[#This Row],[Account Withdrawl Amount]], )</f>
        <v>0</v>
      </c>
      <c r="K355" s="243">
        <f>IF(Table334[[#This Row],[Category]]="Additional Money Earning Activities",Table334[[#This Row],[Account Deposit Amount]]-Table334[[#This Row],[Account Withdrawl Amount]], )</f>
        <v>0</v>
      </c>
      <c r="L355" s="243">
        <f>IF(Table334[[#This Row],[Category]]="Sponsorships",Table334[[#This Row],[Account Deposit Amount]]-Table334[[#This Row],[Account Withdrawl Amount]], )</f>
        <v>0</v>
      </c>
      <c r="M355" s="243">
        <f>IF(Table334[[#This Row],[Category]]="Troop Dues",Table334[[#This Row],[Account Deposit Amount]]-Table334[[#This Row],[Account Withdrawl Amount]], )</f>
        <v>0</v>
      </c>
      <c r="N355" s="243">
        <f>IF(Table334[[#This Row],[Category]]="Other Income",Table334[[#This Row],[Account Deposit Amount]]-Table334[[#This Row],[Account Withdrawl Amount]], )</f>
        <v>0</v>
      </c>
      <c r="O355" s="243">
        <f>IF(Table334[[#This Row],[Category]]="Registration",Table334[[#This Row],[Account Deposit Amount]]-Table334[[#This Row],[Account Withdrawl Amount]], )</f>
        <v>0</v>
      </c>
      <c r="P355" s="243">
        <f>IF(Table334[[#This Row],[Category]]="Insignia",Table334[[#This Row],[Account Deposit Amount]]-Table334[[#This Row],[Account Withdrawl Amount]], )</f>
        <v>0</v>
      </c>
      <c r="Q355" s="243">
        <f>IF(Table334[[#This Row],[Category]]="Activities/Program",Table334[[#This Row],[Account Deposit Amount]]-Table334[[#This Row],[Account Withdrawl Amount]], )</f>
        <v>0</v>
      </c>
      <c r="R355" s="243">
        <f>IF(Table334[[#This Row],[Category]]="Travel",Table334[[#This Row],[Account Deposit Amount]]-Table334[[#This Row],[Account Withdrawl Amount]], )</f>
        <v>0</v>
      </c>
      <c r="S355" s="243">
        <f>IF(Table334[[#This Row],[Category]]="Parties Food &amp; Beverages",Table334[[#This Row],[Account Deposit Amount]]-Table334[[#This Row],[Account Withdrawl Amount]], )</f>
        <v>0</v>
      </c>
      <c r="T355" s="243">
        <f>IF(Table334[[#This Row],[Category]]="Service Projects Donation",Table334[[#This Row],[Account Deposit Amount]]-Table334[[#This Row],[Account Withdrawl Amount]], )</f>
        <v>0</v>
      </c>
      <c r="U355" s="243">
        <f>IF(Table334[[#This Row],[Category]]="Cookie Debt",Table334[[#This Row],[Account Deposit Amount]]-Table334[[#This Row],[Account Withdrawl Amount]], )</f>
        <v>0</v>
      </c>
      <c r="V355" s="243">
        <f>IF(Table334[[#This Row],[Category]]="Other Expense",Table334[[#This Row],[Account Deposit Amount]]-Table334[[#This Row],[Account Withdrawl Amount]], )</f>
        <v>0</v>
      </c>
    </row>
    <row r="356" spans="1:22">
      <c r="A356" s="225"/>
      <c r="B356" s="241"/>
      <c r="C356" s="225"/>
      <c r="D356" s="225"/>
      <c r="E356" s="242"/>
      <c r="F356" s="242"/>
      <c r="G356" s="243">
        <f t="shared" si="8"/>
        <v>2518.9699999999939</v>
      </c>
      <c r="H356" s="225"/>
      <c r="I356" s="243">
        <f>IF(Table334[[#This Row],[Category]]="Fall Product",Table334[[#This Row],[Account Deposit Amount]]-Table334[[#This Row],[Account Withdrawl Amount]], )</f>
        <v>0</v>
      </c>
      <c r="J356" s="243">
        <f>IF(Table334[[#This Row],[Category]]="Cookies",Table334[[#This Row],[Account Deposit Amount]]-Table334[[#This Row],[Account Withdrawl Amount]], )</f>
        <v>0</v>
      </c>
      <c r="K356" s="243">
        <f>IF(Table334[[#This Row],[Category]]="Additional Money Earning Activities",Table334[[#This Row],[Account Deposit Amount]]-Table334[[#This Row],[Account Withdrawl Amount]], )</f>
        <v>0</v>
      </c>
      <c r="L356" s="243">
        <f>IF(Table334[[#This Row],[Category]]="Sponsorships",Table334[[#This Row],[Account Deposit Amount]]-Table334[[#This Row],[Account Withdrawl Amount]], )</f>
        <v>0</v>
      </c>
      <c r="M356" s="243">
        <f>IF(Table334[[#This Row],[Category]]="Troop Dues",Table334[[#This Row],[Account Deposit Amount]]-Table334[[#This Row],[Account Withdrawl Amount]], )</f>
        <v>0</v>
      </c>
      <c r="N356" s="243">
        <f>IF(Table334[[#This Row],[Category]]="Other Income",Table334[[#This Row],[Account Deposit Amount]]-Table334[[#This Row],[Account Withdrawl Amount]], )</f>
        <v>0</v>
      </c>
      <c r="O356" s="243">
        <f>IF(Table334[[#This Row],[Category]]="Registration",Table334[[#This Row],[Account Deposit Amount]]-Table334[[#This Row],[Account Withdrawl Amount]], )</f>
        <v>0</v>
      </c>
      <c r="P356" s="243">
        <f>IF(Table334[[#This Row],[Category]]="Insignia",Table334[[#This Row],[Account Deposit Amount]]-Table334[[#This Row],[Account Withdrawl Amount]], )</f>
        <v>0</v>
      </c>
      <c r="Q356" s="243">
        <f>IF(Table334[[#This Row],[Category]]="Activities/Program",Table334[[#This Row],[Account Deposit Amount]]-Table334[[#This Row],[Account Withdrawl Amount]], )</f>
        <v>0</v>
      </c>
      <c r="R356" s="243">
        <f>IF(Table334[[#This Row],[Category]]="Travel",Table334[[#This Row],[Account Deposit Amount]]-Table334[[#This Row],[Account Withdrawl Amount]], )</f>
        <v>0</v>
      </c>
      <c r="S356" s="243">
        <f>IF(Table334[[#This Row],[Category]]="Parties Food &amp; Beverages",Table334[[#This Row],[Account Deposit Amount]]-Table334[[#This Row],[Account Withdrawl Amount]], )</f>
        <v>0</v>
      </c>
      <c r="T356" s="243">
        <f>IF(Table334[[#This Row],[Category]]="Service Projects Donation",Table334[[#This Row],[Account Deposit Amount]]-Table334[[#This Row],[Account Withdrawl Amount]], )</f>
        <v>0</v>
      </c>
      <c r="U356" s="243">
        <f>IF(Table334[[#This Row],[Category]]="Cookie Debt",Table334[[#This Row],[Account Deposit Amount]]-Table334[[#This Row],[Account Withdrawl Amount]], )</f>
        <v>0</v>
      </c>
      <c r="V356" s="243">
        <f>IF(Table334[[#This Row],[Category]]="Other Expense",Table334[[#This Row],[Account Deposit Amount]]-Table334[[#This Row],[Account Withdrawl Amount]], )</f>
        <v>0</v>
      </c>
    </row>
    <row r="357" spans="1:22">
      <c r="A357" s="225"/>
      <c r="B357" s="241"/>
      <c r="C357" s="225"/>
      <c r="D357" s="225"/>
      <c r="E357" s="242"/>
      <c r="F357" s="242"/>
      <c r="G357" s="243">
        <f t="shared" si="8"/>
        <v>2518.9699999999939</v>
      </c>
      <c r="H357" s="225"/>
      <c r="I357" s="243">
        <f>IF(Table334[[#This Row],[Category]]="Fall Product",Table334[[#This Row],[Account Deposit Amount]]-Table334[[#This Row],[Account Withdrawl Amount]], )</f>
        <v>0</v>
      </c>
      <c r="J357" s="243">
        <f>IF(Table334[[#This Row],[Category]]="Cookies",Table334[[#This Row],[Account Deposit Amount]]-Table334[[#This Row],[Account Withdrawl Amount]], )</f>
        <v>0</v>
      </c>
      <c r="K357" s="243">
        <f>IF(Table334[[#This Row],[Category]]="Additional Money Earning Activities",Table334[[#This Row],[Account Deposit Amount]]-Table334[[#This Row],[Account Withdrawl Amount]], )</f>
        <v>0</v>
      </c>
      <c r="L357" s="243">
        <f>IF(Table334[[#This Row],[Category]]="Sponsorships",Table334[[#This Row],[Account Deposit Amount]]-Table334[[#This Row],[Account Withdrawl Amount]], )</f>
        <v>0</v>
      </c>
      <c r="M357" s="243">
        <f>IF(Table334[[#This Row],[Category]]="Troop Dues",Table334[[#This Row],[Account Deposit Amount]]-Table334[[#This Row],[Account Withdrawl Amount]], )</f>
        <v>0</v>
      </c>
      <c r="N357" s="243">
        <f>IF(Table334[[#This Row],[Category]]="Other Income",Table334[[#This Row],[Account Deposit Amount]]-Table334[[#This Row],[Account Withdrawl Amount]], )</f>
        <v>0</v>
      </c>
      <c r="O357" s="243">
        <f>IF(Table334[[#This Row],[Category]]="Registration",Table334[[#This Row],[Account Deposit Amount]]-Table334[[#This Row],[Account Withdrawl Amount]], )</f>
        <v>0</v>
      </c>
      <c r="P357" s="243">
        <f>IF(Table334[[#This Row],[Category]]="Insignia",Table334[[#This Row],[Account Deposit Amount]]-Table334[[#This Row],[Account Withdrawl Amount]], )</f>
        <v>0</v>
      </c>
      <c r="Q357" s="243">
        <f>IF(Table334[[#This Row],[Category]]="Activities/Program",Table334[[#This Row],[Account Deposit Amount]]-Table334[[#This Row],[Account Withdrawl Amount]], )</f>
        <v>0</v>
      </c>
      <c r="R357" s="243">
        <f>IF(Table334[[#This Row],[Category]]="Travel",Table334[[#This Row],[Account Deposit Amount]]-Table334[[#This Row],[Account Withdrawl Amount]], )</f>
        <v>0</v>
      </c>
      <c r="S357" s="243">
        <f>IF(Table334[[#This Row],[Category]]="Parties Food &amp; Beverages",Table334[[#This Row],[Account Deposit Amount]]-Table334[[#This Row],[Account Withdrawl Amount]], )</f>
        <v>0</v>
      </c>
      <c r="T357" s="243">
        <f>IF(Table334[[#This Row],[Category]]="Service Projects Donation",Table334[[#This Row],[Account Deposit Amount]]-Table334[[#This Row],[Account Withdrawl Amount]], )</f>
        <v>0</v>
      </c>
      <c r="U357" s="243">
        <f>IF(Table334[[#This Row],[Category]]="Cookie Debt",Table334[[#This Row],[Account Deposit Amount]]-Table334[[#This Row],[Account Withdrawl Amount]], )</f>
        <v>0</v>
      </c>
      <c r="V357" s="243">
        <f>IF(Table334[[#This Row],[Category]]="Other Expense",Table334[[#This Row],[Account Deposit Amount]]-Table334[[#This Row],[Account Withdrawl Amount]], )</f>
        <v>0</v>
      </c>
    </row>
    <row r="358" spans="1:22">
      <c r="A358" s="225"/>
      <c r="B358" s="241"/>
      <c r="C358" s="225"/>
      <c r="D358" s="225"/>
      <c r="E358" s="242"/>
      <c r="F358" s="242"/>
      <c r="G358" s="243">
        <f t="shared" si="8"/>
        <v>2518.9699999999939</v>
      </c>
      <c r="H358" s="225"/>
      <c r="I358" s="243">
        <f>IF(Table334[[#This Row],[Category]]="Fall Product",Table334[[#This Row],[Account Deposit Amount]]-Table334[[#This Row],[Account Withdrawl Amount]], )</f>
        <v>0</v>
      </c>
      <c r="J358" s="243">
        <f>IF(Table334[[#This Row],[Category]]="Cookies",Table334[[#This Row],[Account Deposit Amount]]-Table334[[#This Row],[Account Withdrawl Amount]], )</f>
        <v>0</v>
      </c>
      <c r="K358" s="243">
        <f>IF(Table334[[#This Row],[Category]]="Additional Money Earning Activities",Table334[[#This Row],[Account Deposit Amount]]-Table334[[#This Row],[Account Withdrawl Amount]], )</f>
        <v>0</v>
      </c>
      <c r="L358" s="243">
        <f>IF(Table334[[#This Row],[Category]]="Sponsorships",Table334[[#This Row],[Account Deposit Amount]]-Table334[[#This Row],[Account Withdrawl Amount]], )</f>
        <v>0</v>
      </c>
      <c r="M358" s="243">
        <f>IF(Table334[[#This Row],[Category]]="Troop Dues",Table334[[#This Row],[Account Deposit Amount]]-Table334[[#This Row],[Account Withdrawl Amount]], )</f>
        <v>0</v>
      </c>
      <c r="N358" s="243">
        <f>IF(Table334[[#This Row],[Category]]="Other Income",Table334[[#This Row],[Account Deposit Amount]]-Table334[[#This Row],[Account Withdrawl Amount]], )</f>
        <v>0</v>
      </c>
      <c r="O358" s="243">
        <f>IF(Table334[[#This Row],[Category]]="Registration",Table334[[#This Row],[Account Deposit Amount]]-Table334[[#This Row],[Account Withdrawl Amount]], )</f>
        <v>0</v>
      </c>
      <c r="P358" s="243">
        <f>IF(Table334[[#This Row],[Category]]="Insignia",Table334[[#This Row],[Account Deposit Amount]]-Table334[[#This Row],[Account Withdrawl Amount]], )</f>
        <v>0</v>
      </c>
      <c r="Q358" s="243">
        <f>IF(Table334[[#This Row],[Category]]="Activities/Program",Table334[[#This Row],[Account Deposit Amount]]-Table334[[#This Row],[Account Withdrawl Amount]], )</f>
        <v>0</v>
      </c>
      <c r="R358" s="243">
        <f>IF(Table334[[#This Row],[Category]]="Travel",Table334[[#This Row],[Account Deposit Amount]]-Table334[[#This Row],[Account Withdrawl Amount]], )</f>
        <v>0</v>
      </c>
      <c r="S358" s="243">
        <f>IF(Table334[[#This Row],[Category]]="Parties Food &amp; Beverages",Table334[[#This Row],[Account Deposit Amount]]-Table334[[#This Row],[Account Withdrawl Amount]], )</f>
        <v>0</v>
      </c>
      <c r="T358" s="243">
        <f>IF(Table334[[#This Row],[Category]]="Service Projects Donation",Table334[[#This Row],[Account Deposit Amount]]-Table334[[#This Row],[Account Withdrawl Amount]], )</f>
        <v>0</v>
      </c>
      <c r="U358" s="243">
        <f>IF(Table334[[#This Row],[Category]]="Cookie Debt",Table334[[#This Row],[Account Deposit Amount]]-Table334[[#This Row],[Account Withdrawl Amount]], )</f>
        <v>0</v>
      </c>
      <c r="V358" s="243">
        <f>IF(Table334[[#This Row],[Category]]="Other Expense",Table334[[#This Row],[Account Deposit Amount]]-Table334[[#This Row],[Account Withdrawl Amount]], )</f>
        <v>0</v>
      </c>
    </row>
    <row r="359" spans="1:22">
      <c r="A359" s="225"/>
      <c r="B359" s="241"/>
      <c r="C359" s="225"/>
      <c r="D359" s="225"/>
      <c r="E359" s="242"/>
      <c r="F359" s="242"/>
      <c r="G359" s="243">
        <f t="shared" si="8"/>
        <v>2518.9699999999939</v>
      </c>
      <c r="H359" s="225"/>
      <c r="I359" s="243">
        <f>IF(Table334[[#This Row],[Category]]="Fall Product",Table334[[#This Row],[Account Deposit Amount]]-Table334[[#This Row],[Account Withdrawl Amount]], )</f>
        <v>0</v>
      </c>
      <c r="J359" s="243">
        <f>IF(Table334[[#This Row],[Category]]="Cookies",Table334[[#This Row],[Account Deposit Amount]]-Table334[[#This Row],[Account Withdrawl Amount]], )</f>
        <v>0</v>
      </c>
      <c r="K359" s="243">
        <f>IF(Table334[[#This Row],[Category]]="Additional Money Earning Activities",Table334[[#This Row],[Account Deposit Amount]]-Table334[[#This Row],[Account Withdrawl Amount]], )</f>
        <v>0</v>
      </c>
      <c r="L359" s="243">
        <f>IF(Table334[[#This Row],[Category]]="Sponsorships",Table334[[#This Row],[Account Deposit Amount]]-Table334[[#This Row],[Account Withdrawl Amount]], )</f>
        <v>0</v>
      </c>
      <c r="M359" s="243">
        <f>IF(Table334[[#This Row],[Category]]="Troop Dues",Table334[[#This Row],[Account Deposit Amount]]-Table334[[#This Row],[Account Withdrawl Amount]], )</f>
        <v>0</v>
      </c>
      <c r="N359" s="243">
        <f>IF(Table334[[#This Row],[Category]]="Other Income",Table334[[#This Row],[Account Deposit Amount]]-Table334[[#This Row],[Account Withdrawl Amount]], )</f>
        <v>0</v>
      </c>
      <c r="O359" s="243">
        <f>IF(Table334[[#This Row],[Category]]="Registration",Table334[[#This Row],[Account Deposit Amount]]-Table334[[#This Row],[Account Withdrawl Amount]], )</f>
        <v>0</v>
      </c>
      <c r="P359" s="243">
        <f>IF(Table334[[#This Row],[Category]]="Insignia",Table334[[#This Row],[Account Deposit Amount]]-Table334[[#This Row],[Account Withdrawl Amount]], )</f>
        <v>0</v>
      </c>
      <c r="Q359" s="243">
        <f>IF(Table334[[#This Row],[Category]]="Activities/Program",Table334[[#This Row],[Account Deposit Amount]]-Table334[[#This Row],[Account Withdrawl Amount]], )</f>
        <v>0</v>
      </c>
      <c r="R359" s="243">
        <f>IF(Table334[[#This Row],[Category]]="Travel",Table334[[#This Row],[Account Deposit Amount]]-Table334[[#This Row],[Account Withdrawl Amount]], )</f>
        <v>0</v>
      </c>
      <c r="S359" s="243">
        <f>IF(Table334[[#This Row],[Category]]="Parties Food &amp; Beverages",Table334[[#This Row],[Account Deposit Amount]]-Table334[[#This Row],[Account Withdrawl Amount]], )</f>
        <v>0</v>
      </c>
      <c r="T359" s="243">
        <f>IF(Table334[[#This Row],[Category]]="Service Projects Donation",Table334[[#This Row],[Account Deposit Amount]]-Table334[[#This Row],[Account Withdrawl Amount]], )</f>
        <v>0</v>
      </c>
      <c r="U359" s="243">
        <f>IF(Table334[[#This Row],[Category]]="Cookie Debt",Table334[[#This Row],[Account Deposit Amount]]-Table334[[#This Row],[Account Withdrawl Amount]], )</f>
        <v>0</v>
      </c>
      <c r="V359" s="243">
        <f>IF(Table334[[#This Row],[Category]]="Other Expense",Table334[[#This Row],[Account Deposit Amount]]-Table334[[#This Row],[Account Withdrawl Amount]], )</f>
        <v>0</v>
      </c>
    </row>
    <row r="360" spans="1:22">
      <c r="A360" s="225"/>
      <c r="B360" s="241"/>
      <c r="C360" s="225"/>
      <c r="D360" s="225"/>
      <c r="E360" s="242"/>
      <c r="F360" s="242"/>
      <c r="G360" s="243">
        <f t="shared" si="8"/>
        <v>2518.9699999999939</v>
      </c>
      <c r="H360" s="225"/>
      <c r="I360" s="243">
        <f>IF(Table334[[#This Row],[Category]]="Fall Product",Table334[[#This Row],[Account Deposit Amount]]-Table334[[#This Row],[Account Withdrawl Amount]], )</f>
        <v>0</v>
      </c>
      <c r="J360" s="243">
        <f>IF(Table334[[#This Row],[Category]]="Cookies",Table334[[#This Row],[Account Deposit Amount]]-Table334[[#This Row],[Account Withdrawl Amount]], )</f>
        <v>0</v>
      </c>
      <c r="K360" s="243">
        <f>IF(Table334[[#This Row],[Category]]="Additional Money Earning Activities",Table334[[#This Row],[Account Deposit Amount]]-Table334[[#This Row],[Account Withdrawl Amount]], )</f>
        <v>0</v>
      </c>
      <c r="L360" s="243">
        <f>IF(Table334[[#This Row],[Category]]="Sponsorships",Table334[[#This Row],[Account Deposit Amount]]-Table334[[#This Row],[Account Withdrawl Amount]], )</f>
        <v>0</v>
      </c>
      <c r="M360" s="243">
        <f>IF(Table334[[#This Row],[Category]]="Troop Dues",Table334[[#This Row],[Account Deposit Amount]]-Table334[[#This Row],[Account Withdrawl Amount]], )</f>
        <v>0</v>
      </c>
      <c r="N360" s="243">
        <f>IF(Table334[[#This Row],[Category]]="Other Income",Table334[[#This Row],[Account Deposit Amount]]-Table334[[#This Row],[Account Withdrawl Amount]], )</f>
        <v>0</v>
      </c>
      <c r="O360" s="243">
        <f>IF(Table334[[#This Row],[Category]]="Registration",Table334[[#This Row],[Account Deposit Amount]]-Table334[[#This Row],[Account Withdrawl Amount]], )</f>
        <v>0</v>
      </c>
      <c r="P360" s="243">
        <f>IF(Table334[[#This Row],[Category]]="Insignia",Table334[[#This Row],[Account Deposit Amount]]-Table334[[#This Row],[Account Withdrawl Amount]], )</f>
        <v>0</v>
      </c>
      <c r="Q360" s="243">
        <f>IF(Table334[[#This Row],[Category]]="Activities/Program",Table334[[#This Row],[Account Deposit Amount]]-Table334[[#This Row],[Account Withdrawl Amount]], )</f>
        <v>0</v>
      </c>
      <c r="R360" s="243">
        <f>IF(Table334[[#This Row],[Category]]="Travel",Table334[[#This Row],[Account Deposit Amount]]-Table334[[#This Row],[Account Withdrawl Amount]], )</f>
        <v>0</v>
      </c>
      <c r="S360" s="243">
        <f>IF(Table334[[#This Row],[Category]]="Parties Food &amp; Beverages",Table334[[#This Row],[Account Deposit Amount]]-Table334[[#This Row],[Account Withdrawl Amount]], )</f>
        <v>0</v>
      </c>
      <c r="T360" s="243">
        <f>IF(Table334[[#This Row],[Category]]="Service Projects Donation",Table334[[#This Row],[Account Deposit Amount]]-Table334[[#This Row],[Account Withdrawl Amount]], )</f>
        <v>0</v>
      </c>
      <c r="U360" s="243">
        <f>IF(Table334[[#This Row],[Category]]="Cookie Debt",Table334[[#This Row],[Account Deposit Amount]]-Table334[[#This Row],[Account Withdrawl Amount]], )</f>
        <v>0</v>
      </c>
      <c r="V360" s="243">
        <f>IF(Table334[[#This Row],[Category]]="Other Expense",Table334[[#This Row],[Account Deposit Amount]]-Table334[[#This Row],[Account Withdrawl Amount]], )</f>
        <v>0</v>
      </c>
    </row>
    <row r="361" spans="1:22">
      <c r="A361" s="225"/>
      <c r="B361" s="241"/>
      <c r="C361" s="225"/>
      <c r="D361" s="225"/>
      <c r="E361" s="242"/>
      <c r="F361" s="242"/>
      <c r="G361" s="243">
        <f t="shared" si="8"/>
        <v>2518.9699999999939</v>
      </c>
      <c r="H361" s="225"/>
      <c r="I361" s="243">
        <f>IF(Table334[[#This Row],[Category]]="Fall Product",Table334[[#This Row],[Account Deposit Amount]]-Table334[[#This Row],[Account Withdrawl Amount]], )</f>
        <v>0</v>
      </c>
      <c r="J361" s="243">
        <f>IF(Table334[[#This Row],[Category]]="Cookies",Table334[[#This Row],[Account Deposit Amount]]-Table334[[#This Row],[Account Withdrawl Amount]], )</f>
        <v>0</v>
      </c>
      <c r="K361" s="243">
        <f>IF(Table334[[#This Row],[Category]]="Additional Money Earning Activities",Table334[[#This Row],[Account Deposit Amount]]-Table334[[#This Row],[Account Withdrawl Amount]], )</f>
        <v>0</v>
      </c>
      <c r="L361" s="243">
        <f>IF(Table334[[#This Row],[Category]]="Sponsorships",Table334[[#This Row],[Account Deposit Amount]]-Table334[[#This Row],[Account Withdrawl Amount]], )</f>
        <v>0</v>
      </c>
      <c r="M361" s="243">
        <f>IF(Table334[[#This Row],[Category]]="Troop Dues",Table334[[#This Row],[Account Deposit Amount]]-Table334[[#This Row],[Account Withdrawl Amount]], )</f>
        <v>0</v>
      </c>
      <c r="N361" s="243">
        <f>IF(Table334[[#This Row],[Category]]="Other Income",Table334[[#This Row],[Account Deposit Amount]]-Table334[[#This Row],[Account Withdrawl Amount]], )</f>
        <v>0</v>
      </c>
      <c r="O361" s="243">
        <f>IF(Table334[[#This Row],[Category]]="Registration",Table334[[#This Row],[Account Deposit Amount]]-Table334[[#This Row],[Account Withdrawl Amount]], )</f>
        <v>0</v>
      </c>
      <c r="P361" s="243">
        <f>IF(Table334[[#This Row],[Category]]="Insignia",Table334[[#This Row],[Account Deposit Amount]]-Table334[[#This Row],[Account Withdrawl Amount]], )</f>
        <v>0</v>
      </c>
      <c r="Q361" s="243">
        <f>IF(Table334[[#This Row],[Category]]="Activities/Program",Table334[[#This Row],[Account Deposit Amount]]-Table334[[#This Row],[Account Withdrawl Amount]], )</f>
        <v>0</v>
      </c>
      <c r="R361" s="243">
        <f>IF(Table334[[#This Row],[Category]]="Travel",Table334[[#This Row],[Account Deposit Amount]]-Table334[[#This Row],[Account Withdrawl Amount]], )</f>
        <v>0</v>
      </c>
      <c r="S361" s="243">
        <f>IF(Table334[[#This Row],[Category]]="Parties Food &amp; Beverages",Table334[[#This Row],[Account Deposit Amount]]-Table334[[#This Row],[Account Withdrawl Amount]], )</f>
        <v>0</v>
      </c>
      <c r="T361" s="243">
        <f>IF(Table334[[#This Row],[Category]]="Service Projects Donation",Table334[[#This Row],[Account Deposit Amount]]-Table334[[#This Row],[Account Withdrawl Amount]], )</f>
        <v>0</v>
      </c>
      <c r="U361" s="243">
        <f>IF(Table334[[#This Row],[Category]]="Cookie Debt",Table334[[#This Row],[Account Deposit Amount]]-Table334[[#This Row],[Account Withdrawl Amount]], )</f>
        <v>0</v>
      </c>
      <c r="V361" s="243">
        <f>IF(Table334[[#This Row],[Category]]="Other Expense",Table334[[#This Row],[Account Deposit Amount]]-Table334[[#This Row],[Account Withdrawl Amount]], )</f>
        <v>0</v>
      </c>
    </row>
    <row r="362" spans="1:22">
      <c r="A362" s="225"/>
      <c r="B362" s="241"/>
      <c r="C362" s="225"/>
      <c r="D362" s="225"/>
      <c r="E362" s="242"/>
      <c r="F362" s="242"/>
      <c r="G362" s="243">
        <f t="shared" si="8"/>
        <v>2518.9699999999939</v>
      </c>
      <c r="H362" s="225"/>
      <c r="I362" s="243">
        <f>IF(Table334[[#This Row],[Category]]="Fall Product",Table334[[#This Row],[Account Deposit Amount]]-Table334[[#This Row],[Account Withdrawl Amount]], )</f>
        <v>0</v>
      </c>
      <c r="J362" s="243">
        <f>IF(Table334[[#This Row],[Category]]="Cookies",Table334[[#This Row],[Account Deposit Amount]]-Table334[[#This Row],[Account Withdrawl Amount]], )</f>
        <v>0</v>
      </c>
      <c r="K362" s="243">
        <f>IF(Table334[[#This Row],[Category]]="Additional Money Earning Activities",Table334[[#This Row],[Account Deposit Amount]]-Table334[[#This Row],[Account Withdrawl Amount]], )</f>
        <v>0</v>
      </c>
      <c r="L362" s="243">
        <f>IF(Table334[[#This Row],[Category]]="Sponsorships",Table334[[#This Row],[Account Deposit Amount]]-Table334[[#This Row],[Account Withdrawl Amount]], )</f>
        <v>0</v>
      </c>
      <c r="M362" s="243">
        <f>IF(Table334[[#This Row],[Category]]="Troop Dues",Table334[[#This Row],[Account Deposit Amount]]-Table334[[#This Row],[Account Withdrawl Amount]], )</f>
        <v>0</v>
      </c>
      <c r="N362" s="243">
        <f>IF(Table334[[#This Row],[Category]]="Other Income",Table334[[#This Row],[Account Deposit Amount]]-Table334[[#This Row],[Account Withdrawl Amount]], )</f>
        <v>0</v>
      </c>
      <c r="O362" s="243">
        <f>IF(Table334[[#This Row],[Category]]="Registration",Table334[[#This Row],[Account Deposit Amount]]-Table334[[#This Row],[Account Withdrawl Amount]], )</f>
        <v>0</v>
      </c>
      <c r="P362" s="243">
        <f>IF(Table334[[#This Row],[Category]]="Insignia",Table334[[#This Row],[Account Deposit Amount]]-Table334[[#This Row],[Account Withdrawl Amount]], )</f>
        <v>0</v>
      </c>
      <c r="Q362" s="243">
        <f>IF(Table334[[#This Row],[Category]]="Activities/Program",Table334[[#This Row],[Account Deposit Amount]]-Table334[[#This Row],[Account Withdrawl Amount]], )</f>
        <v>0</v>
      </c>
      <c r="R362" s="243">
        <f>IF(Table334[[#This Row],[Category]]="Travel",Table334[[#This Row],[Account Deposit Amount]]-Table334[[#This Row],[Account Withdrawl Amount]], )</f>
        <v>0</v>
      </c>
      <c r="S362" s="243">
        <f>IF(Table334[[#This Row],[Category]]="Parties Food &amp; Beverages",Table334[[#This Row],[Account Deposit Amount]]-Table334[[#This Row],[Account Withdrawl Amount]], )</f>
        <v>0</v>
      </c>
      <c r="T362" s="243">
        <f>IF(Table334[[#This Row],[Category]]="Service Projects Donation",Table334[[#This Row],[Account Deposit Amount]]-Table334[[#This Row],[Account Withdrawl Amount]], )</f>
        <v>0</v>
      </c>
      <c r="U362" s="243">
        <f>IF(Table334[[#This Row],[Category]]="Cookie Debt",Table334[[#This Row],[Account Deposit Amount]]-Table334[[#This Row],[Account Withdrawl Amount]], )</f>
        <v>0</v>
      </c>
      <c r="V362" s="243">
        <f>IF(Table334[[#This Row],[Category]]="Other Expense",Table334[[#This Row],[Account Deposit Amount]]-Table334[[#This Row],[Account Withdrawl Amount]], )</f>
        <v>0</v>
      </c>
    </row>
    <row r="363" spans="1:22">
      <c r="A363" s="225"/>
      <c r="B363" s="241"/>
      <c r="C363" s="225"/>
      <c r="D363" s="225"/>
      <c r="E363" s="242"/>
      <c r="F363" s="242"/>
      <c r="G363" s="243">
        <f t="shared" si="8"/>
        <v>2518.9699999999939</v>
      </c>
      <c r="H363" s="225"/>
      <c r="I363" s="243">
        <f>IF(Table334[[#This Row],[Category]]="Fall Product",Table334[[#This Row],[Account Deposit Amount]]-Table334[[#This Row],[Account Withdrawl Amount]], )</f>
        <v>0</v>
      </c>
      <c r="J363" s="243">
        <f>IF(Table334[[#This Row],[Category]]="Cookies",Table334[[#This Row],[Account Deposit Amount]]-Table334[[#This Row],[Account Withdrawl Amount]], )</f>
        <v>0</v>
      </c>
      <c r="K363" s="243">
        <f>IF(Table334[[#This Row],[Category]]="Additional Money Earning Activities",Table334[[#This Row],[Account Deposit Amount]]-Table334[[#This Row],[Account Withdrawl Amount]], )</f>
        <v>0</v>
      </c>
      <c r="L363" s="243">
        <f>IF(Table334[[#This Row],[Category]]="Sponsorships",Table334[[#This Row],[Account Deposit Amount]]-Table334[[#This Row],[Account Withdrawl Amount]], )</f>
        <v>0</v>
      </c>
      <c r="M363" s="243">
        <f>IF(Table334[[#This Row],[Category]]="Troop Dues",Table334[[#This Row],[Account Deposit Amount]]-Table334[[#This Row],[Account Withdrawl Amount]], )</f>
        <v>0</v>
      </c>
      <c r="N363" s="243">
        <f>IF(Table334[[#This Row],[Category]]="Other Income",Table334[[#This Row],[Account Deposit Amount]]-Table334[[#This Row],[Account Withdrawl Amount]], )</f>
        <v>0</v>
      </c>
      <c r="O363" s="243">
        <f>IF(Table334[[#This Row],[Category]]="Registration",Table334[[#This Row],[Account Deposit Amount]]-Table334[[#This Row],[Account Withdrawl Amount]], )</f>
        <v>0</v>
      </c>
      <c r="P363" s="243">
        <f>IF(Table334[[#This Row],[Category]]="Insignia",Table334[[#This Row],[Account Deposit Amount]]-Table334[[#This Row],[Account Withdrawl Amount]], )</f>
        <v>0</v>
      </c>
      <c r="Q363" s="243">
        <f>IF(Table334[[#This Row],[Category]]="Activities/Program",Table334[[#This Row],[Account Deposit Amount]]-Table334[[#This Row],[Account Withdrawl Amount]], )</f>
        <v>0</v>
      </c>
      <c r="R363" s="243">
        <f>IF(Table334[[#This Row],[Category]]="Travel",Table334[[#This Row],[Account Deposit Amount]]-Table334[[#This Row],[Account Withdrawl Amount]], )</f>
        <v>0</v>
      </c>
      <c r="S363" s="243">
        <f>IF(Table334[[#This Row],[Category]]="Parties Food &amp; Beverages",Table334[[#This Row],[Account Deposit Amount]]-Table334[[#This Row],[Account Withdrawl Amount]], )</f>
        <v>0</v>
      </c>
      <c r="T363" s="243">
        <f>IF(Table334[[#This Row],[Category]]="Service Projects Donation",Table334[[#This Row],[Account Deposit Amount]]-Table334[[#This Row],[Account Withdrawl Amount]], )</f>
        <v>0</v>
      </c>
      <c r="U363" s="243">
        <f>IF(Table334[[#This Row],[Category]]="Cookie Debt",Table334[[#This Row],[Account Deposit Amount]]-Table334[[#This Row],[Account Withdrawl Amount]], )</f>
        <v>0</v>
      </c>
      <c r="V363" s="243">
        <f>IF(Table334[[#This Row],[Category]]="Other Expense",Table334[[#This Row],[Account Deposit Amount]]-Table334[[#This Row],[Account Withdrawl Amount]], )</f>
        <v>0</v>
      </c>
    </row>
    <row r="364" spans="1:22">
      <c r="A364" s="225"/>
      <c r="B364" s="241"/>
      <c r="C364" s="225"/>
      <c r="D364" s="225"/>
      <c r="E364" s="242"/>
      <c r="F364" s="242"/>
      <c r="G364" s="243">
        <f t="shared" si="8"/>
        <v>2518.9699999999939</v>
      </c>
      <c r="H364" s="225"/>
      <c r="I364" s="243">
        <f>IF(Table334[[#This Row],[Category]]="Fall Product",Table334[[#This Row],[Account Deposit Amount]]-Table334[[#This Row],[Account Withdrawl Amount]], )</f>
        <v>0</v>
      </c>
      <c r="J364" s="243">
        <f>IF(Table334[[#This Row],[Category]]="Cookies",Table334[[#This Row],[Account Deposit Amount]]-Table334[[#This Row],[Account Withdrawl Amount]], )</f>
        <v>0</v>
      </c>
      <c r="K364" s="243">
        <f>IF(Table334[[#This Row],[Category]]="Additional Money Earning Activities",Table334[[#This Row],[Account Deposit Amount]]-Table334[[#This Row],[Account Withdrawl Amount]], )</f>
        <v>0</v>
      </c>
      <c r="L364" s="243">
        <f>IF(Table334[[#This Row],[Category]]="Sponsorships",Table334[[#This Row],[Account Deposit Amount]]-Table334[[#This Row],[Account Withdrawl Amount]], )</f>
        <v>0</v>
      </c>
      <c r="M364" s="243">
        <f>IF(Table334[[#This Row],[Category]]="Troop Dues",Table334[[#This Row],[Account Deposit Amount]]-Table334[[#This Row],[Account Withdrawl Amount]], )</f>
        <v>0</v>
      </c>
      <c r="N364" s="243">
        <f>IF(Table334[[#This Row],[Category]]="Other Income",Table334[[#This Row],[Account Deposit Amount]]-Table334[[#This Row],[Account Withdrawl Amount]], )</f>
        <v>0</v>
      </c>
      <c r="O364" s="243">
        <f>IF(Table334[[#This Row],[Category]]="Registration",Table334[[#This Row],[Account Deposit Amount]]-Table334[[#This Row],[Account Withdrawl Amount]], )</f>
        <v>0</v>
      </c>
      <c r="P364" s="243">
        <f>IF(Table334[[#This Row],[Category]]="Insignia",Table334[[#This Row],[Account Deposit Amount]]-Table334[[#This Row],[Account Withdrawl Amount]], )</f>
        <v>0</v>
      </c>
      <c r="Q364" s="243">
        <f>IF(Table334[[#This Row],[Category]]="Activities/Program",Table334[[#This Row],[Account Deposit Amount]]-Table334[[#This Row],[Account Withdrawl Amount]], )</f>
        <v>0</v>
      </c>
      <c r="R364" s="243">
        <f>IF(Table334[[#This Row],[Category]]="Travel",Table334[[#This Row],[Account Deposit Amount]]-Table334[[#This Row],[Account Withdrawl Amount]], )</f>
        <v>0</v>
      </c>
      <c r="S364" s="243">
        <f>IF(Table334[[#This Row],[Category]]="Parties Food &amp; Beverages",Table334[[#This Row],[Account Deposit Amount]]-Table334[[#This Row],[Account Withdrawl Amount]], )</f>
        <v>0</v>
      </c>
      <c r="T364" s="243">
        <f>IF(Table334[[#This Row],[Category]]="Service Projects Donation",Table334[[#This Row],[Account Deposit Amount]]-Table334[[#This Row],[Account Withdrawl Amount]], )</f>
        <v>0</v>
      </c>
      <c r="U364" s="243">
        <f>IF(Table334[[#This Row],[Category]]="Cookie Debt",Table334[[#This Row],[Account Deposit Amount]]-Table334[[#This Row],[Account Withdrawl Amount]], )</f>
        <v>0</v>
      </c>
      <c r="V364" s="243">
        <f>IF(Table334[[#This Row],[Category]]="Other Expense",Table334[[#This Row],[Account Deposit Amount]]-Table334[[#This Row],[Account Withdrawl Amount]], )</f>
        <v>0</v>
      </c>
    </row>
    <row r="365" spans="1:22">
      <c r="A365" s="225"/>
      <c r="B365" s="241"/>
      <c r="C365" s="225"/>
      <c r="D365" s="225"/>
      <c r="E365" s="242"/>
      <c r="F365" s="242"/>
      <c r="G365" s="243">
        <f t="shared" si="8"/>
        <v>2518.9699999999939</v>
      </c>
      <c r="H365" s="225"/>
      <c r="I365" s="243">
        <f>IF(Table334[[#This Row],[Category]]="Fall Product",Table334[[#This Row],[Account Deposit Amount]]-Table334[[#This Row],[Account Withdrawl Amount]], )</f>
        <v>0</v>
      </c>
      <c r="J365" s="243">
        <f>IF(Table334[[#This Row],[Category]]="Cookies",Table334[[#This Row],[Account Deposit Amount]]-Table334[[#This Row],[Account Withdrawl Amount]], )</f>
        <v>0</v>
      </c>
      <c r="K365" s="243">
        <f>IF(Table334[[#This Row],[Category]]="Additional Money Earning Activities",Table334[[#This Row],[Account Deposit Amount]]-Table334[[#This Row],[Account Withdrawl Amount]], )</f>
        <v>0</v>
      </c>
      <c r="L365" s="243">
        <f>IF(Table334[[#This Row],[Category]]="Sponsorships",Table334[[#This Row],[Account Deposit Amount]]-Table334[[#This Row],[Account Withdrawl Amount]], )</f>
        <v>0</v>
      </c>
      <c r="M365" s="243">
        <f>IF(Table334[[#This Row],[Category]]="Troop Dues",Table334[[#This Row],[Account Deposit Amount]]-Table334[[#This Row],[Account Withdrawl Amount]], )</f>
        <v>0</v>
      </c>
      <c r="N365" s="243">
        <f>IF(Table334[[#This Row],[Category]]="Other Income",Table334[[#This Row],[Account Deposit Amount]]-Table334[[#This Row],[Account Withdrawl Amount]], )</f>
        <v>0</v>
      </c>
      <c r="O365" s="243">
        <f>IF(Table334[[#This Row],[Category]]="Registration",Table334[[#This Row],[Account Deposit Amount]]-Table334[[#This Row],[Account Withdrawl Amount]], )</f>
        <v>0</v>
      </c>
      <c r="P365" s="243">
        <f>IF(Table334[[#This Row],[Category]]="Insignia",Table334[[#This Row],[Account Deposit Amount]]-Table334[[#This Row],[Account Withdrawl Amount]], )</f>
        <v>0</v>
      </c>
      <c r="Q365" s="243">
        <f>IF(Table334[[#This Row],[Category]]="Activities/Program",Table334[[#This Row],[Account Deposit Amount]]-Table334[[#This Row],[Account Withdrawl Amount]], )</f>
        <v>0</v>
      </c>
      <c r="R365" s="243">
        <f>IF(Table334[[#This Row],[Category]]="Travel",Table334[[#This Row],[Account Deposit Amount]]-Table334[[#This Row],[Account Withdrawl Amount]], )</f>
        <v>0</v>
      </c>
      <c r="S365" s="243">
        <f>IF(Table334[[#This Row],[Category]]="Parties Food &amp; Beverages",Table334[[#This Row],[Account Deposit Amount]]-Table334[[#This Row],[Account Withdrawl Amount]], )</f>
        <v>0</v>
      </c>
      <c r="T365" s="243">
        <f>IF(Table334[[#This Row],[Category]]="Service Projects Donation",Table334[[#This Row],[Account Deposit Amount]]-Table334[[#This Row],[Account Withdrawl Amount]], )</f>
        <v>0</v>
      </c>
      <c r="U365" s="243">
        <f>IF(Table334[[#This Row],[Category]]="Cookie Debt",Table334[[#This Row],[Account Deposit Amount]]-Table334[[#This Row],[Account Withdrawl Amount]], )</f>
        <v>0</v>
      </c>
      <c r="V365" s="243">
        <f>IF(Table334[[#This Row],[Category]]="Other Expense",Table334[[#This Row],[Account Deposit Amount]]-Table334[[#This Row],[Account Withdrawl Amount]], )</f>
        <v>0</v>
      </c>
    </row>
    <row r="366" spans="1:22">
      <c r="A366" s="225"/>
      <c r="B366" s="241"/>
      <c r="C366" s="225"/>
      <c r="D366" s="225"/>
      <c r="E366" s="242"/>
      <c r="F366" s="242"/>
      <c r="G366" s="243">
        <f t="shared" si="8"/>
        <v>2518.9699999999939</v>
      </c>
      <c r="H366" s="225"/>
      <c r="I366" s="243">
        <f>IF(Table334[[#This Row],[Category]]="Fall Product",Table334[[#This Row],[Account Deposit Amount]]-Table334[[#This Row],[Account Withdrawl Amount]], )</f>
        <v>0</v>
      </c>
      <c r="J366" s="243">
        <f>IF(Table334[[#This Row],[Category]]="Cookies",Table334[[#This Row],[Account Deposit Amount]]-Table334[[#This Row],[Account Withdrawl Amount]], )</f>
        <v>0</v>
      </c>
      <c r="K366" s="243">
        <f>IF(Table334[[#This Row],[Category]]="Additional Money Earning Activities",Table334[[#This Row],[Account Deposit Amount]]-Table334[[#This Row],[Account Withdrawl Amount]], )</f>
        <v>0</v>
      </c>
      <c r="L366" s="243">
        <f>IF(Table334[[#This Row],[Category]]="Sponsorships",Table334[[#This Row],[Account Deposit Amount]]-Table334[[#This Row],[Account Withdrawl Amount]], )</f>
        <v>0</v>
      </c>
      <c r="M366" s="243">
        <f>IF(Table334[[#This Row],[Category]]="Troop Dues",Table334[[#This Row],[Account Deposit Amount]]-Table334[[#This Row],[Account Withdrawl Amount]], )</f>
        <v>0</v>
      </c>
      <c r="N366" s="243">
        <f>IF(Table334[[#This Row],[Category]]="Other Income",Table334[[#This Row],[Account Deposit Amount]]-Table334[[#This Row],[Account Withdrawl Amount]], )</f>
        <v>0</v>
      </c>
      <c r="O366" s="243">
        <f>IF(Table334[[#This Row],[Category]]="Registration",Table334[[#This Row],[Account Deposit Amount]]-Table334[[#This Row],[Account Withdrawl Amount]], )</f>
        <v>0</v>
      </c>
      <c r="P366" s="243">
        <f>IF(Table334[[#This Row],[Category]]="Insignia",Table334[[#This Row],[Account Deposit Amount]]-Table334[[#This Row],[Account Withdrawl Amount]], )</f>
        <v>0</v>
      </c>
      <c r="Q366" s="243">
        <f>IF(Table334[[#This Row],[Category]]="Activities/Program",Table334[[#This Row],[Account Deposit Amount]]-Table334[[#This Row],[Account Withdrawl Amount]], )</f>
        <v>0</v>
      </c>
      <c r="R366" s="243">
        <f>IF(Table334[[#This Row],[Category]]="Travel",Table334[[#This Row],[Account Deposit Amount]]-Table334[[#This Row],[Account Withdrawl Amount]], )</f>
        <v>0</v>
      </c>
      <c r="S366" s="243">
        <f>IF(Table334[[#This Row],[Category]]="Parties Food &amp; Beverages",Table334[[#This Row],[Account Deposit Amount]]-Table334[[#This Row],[Account Withdrawl Amount]], )</f>
        <v>0</v>
      </c>
      <c r="T366" s="243">
        <f>IF(Table334[[#This Row],[Category]]="Service Projects Donation",Table334[[#This Row],[Account Deposit Amount]]-Table334[[#This Row],[Account Withdrawl Amount]], )</f>
        <v>0</v>
      </c>
      <c r="U366" s="243">
        <f>IF(Table334[[#This Row],[Category]]="Cookie Debt",Table334[[#This Row],[Account Deposit Amount]]-Table334[[#This Row],[Account Withdrawl Amount]], )</f>
        <v>0</v>
      </c>
      <c r="V366" s="243">
        <f>IF(Table334[[#This Row],[Category]]="Other Expense",Table334[[#This Row],[Account Deposit Amount]]-Table334[[#This Row],[Account Withdrawl Amount]], )</f>
        <v>0</v>
      </c>
    </row>
    <row r="367" spans="1:22">
      <c r="A367" s="225"/>
      <c r="B367" s="241"/>
      <c r="C367" s="225"/>
      <c r="D367" s="225"/>
      <c r="E367" s="242"/>
      <c r="F367" s="242"/>
      <c r="G367" s="243">
        <f t="shared" si="8"/>
        <v>2518.9699999999939</v>
      </c>
      <c r="H367" s="225"/>
      <c r="I367" s="243">
        <f>IF(Table334[[#This Row],[Category]]="Fall Product",Table334[[#This Row],[Account Deposit Amount]]-Table334[[#This Row],[Account Withdrawl Amount]], )</f>
        <v>0</v>
      </c>
      <c r="J367" s="243">
        <f>IF(Table334[[#This Row],[Category]]="Cookies",Table334[[#This Row],[Account Deposit Amount]]-Table334[[#This Row],[Account Withdrawl Amount]], )</f>
        <v>0</v>
      </c>
      <c r="K367" s="243">
        <f>IF(Table334[[#This Row],[Category]]="Additional Money Earning Activities",Table334[[#This Row],[Account Deposit Amount]]-Table334[[#This Row],[Account Withdrawl Amount]], )</f>
        <v>0</v>
      </c>
      <c r="L367" s="243">
        <f>IF(Table334[[#This Row],[Category]]="Sponsorships",Table334[[#This Row],[Account Deposit Amount]]-Table334[[#This Row],[Account Withdrawl Amount]], )</f>
        <v>0</v>
      </c>
      <c r="M367" s="243">
        <f>IF(Table334[[#This Row],[Category]]="Troop Dues",Table334[[#This Row],[Account Deposit Amount]]-Table334[[#This Row],[Account Withdrawl Amount]], )</f>
        <v>0</v>
      </c>
      <c r="N367" s="243">
        <f>IF(Table334[[#This Row],[Category]]="Other Income",Table334[[#This Row],[Account Deposit Amount]]-Table334[[#This Row],[Account Withdrawl Amount]], )</f>
        <v>0</v>
      </c>
      <c r="O367" s="243">
        <f>IF(Table334[[#This Row],[Category]]="Registration",Table334[[#This Row],[Account Deposit Amount]]-Table334[[#This Row],[Account Withdrawl Amount]], )</f>
        <v>0</v>
      </c>
      <c r="P367" s="243">
        <f>IF(Table334[[#This Row],[Category]]="Insignia",Table334[[#This Row],[Account Deposit Amount]]-Table334[[#This Row],[Account Withdrawl Amount]], )</f>
        <v>0</v>
      </c>
      <c r="Q367" s="243">
        <f>IF(Table334[[#This Row],[Category]]="Activities/Program",Table334[[#This Row],[Account Deposit Amount]]-Table334[[#This Row],[Account Withdrawl Amount]], )</f>
        <v>0</v>
      </c>
      <c r="R367" s="243">
        <f>IF(Table334[[#This Row],[Category]]="Travel",Table334[[#This Row],[Account Deposit Amount]]-Table334[[#This Row],[Account Withdrawl Amount]], )</f>
        <v>0</v>
      </c>
      <c r="S367" s="243">
        <f>IF(Table334[[#This Row],[Category]]="Parties Food &amp; Beverages",Table334[[#This Row],[Account Deposit Amount]]-Table334[[#This Row],[Account Withdrawl Amount]], )</f>
        <v>0</v>
      </c>
      <c r="T367" s="243">
        <f>IF(Table334[[#This Row],[Category]]="Service Projects Donation",Table334[[#This Row],[Account Deposit Amount]]-Table334[[#This Row],[Account Withdrawl Amount]], )</f>
        <v>0</v>
      </c>
      <c r="U367" s="243">
        <f>IF(Table334[[#This Row],[Category]]="Cookie Debt",Table334[[#This Row],[Account Deposit Amount]]-Table334[[#This Row],[Account Withdrawl Amount]], )</f>
        <v>0</v>
      </c>
      <c r="V367" s="243">
        <f>IF(Table334[[#This Row],[Category]]="Other Expense",Table334[[#This Row],[Account Deposit Amount]]-Table334[[#This Row],[Account Withdrawl Amount]], )</f>
        <v>0</v>
      </c>
    </row>
    <row r="368" spans="1:22">
      <c r="A368" s="225"/>
      <c r="B368" s="241"/>
      <c r="C368" s="225"/>
      <c r="D368" s="225"/>
      <c r="E368" s="242"/>
      <c r="F368" s="242"/>
      <c r="G368" s="243">
        <f t="shared" si="8"/>
        <v>2518.9699999999939</v>
      </c>
      <c r="H368" s="225"/>
      <c r="I368" s="243">
        <f>IF(Table334[[#This Row],[Category]]="Fall Product",Table334[[#This Row],[Account Deposit Amount]]-Table334[[#This Row],[Account Withdrawl Amount]], )</f>
        <v>0</v>
      </c>
      <c r="J368" s="243">
        <f>IF(Table334[[#This Row],[Category]]="Cookies",Table334[[#This Row],[Account Deposit Amount]]-Table334[[#This Row],[Account Withdrawl Amount]], )</f>
        <v>0</v>
      </c>
      <c r="K368" s="243">
        <f>IF(Table334[[#This Row],[Category]]="Additional Money Earning Activities",Table334[[#This Row],[Account Deposit Amount]]-Table334[[#This Row],[Account Withdrawl Amount]], )</f>
        <v>0</v>
      </c>
      <c r="L368" s="243">
        <f>IF(Table334[[#This Row],[Category]]="Sponsorships",Table334[[#This Row],[Account Deposit Amount]]-Table334[[#This Row],[Account Withdrawl Amount]], )</f>
        <v>0</v>
      </c>
      <c r="M368" s="243">
        <f>IF(Table334[[#This Row],[Category]]="Troop Dues",Table334[[#This Row],[Account Deposit Amount]]-Table334[[#This Row],[Account Withdrawl Amount]], )</f>
        <v>0</v>
      </c>
      <c r="N368" s="243">
        <f>IF(Table334[[#This Row],[Category]]="Other Income",Table334[[#This Row],[Account Deposit Amount]]-Table334[[#This Row],[Account Withdrawl Amount]], )</f>
        <v>0</v>
      </c>
      <c r="O368" s="243">
        <f>IF(Table334[[#This Row],[Category]]="Registration",Table334[[#This Row],[Account Deposit Amount]]-Table334[[#This Row],[Account Withdrawl Amount]], )</f>
        <v>0</v>
      </c>
      <c r="P368" s="243">
        <f>IF(Table334[[#This Row],[Category]]="Insignia",Table334[[#This Row],[Account Deposit Amount]]-Table334[[#This Row],[Account Withdrawl Amount]], )</f>
        <v>0</v>
      </c>
      <c r="Q368" s="243">
        <f>IF(Table334[[#This Row],[Category]]="Activities/Program",Table334[[#This Row],[Account Deposit Amount]]-Table334[[#This Row],[Account Withdrawl Amount]], )</f>
        <v>0</v>
      </c>
      <c r="R368" s="243">
        <f>IF(Table334[[#This Row],[Category]]="Travel",Table334[[#This Row],[Account Deposit Amount]]-Table334[[#This Row],[Account Withdrawl Amount]], )</f>
        <v>0</v>
      </c>
      <c r="S368" s="243">
        <f>IF(Table334[[#This Row],[Category]]="Parties Food &amp; Beverages",Table334[[#This Row],[Account Deposit Amount]]-Table334[[#This Row],[Account Withdrawl Amount]], )</f>
        <v>0</v>
      </c>
      <c r="T368" s="243">
        <f>IF(Table334[[#This Row],[Category]]="Service Projects Donation",Table334[[#This Row],[Account Deposit Amount]]-Table334[[#This Row],[Account Withdrawl Amount]], )</f>
        <v>0</v>
      </c>
      <c r="U368" s="243">
        <f>IF(Table334[[#This Row],[Category]]="Cookie Debt",Table334[[#This Row],[Account Deposit Amount]]-Table334[[#This Row],[Account Withdrawl Amount]], )</f>
        <v>0</v>
      </c>
      <c r="V368" s="243">
        <f>IF(Table334[[#This Row],[Category]]="Other Expense",Table334[[#This Row],[Account Deposit Amount]]-Table334[[#This Row],[Account Withdrawl Amount]], )</f>
        <v>0</v>
      </c>
    </row>
    <row r="369" spans="1:22">
      <c r="A369" s="225"/>
      <c r="B369" s="241"/>
      <c r="C369" s="225"/>
      <c r="D369" s="225"/>
      <c r="E369" s="242"/>
      <c r="F369" s="242"/>
      <c r="G369" s="243">
        <f t="shared" si="8"/>
        <v>2518.9699999999939</v>
      </c>
      <c r="H369" s="225"/>
      <c r="I369" s="243">
        <f>IF(Table334[[#This Row],[Category]]="Fall Product",Table334[[#This Row],[Account Deposit Amount]]-Table334[[#This Row],[Account Withdrawl Amount]], )</f>
        <v>0</v>
      </c>
      <c r="J369" s="243">
        <f>IF(Table334[[#This Row],[Category]]="Cookies",Table334[[#This Row],[Account Deposit Amount]]-Table334[[#This Row],[Account Withdrawl Amount]], )</f>
        <v>0</v>
      </c>
      <c r="K369" s="243">
        <f>IF(Table334[[#This Row],[Category]]="Additional Money Earning Activities",Table334[[#This Row],[Account Deposit Amount]]-Table334[[#This Row],[Account Withdrawl Amount]], )</f>
        <v>0</v>
      </c>
      <c r="L369" s="243">
        <f>IF(Table334[[#This Row],[Category]]="Sponsorships",Table334[[#This Row],[Account Deposit Amount]]-Table334[[#This Row],[Account Withdrawl Amount]], )</f>
        <v>0</v>
      </c>
      <c r="M369" s="243">
        <f>IF(Table334[[#This Row],[Category]]="Troop Dues",Table334[[#This Row],[Account Deposit Amount]]-Table334[[#This Row],[Account Withdrawl Amount]], )</f>
        <v>0</v>
      </c>
      <c r="N369" s="243">
        <f>IF(Table334[[#This Row],[Category]]="Other Income",Table334[[#This Row],[Account Deposit Amount]]-Table334[[#This Row],[Account Withdrawl Amount]], )</f>
        <v>0</v>
      </c>
      <c r="O369" s="243">
        <f>IF(Table334[[#This Row],[Category]]="Registration",Table334[[#This Row],[Account Deposit Amount]]-Table334[[#This Row],[Account Withdrawl Amount]], )</f>
        <v>0</v>
      </c>
      <c r="P369" s="243">
        <f>IF(Table334[[#This Row],[Category]]="Insignia",Table334[[#This Row],[Account Deposit Amount]]-Table334[[#This Row],[Account Withdrawl Amount]], )</f>
        <v>0</v>
      </c>
      <c r="Q369" s="243">
        <f>IF(Table334[[#This Row],[Category]]="Activities/Program",Table334[[#This Row],[Account Deposit Amount]]-Table334[[#This Row],[Account Withdrawl Amount]], )</f>
        <v>0</v>
      </c>
      <c r="R369" s="243">
        <f>IF(Table334[[#This Row],[Category]]="Travel",Table334[[#This Row],[Account Deposit Amount]]-Table334[[#This Row],[Account Withdrawl Amount]], )</f>
        <v>0</v>
      </c>
      <c r="S369" s="243">
        <f>IF(Table334[[#This Row],[Category]]="Parties Food &amp; Beverages",Table334[[#This Row],[Account Deposit Amount]]-Table334[[#This Row],[Account Withdrawl Amount]], )</f>
        <v>0</v>
      </c>
      <c r="T369" s="243">
        <f>IF(Table334[[#This Row],[Category]]="Service Projects Donation",Table334[[#This Row],[Account Deposit Amount]]-Table334[[#This Row],[Account Withdrawl Amount]], )</f>
        <v>0</v>
      </c>
      <c r="U369" s="243">
        <f>IF(Table334[[#This Row],[Category]]="Cookie Debt",Table334[[#This Row],[Account Deposit Amount]]-Table334[[#This Row],[Account Withdrawl Amount]], )</f>
        <v>0</v>
      </c>
      <c r="V369" s="243">
        <f>IF(Table334[[#This Row],[Category]]="Other Expense",Table334[[#This Row],[Account Deposit Amount]]-Table334[[#This Row],[Account Withdrawl Amount]], )</f>
        <v>0</v>
      </c>
    </row>
    <row r="370" spans="1:22">
      <c r="A370" s="225"/>
      <c r="B370" s="241"/>
      <c r="C370" s="225"/>
      <c r="D370" s="225"/>
      <c r="E370" s="242"/>
      <c r="F370" s="242"/>
      <c r="G370" s="243">
        <f t="shared" si="8"/>
        <v>2518.9699999999939</v>
      </c>
      <c r="H370" s="225"/>
      <c r="I370" s="243">
        <f>IF(Table334[[#This Row],[Category]]="Fall Product",Table334[[#This Row],[Account Deposit Amount]]-Table334[[#This Row],[Account Withdrawl Amount]], )</f>
        <v>0</v>
      </c>
      <c r="J370" s="243">
        <f>IF(Table334[[#This Row],[Category]]="Cookies",Table334[[#This Row],[Account Deposit Amount]]-Table334[[#This Row],[Account Withdrawl Amount]], )</f>
        <v>0</v>
      </c>
      <c r="K370" s="243">
        <f>IF(Table334[[#This Row],[Category]]="Additional Money Earning Activities",Table334[[#This Row],[Account Deposit Amount]]-Table334[[#This Row],[Account Withdrawl Amount]], )</f>
        <v>0</v>
      </c>
      <c r="L370" s="243">
        <f>IF(Table334[[#This Row],[Category]]="Sponsorships",Table334[[#This Row],[Account Deposit Amount]]-Table334[[#This Row],[Account Withdrawl Amount]], )</f>
        <v>0</v>
      </c>
      <c r="M370" s="243">
        <f>IF(Table334[[#This Row],[Category]]="Troop Dues",Table334[[#This Row],[Account Deposit Amount]]-Table334[[#This Row],[Account Withdrawl Amount]], )</f>
        <v>0</v>
      </c>
      <c r="N370" s="243">
        <f>IF(Table334[[#This Row],[Category]]="Other Income",Table334[[#This Row],[Account Deposit Amount]]-Table334[[#This Row],[Account Withdrawl Amount]], )</f>
        <v>0</v>
      </c>
      <c r="O370" s="243">
        <f>IF(Table334[[#This Row],[Category]]="Registration",Table334[[#This Row],[Account Deposit Amount]]-Table334[[#This Row],[Account Withdrawl Amount]], )</f>
        <v>0</v>
      </c>
      <c r="P370" s="243">
        <f>IF(Table334[[#This Row],[Category]]="Insignia",Table334[[#This Row],[Account Deposit Amount]]-Table334[[#This Row],[Account Withdrawl Amount]], )</f>
        <v>0</v>
      </c>
      <c r="Q370" s="243">
        <f>IF(Table334[[#This Row],[Category]]="Activities/Program",Table334[[#This Row],[Account Deposit Amount]]-Table334[[#This Row],[Account Withdrawl Amount]], )</f>
        <v>0</v>
      </c>
      <c r="R370" s="243">
        <f>IF(Table334[[#This Row],[Category]]="Travel",Table334[[#This Row],[Account Deposit Amount]]-Table334[[#This Row],[Account Withdrawl Amount]], )</f>
        <v>0</v>
      </c>
      <c r="S370" s="243">
        <f>IF(Table334[[#This Row],[Category]]="Parties Food &amp; Beverages",Table334[[#This Row],[Account Deposit Amount]]-Table334[[#This Row],[Account Withdrawl Amount]], )</f>
        <v>0</v>
      </c>
      <c r="T370" s="243">
        <f>IF(Table334[[#This Row],[Category]]="Service Projects Donation",Table334[[#This Row],[Account Deposit Amount]]-Table334[[#This Row],[Account Withdrawl Amount]], )</f>
        <v>0</v>
      </c>
      <c r="U370" s="243">
        <f>IF(Table334[[#This Row],[Category]]="Cookie Debt",Table334[[#This Row],[Account Deposit Amount]]-Table334[[#This Row],[Account Withdrawl Amount]], )</f>
        <v>0</v>
      </c>
      <c r="V370" s="243">
        <f>IF(Table334[[#This Row],[Category]]="Other Expense",Table334[[#This Row],[Account Deposit Amount]]-Table334[[#This Row],[Account Withdrawl Amount]], )</f>
        <v>0</v>
      </c>
    </row>
    <row r="371" spans="1:22">
      <c r="A371" s="225"/>
      <c r="B371" s="241"/>
      <c r="C371" s="225"/>
      <c r="D371" s="225"/>
      <c r="E371" s="242"/>
      <c r="F371" s="242"/>
      <c r="G371" s="243">
        <f t="shared" si="8"/>
        <v>2518.9699999999939</v>
      </c>
      <c r="H371" s="225"/>
      <c r="I371" s="243">
        <f>IF(Table334[[#This Row],[Category]]="Fall Product",Table334[[#This Row],[Account Deposit Amount]]-Table334[[#This Row],[Account Withdrawl Amount]], )</f>
        <v>0</v>
      </c>
      <c r="J371" s="243">
        <f>IF(Table334[[#This Row],[Category]]="Cookies",Table334[[#This Row],[Account Deposit Amount]]-Table334[[#This Row],[Account Withdrawl Amount]], )</f>
        <v>0</v>
      </c>
      <c r="K371" s="243">
        <f>IF(Table334[[#This Row],[Category]]="Additional Money Earning Activities",Table334[[#This Row],[Account Deposit Amount]]-Table334[[#This Row],[Account Withdrawl Amount]], )</f>
        <v>0</v>
      </c>
      <c r="L371" s="243">
        <f>IF(Table334[[#This Row],[Category]]="Sponsorships",Table334[[#This Row],[Account Deposit Amount]]-Table334[[#This Row],[Account Withdrawl Amount]], )</f>
        <v>0</v>
      </c>
      <c r="M371" s="243">
        <f>IF(Table334[[#This Row],[Category]]="Troop Dues",Table334[[#This Row],[Account Deposit Amount]]-Table334[[#This Row],[Account Withdrawl Amount]], )</f>
        <v>0</v>
      </c>
      <c r="N371" s="243">
        <f>IF(Table334[[#This Row],[Category]]="Other Income",Table334[[#This Row],[Account Deposit Amount]]-Table334[[#This Row],[Account Withdrawl Amount]], )</f>
        <v>0</v>
      </c>
      <c r="O371" s="243">
        <f>IF(Table334[[#This Row],[Category]]="Registration",Table334[[#This Row],[Account Deposit Amount]]-Table334[[#This Row],[Account Withdrawl Amount]], )</f>
        <v>0</v>
      </c>
      <c r="P371" s="243">
        <f>IF(Table334[[#This Row],[Category]]="Insignia",Table334[[#This Row],[Account Deposit Amount]]-Table334[[#This Row],[Account Withdrawl Amount]], )</f>
        <v>0</v>
      </c>
      <c r="Q371" s="243">
        <f>IF(Table334[[#This Row],[Category]]="Activities/Program",Table334[[#This Row],[Account Deposit Amount]]-Table334[[#This Row],[Account Withdrawl Amount]], )</f>
        <v>0</v>
      </c>
      <c r="R371" s="243">
        <f>IF(Table334[[#This Row],[Category]]="Travel",Table334[[#This Row],[Account Deposit Amount]]-Table334[[#This Row],[Account Withdrawl Amount]], )</f>
        <v>0</v>
      </c>
      <c r="S371" s="243">
        <f>IF(Table334[[#This Row],[Category]]="Parties Food &amp; Beverages",Table334[[#This Row],[Account Deposit Amount]]-Table334[[#This Row],[Account Withdrawl Amount]], )</f>
        <v>0</v>
      </c>
      <c r="T371" s="243">
        <f>IF(Table334[[#This Row],[Category]]="Service Projects Donation",Table334[[#This Row],[Account Deposit Amount]]-Table334[[#This Row],[Account Withdrawl Amount]], )</f>
        <v>0</v>
      </c>
      <c r="U371" s="243">
        <f>IF(Table334[[#This Row],[Category]]="Cookie Debt",Table334[[#This Row],[Account Deposit Amount]]-Table334[[#This Row],[Account Withdrawl Amount]], )</f>
        <v>0</v>
      </c>
      <c r="V371" s="243">
        <f>IF(Table334[[#This Row],[Category]]="Other Expense",Table334[[#This Row],[Account Deposit Amount]]-Table334[[#This Row],[Account Withdrawl Amount]], )</f>
        <v>0</v>
      </c>
    </row>
    <row r="372" spans="1:22">
      <c r="A372" s="225"/>
      <c r="B372" s="241"/>
      <c r="C372" s="225"/>
      <c r="D372" s="225"/>
      <c r="E372" s="242"/>
      <c r="F372" s="242"/>
      <c r="G372" s="243">
        <f t="shared" si="8"/>
        <v>2518.9699999999939</v>
      </c>
      <c r="H372" s="225"/>
      <c r="I372" s="243">
        <f>IF(Table334[[#This Row],[Category]]="Fall Product",Table334[[#This Row],[Account Deposit Amount]]-Table334[[#This Row],[Account Withdrawl Amount]], )</f>
        <v>0</v>
      </c>
      <c r="J372" s="243">
        <f>IF(Table334[[#This Row],[Category]]="Cookies",Table334[[#This Row],[Account Deposit Amount]]-Table334[[#This Row],[Account Withdrawl Amount]], )</f>
        <v>0</v>
      </c>
      <c r="K372" s="243">
        <f>IF(Table334[[#This Row],[Category]]="Additional Money Earning Activities",Table334[[#This Row],[Account Deposit Amount]]-Table334[[#This Row],[Account Withdrawl Amount]], )</f>
        <v>0</v>
      </c>
      <c r="L372" s="243">
        <f>IF(Table334[[#This Row],[Category]]="Sponsorships",Table334[[#This Row],[Account Deposit Amount]]-Table334[[#This Row],[Account Withdrawl Amount]], )</f>
        <v>0</v>
      </c>
      <c r="M372" s="243">
        <f>IF(Table334[[#This Row],[Category]]="Troop Dues",Table334[[#This Row],[Account Deposit Amount]]-Table334[[#This Row],[Account Withdrawl Amount]], )</f>
        <v>0</v>
      </c>
      <c r="N372" s="243">
        <f>IF(Table334[[#This Row],[Category]]="Other Income",Table334[[#This Row],[Account Deposit Amount]]-Table334[[#This Row],[Account Withdrawl Amount]], )</f>
        <v>0</v>
      </c>
      <c r="O372" s="243">
        <f>IF(Table334[[#This Row],[Category]]="Registration",Table334[[#This Row],[Account Deposit Amount]]-Table334[[#This Row],[Account Withdrawl Amount]], )</f>
        <v>0</v>
      </c>
      <c r="P372" s="243">
        <f>IF(Table334[[#This Row],[Category]]="Insignia",Table334[[#This Row],[Account Deposit Amount]]-Table334[[#This Row],[Account Withdrawl Amount]], )</f>
        <v>0</v>
      </c>
      <c r="Q372" s="243">
        <f>IF(Table334[[#This Row],[Category]]="Activities/Program",Table334[[#This Row],[Account Deposit Amount]]-Table334[[#This Row],[Account Withdrawl Amount]], )</f>
        <v>0</v>
      </c>
      <c r="R372" s="243">
        <f>IF(Table334[[#This Row],[Category]]="Travel",Table334[[#This Row],[Account Deposit Amount]]-Table334[[#This Row],[Account Withdrawl Amount]], )</f>
        <v>0</v>
      </c>
      <c r="S372" s="243">
        <f>IF(Table334[[#This Row],[Category]]="Parties Food &amp; Beverages",Table334[[#This Row],[Account Deposit Amount]]-Table334[[#This Row],[Account Withdrawl Amount]], )</f>
        <v>0</v>
      </c>
      <c r="T372" s="243">
        <f>IF(Table334[[#This Row],[Category]]="Service Projects Donation",Table334[[#This Row],[Account Deposit Amount]]-Table334[[#This Row],[Account Withdrawl Amount]], )</f>
        <v>0</v>
      </c>
      <c r="U372" s="243">
        <f>IF(Table334[[#This Row],[Category]]="Cookie Debt",Table334[[#This Row],[Account Deposit Amount]]-Table334[[#This Row],[Account Withdrawl Amount]], )</f>
        <v>0</v>
      </c>
      <c r="V372" s="243">
        <f>IF(Table334[[#This Row],[Category]]="Other Expense",Table334[[#This Row],[Account Deposit Amount]]-Table334[[#This Row],[Account Withdrawl Amount]], )</f>
        <v>0</v>
      </c>
    </row>
    <row r="373" spans="1:22">
      <c r="A373" s="225"/>
      <c r="B373" s="241"/>
      <c r="C373" s="225"/>
      <c r="D373" s="225"/>
      <c r="E373" s="242"/>
      <c r="F373" s="242"/>
      <c r="G373" s="243">
        <f t="shared" ref="G373:G436" si="9">G372+E373-F373</f>
        <v>2518.9699999999939</v>
      </c>
      <c r="H373" s="225"/>
      <c r="I373" s="243">
        <f>IF(Table334[[#This Row],[Category]]="Fall Product",Table334[[#This Row],[Account Deposit Amount]]-Table334[[#This Row],[Account Withdrawl Amount]], )</f>
        <v>0</v>
      </c>
      <c r="J373" s="243">
        <f>IF(Table334[[#This Row],[Category]]="Cookies",Table334[[#This Row],[Account Deposit Amount]]-Table334[[#This Row],[Account Withdrawl Amount]], )</f>
        <v>0</v>
      </c>
      <c r="K373" s="243">
        <f>IF(Table334[[#This Row],[Category]]="Additional Money Earning Activities",Table334[[#This Row],[Account Deposit Amount]]-Table334[[#This Row],[Account Withdrawl Amount]], )</f>
        <v>0</v>
      </c>
      <c r="L373" s="243">
        <f>IF(Table334[[#This Row],[Category]]="Sponsorships",Table334[[#This Row],[Account Deposit Amount]]-Table334[[#This Row],[Account Withdrawl Amount]], )</f>
        <v>0</v>
      </c>
      <c r="M373" s="243">
        <f>IF(Table334[[#This Row],[Category]]="Troop Dues",Table334[[#This Row],[Account Deposit Amount]]-Table334[[#This Row],[Account Withdrawl Amount]], )</f>
        <v>0</v>
      </c>
      <c r="N373" s="243">
        <f>IF(Table334[[#This Row],[Category]]="Other Income",Table334[[#This Row],[Account Deposit Amount]]-Table334[[#This Row],[Account Withdrawl Amount]], )</f>
        <v>0</v>
      </c>
      <c r="O373" s="243">
        <f>IF(Table334[[#This Row],[Category]]="Registration",Table334[[#This Row],[Account Deposit Amount]]-Table334[[#This Row],[Account Withdrawl Amount]], )</f>
        <v>0</v>
      </c>
      <c r="P373" s="243">
        <f>IF(Table334[[#This Row],[Category]]="Insignia",Table334[[#This Row],[Account Deposit Amount]]-Table334[[#This Row],[Account Withdrawl Amount]], )</f>
        <v>0</v>
      </c>
      <c r="Q373" s="243">
        <f>IF(Table334[[#This Row],[Category]]="Activities/Program",Table334[[#This Row],[Account Deposit Amount]]-Table334[[#This Row],[Account Withdrawl Amount]], )</f>
        <v>0</v>
      </c>
      <c r="R373" s="243">
        <f>IF(Table334[[#This Row],[Category]]="Travel",Table334[[#This Row],[Account Deposit Amount]]-Table334[[#This Row],[Account Withdrawl Amount]], )</f>
        <v>0</v>
      </c>
      <c r="S373" s="243">
        <f>IF(Table334[[#This Row],[Category]]="Parties Food &amp; Beverages",Table334[[#This Row],[Account Deposit Amount]]-Table334[[#This Row],[Account Withdrawl Amount]], )</f>
        <v>0</v>
      </c>
      <c r="T373" s="243">
        <f>IF(Table334[[#This Row],[Category]]="Service Projects Donation",Table334[[#This Row],[Account Deposit Amount]]-Table334[[#This Row],[Account Withdrawl Amount]], )</f>
        <v>0</v>
      </c>
      <c r="U373" s="243">
        <f>IF(Table334[[#This Row],[Category]]="Cookie Debt",Table334[[#This Row],[Account Deposit Amount]]-Table334[[#This Row],[Account Withdrawl Amount]], )</f>
        <v>0</v>
      </c>
      <c r="V373" s="243">
        <f>IF(Table334[[#This Row],[Category]]="Other Expense",Table334[[#This Row],[Account Deposit Amount]]-Table334[[#This Row],[Account Withdrawl Amount]], )</f>
        <v>0</v>
      </c>
    </row>
    <row r="374" spans="1:22">
      <c r="A374" s="225"/>
      <c r="B374" s="241"/>
      <c r="C374" s="225"/>
      <c r="D374" s="225"/>
      <c r="E374" s="242"/>
      <c r="F374" s="242"/>
      <c r="G374" s="243">
        <f t="shared" si="9"/>
        <v>2518.9699999999939</v>
      </c>
      <c r="H374" s="225"/>
      <c r="I374" s="243">
        <f>IF(Table334[[#This Row],[Category]]="Fall Product",Table334[[#This Row],[Account Deposit Amount]]-Table334[[#This Row],[Account Withdrawl Amount]], )</f>
        <v>0</v>
      </c>
      <c r="J374" s="243">
        <f>IF(Table334[[#This Row],[Category]]="Cookies",Table334[[#This Row],[Account Deposit Amount]]-Table334[[#This Row],[Account Withdrawl Amount]], )</f>
        <v>0</v>
      </c>
      <c r="K374" s="243">
        <f>IF(Table334[[#This Row],[Category]]="Additional Money Earning Activities",Table334[[#This Row],[Account Deposit Amount]]-Table334[[#This Row],[Account Withdrawl Amount]], )</f>
        <v>0</v>
      </c>
      <c r="L374" s="243">
        <f>IF(Table334[[#This Row],[Category]]="Sponsorships",Table334[[#This Row],[Account Deposit Amount]]-Table334[[#This Row],[Account Withdrawl Amount]], )</f>
        <v>0</v>
      </c>
      <c r="M374" s="243">
        <f>IF(Table334[[#This Row],[Category]]="Troop Dues",Table334[[#This Row],[Account Deposit Amount]]-Table334[[#This Row],[Account Withdrawl Amount]], )</f>
        <v>0</v>
      </c>
      <c r="N374" s="243">
        <f>IF(Table334[[#This Row],[Category]]="Other Income",Table334[[#This Row],[Account Deposit Amount]]-Table334[[#This Row],[Account Withdrawl Amount]], )</f>
        <v>0</v>
      </c>
      <c r="O374" s="243">
        <f>IF(Table334[[#This Row],[Category]]="Registration",Table334[[#This Row],[Account Deposit Amount]]-Table334[[#This Row],[Account Withdrawl Amount]], )</f>
        <v>0</v>
      </c>
      <c r="P374" s="243">
        <f>IF(Table334[[#This Row],[Category]]="Insignia",Table334[[#This Row],[Account Deposit Amount]]-Table334[[#This Row],[Account Withdrawl Amount]], )</f>
        <v>0</v>
      </c>
      <c r="Q374" s="243">
        <f>IF(Table334[[#This Row],[Category]]="Activities/Program",Table334[[#This Row],[Account Deposit Amount]]-Table334[[#This Row],[Account Withdrawl Amount]], )</f>
        <v>0</v>
      </c>
      <c r="R374" s="243">
        <f>IF(Table334[[#This Row],[Category]]="Travel",Table334[[#This Row],[Account Deposit Amount]]-Table334[[#This Row],[Account Withdrawl Amount]], )</f>
        <v>0</v>
      </c>
      <c r="S374" s="243">
        <f>IF(Table334[[#This Row],[Category]]="Parties Food &amp; Beverages",Table334[[#This Row],[Account Deposit Amount]]-Table334[[#This Row],[Account Withdrawl Amount]], )</f>
        <v>0</v>
      </c>
      <c r="T374" s="243">
        <f>IF(Table334[[#This Row],[Category]]="Service Projects Donation",Table334[[#This Row],[Account Deposit Amount]]-Table334[[#This Row],[Account Withdrawl Amount]], )</f>
        <v>0</v>
      </c>
      <c r="U374" s="243">
        <f>IF(Table334[[#This Row],[Category]]="Cookie Debt",Table334[[#This Row],[Account Deposit Amount]]-Table334[[#This Row],[Account Withdrawl Amount]], )</f>
        <v>0</v>
      </c>
      <c r="V374" s="243">
        <f>IF(Table334[[#This Row],[Category]]="Other Expense",Table334[[#This Row],[Account Deposit Amount]]-Table334[[#This Row],[Account Withdrawl Amount]], )</f>
        <v>0</v>
      </c>
    </row>
    <row r="375" spans="1:22">
      <c r="A375" s="225"/>
      <c r="B375" s="241"/>
      <c r="C375" s="225"/>
      <c r="D375" s="225"/>
      <c r="E375" s="242"/>
      <c r="F375" s="242"/>
      <c r="G375" s="243">
        <f t="shared" si="9"/>
        <v>2518.9699999999939</v>
      </c>
      <c r="H375" s="225"/>
      <c r="I375" s="243">
        <f>IF(Table334[[#This Row],[Category]]="Fall Product",Table334[[#This Row],[Account Deposit Amount]]-Table334[[#This Row],[Account Withdrawl Amount]], )</f>
        <v>0</v>
      </c>
      <c r="J375" s="243">
        <f>IF(Table334[[#This Row],[Category]]="Cookies",Table334[[#This Row],[Account Deposit Amount]]-Table334[[#This Row],[Account Withdrawl Amount]], )</f>
        <v>0</v>
      </c>
      <c r="K375" s="243">
        <f>IF(Table334[[#This Row],[Category]]="Additional Money Earning Activities",Table334[[#This Row],[Account Deposit Amount]]-Table334[[#This Row],[Account Withdrawl Amount]], )</f>
        <v>0</v>
      </c>
      <c r="L375" s="243">
        <f>IF(Table334[[#This Row],[Category]]="Sponsorships",Table334[[#This Row],[Account Deposit Amount]]-Table334[[#This Row],[Account Withdrawl Amount]], )</f>
        <v>0</v>
      </c>
      <c r="M375" s="243">
        <f>IF(Table334[[#This Row],[Category]]="Troop Dues",Table334[[#This Row],[Account Deposit Amount]]-Table334[[#This Row],[Account Withdrawl Amount]], )</f>
        <v>0</v>
      </c>
      <c r="N375" s="243">
        <f>IF(Table334[[#This Row],[Category]]="Other Income",Table334[[#This Row],[Account Deposit Amount]]-Table334[[#This Row],[Account Withdrawl Amount]], )</f>
        <v>0</v>
      </c>
      <c r="O375" s="243">
        <f>IF(Table334[[#This Row],[Category]]="Registration",Table334[[#This Row],[Account Deposit Amount]]-Table334[[#This Row],[Account Withdrawl Amount]], )</f>
        <v>0</v>
      </c>
      <c r="P375" s="243">
        <f>IF(Table334[[#This Row],[Category]]="Insignia",Table334[[#This Row],[Account Deposit Amount]]-Table334[[#This Row],[Account Withdrawl Amount]], )</f>
        <v>0</v>
      </c>
      <c r="Q375" s="243">
        <f>IF(Table334[[#This Row],[Category]]="Activities/Program",Table334[[#This Row],[Account Deposit Amount]]-Table334[[#This Row],[Account Withdrawl Amount]], )</f>
        <v>0</v>
      </c>
      <c r="R375" s="243">
        <f>IF(Table334[[#This Row],[Category]]="Travel",Table334[[#This Row],[Account Deposit Amount]]-Table334[[#This Row],[Account Withdrawl Amount]], )</f>
        <v>0</v>
      </c>
      <c r="S375" s="243">
        <f>IF(Table334[[#This Row],[Category]]="Parties Food &amp; Beverages",Table334[[#This Row],[Account Deposit Amount]]-Table334[[#This Row],[Account Withdrawl Amount]], )</f>
        <v>0</v>
      </c>
      <c r="T375" s="243">
        <f>IF(Table334[[#This Row],[Category]]="Service Projects Donation",Table334[[#This Row],[Account Deposit Amount]]-Table334[[#This Row],[Account Withdrawl Amount]], )</f>
        <v>0</v>
      </c>
      <c r="U375" s="243">
        <f>IF(Table334[[#This Row],[Category]]="Cookie Debt",Table334[[#This Row],[Account Deposit Amount]]-Table334[[#This Row],[Account Withdrawl Amount]], )</f>
        <v>0</v>
      </c>
      <c r="V375" s="243">
        <f>IF(Table334[[#This Row],[Category]]="Other Expense",Table334[[#This Row],[Account Deposit Amount]]-Table334[[#This Row],[Account Withdrawl Amount]], )</f>
        <v>0</v>
      </c>
    </row>
    <row r="376" spans="1:22">
      <c r="A376" s="225"/>
      <c r="B376" s="241"/>
      <c r="C376" s="225"/>
      <c r="D376" s="225"/>
      <c r="E376" s="242"/>
      <c r="F376" s="242"/>
      <c r="G376" s="243">
        <f t="shared" si="9"/>
        <v>2518.9699999999939</v>
      </c>
      <c r="H376" s="225"/>
      <c r="I376" s="243">
        <f>IF(Table334[[#This Row],[Category]]="Fall Product",Table334[[#This Row],[Account Deposit Amount]]-Table334[[#This Row],[Account Withdrawl Amount]], )</f>
        <v>0</v>
      </c>
      <c r="J376" s="243">
        <f>IF(Table334[[#This Row],[Category]]="Cookies",Table334[[#This Row],[Account Deposit Amount]]-Table334[[#This Row],[Account Withdrawl Amount]], )</f>
        <v>0</v>
      </c>
      <c r="K376" s="243">
        <f>IF(Table334[[#This Row],[Category]]="Additional Money Earning Activities",Table334[[#This Row],[Account Deposit Amount]]-Table334[[#This Row],[Account Withdrawl Amount]], )</f>
        <v>0</v>
      </c>
      <c r="L376" s="243">
        <f>IF(Table334[[#This Row],[Category]]="Sponsorships",Table334[[#This Row],[Account Deposit Amount]]-Table334[[#This Row],[Account Withdrawl Amount]], )</f>
        <v>0</v>
      </c>
      <c r="M376" s="243">
        <f>IF(Table334[[#This Row],[Category]]="Troop Dues",Table334[[#This Row],[Account Deposit Amount]]-Table334[[#This Row],[Account Withdrawl Amount]], )</f>
        <v>0</v>
      </c>
      <c r="N376" s="243">
        <f>IF(Table334[[#This Row],[Category]]="Other Income",Table334[[#This Row],[Account Deposit Amount]]-Table334[[#This Row],[Account Withdrawl Amount]], )</f>
        <v>0</v>
      </c>
      <c r="O376" s="243">
        <f>IF(Table334[[#This Row],[Category]]="Registration",Table334[[#This Row],[Account Deposit Amount]]-Table334[[#This Row],[Account Withdrawl Amount]], )</f>
        <v>0</v>
      </c>
      <c r="P376" s="243">
        <f>IF(Table334[[#This Row],[Category]]="Insignia",Table334[[#This Row],[Account Deposit Amount]]-Table334[[#This Row],[Account Withdrawl Amount]], )</f>
        <v>0</v>
      </c>
      <c r="Q376" s="243">
        <f>IF(Table334[[#This Row],[Category]]="Activities/Program",Table334[[#This Row],[Account Deposit Amount]]-Table334[[#This Row],[Account Withdrawl Amount]], )</f>
        <v>0</v>
      </c>
      <c r="R376" s="243">
        <f>IF(Table334[[#This Row],[Category]]="Travel",Table334[[#This Row],[Account Deposit Amount]]-Table334[[#This Row],[Account Withdrawl Amount]], )</f>
        <v>0</v>
      </c>
      <c r="S376" s="243">
        <f>IF(Table334[[#This Row],[Category]]="Parties Food &amp; Beverages",Table334[[#This Row],[Account Deposit Amount]]-Table334[[#This Row],[Account Withdrawl Amount]], )</f>
        <v>0</v>
      </c>
      <c r="T376" s="243">
        <f>IF(Table334[[#This Row],[Category]]="Service Projects Donation",Table334[[#This Row],[Account Deposit Amount]]-Table334[[#This Row],[Account Withdrawl Amount]], )</f>
        <v>0</v>
      </c>
      <c r="U376" s="243">
        <f>IF(Table334[[#This Row],[Category]]="Cookie Debt",Table334[[#This Row],[Account Deposit Amount]]-Table334[[#This Row],[Account Withdrawl Amount]], )</f>
        <v>0</v>
      </c>
      <c r="V376" s="243">
        <f>IF(Table334[[#This Row],[Category]]="Other Expense",Table334[[#This Row],[Account Deposit Amount]]-Table334[[#This Row],[Account Withdrawl Amount]], )</f>
        <v>0</v>
      </c>
    </row>
    <row r="377" spans="1:22">
      <c r="A377" s="225"/>
      <c r="B377" s="241"/>
      <c r="C377" s="225"/>
      <c r="D377" s="225"/>
      <c r="E377" s="242"/>
      <c r="F377" s="242"/>
      <c r="G377" s="243">
        <f t="shared" si="9"/>
        <v>2518.9699999999939</v>
      </c>
      <c r="H377" s="225"/>
      <c r="I377" s="243">
        <f>IF(Table334[[#This Row],[Category]]="Fall Product",Table334[[#This Row],[Account Deposit Amount]]-Table334[[#This Row],[Account Withdrawl Amount]], )</f>
        <v>0</v>
      </c>
      <c r="J377" s="243">
        <f>IF(Table334[[#This Row],[Category]]="Cookies",Table334[[#This Row],[Account Deposit Amount]]-Table334[[#This Row],[Account Withdrawl Amount]], )</f>
        <v>0</v>
      </c>
      <c r="K377" s="243">
        <f>IF(Table334[[#This Row],[Category]]="Additional Money Earning Activities",Table334[[#This Row],[Account Deposit Amount]]-Table334[[#This Row],[Account Withdrawl Amount]], )</f>
        <v>0</v>
      </c>
      <c r="L377" s="243">
        <f>IF(Table334[[#This Row],[Category]]="Sponsorships",Table334[[#This Row],[Account Deposit Amount]]-Table334[[#This Row],[Account Withdrawl Amount]], )</f>
        <v>0</v>
      </c>
      <c r="M377" s="243">
        <f>IF(Table334[[#This Row],[Category]]="Troop Dues",Table334[[#This Row],[Account Deposit Amount]]-Table334[[#This Row],[Account Withdrawl Amount]], )</f>
        <v>0</v>
      </c>
      <c r="N377" s="243">
        <f>IF(Table334[[#This Row],[Category]]="Other Income",Table334[[#This Row],[Account Deposit Amount]]-Table334[[#This Row],[Account Withdrawl Amount]], )</f>
        <v>0</v>
      </c>
      <c r="O377" s="243">
        <f>IF(Table334[[#This Row],[Category]]="Registration",Table334[[#This Row],[Account Deposit Amount]]-Table334[[#This Row],[Account Withdrawl Amount]], )</f>
        <v>0</v>
      </c>
      <c r="P377" s="243">
        <f>IF(Table334[[#This Row],[Category]]="Insignia",Table334[[#This Row],[Account Deposit Amount]]-Table334[[#This Row],[Account Withdrawl Amount]], )</f>
        <v>0</v>
      </c>
      <c r="Q377" s="243">
        <f>IF(Table334[[#This Row],[Category]]="Activities/Program",Table334[[#This Row],[Account Deposit Amount]]-Table334[[#This Row],[Account Withdrawl Amount]], )</f>
        <v>0</v>
      </c>
      <c r="R377" s="243">
        <f>IF(Table334[[#This Row],[Category]]="Travel",Table334[[#This Row],[Account Deposit Amount]]-Table334[[#This Row],[Account Withdrawl Amount]], )</f>
        <v>0</v>
      </c>
      <c r="S377" s="243">
        <f>IF(Table334[[#This Row],[Category]]="Parties Food &amp; Beverages",Table334[[#This Row],[Account Deposit Amount]]-Table334[[#This Row],[Account Withdrawl Amount]], )</f>
        <v>0</v>
      </c>
      <c r="T377" s="243">
        <f>IF(Table334[[#This Row],[Category]]="Service Projects Donation",Table334[[#This Row],[Account Deposit Amount]]-Table334[[#This Row],[Account Withdrawl Amount]], )</f>
        <v>0</v>
      </c>
      <c r="U377" s="243">
        <f>IF(Table334[[#This Row],[Category]]="Cookie Debt",Table334[[#This Row],[Account Deposit Amount]]-Table334[[#This Row],[Account Withdrawl Amount]], )</f>
        <v>0</v>
      </c>
      <c r="V377" s="243">
        <f>IF(Table334[[#This Row],[Category]]="Other Expense",Table334[[#This Row],[Account Deposit Amount]]-Table334[[#This Row],[Account Withdrawl Amount]], )</f>
        <v>0</v>
      </c>
    </row>
    <row r="378" spans="1:22">
      <c r="A378" s="225"/>
      <c r="B378" s="241"/>
      <c r="C378" s="225"/>
      <c r="D378" s="225"/>
      <c r="E378" s="242"/>
      <c r="F378" s="242"/>
      <c r="G378" s="243">
        <f t="shared" si="9"/>
        <v>2518.9699999999939</v>
      </c>
      <c r="H378" s="225"/>
      <c r="I378" s="243">
        <f>IF(Table334[[#This Row],[Category]]="Fall Product",Table334[[#This Row],[Account Deposit Amount]]-Table334[[#This Row],[Account Withdrawl Amount]], )</f>
        <v>0</v>
      </c>
      <c r="J378" s="243">
        <f>IF(Table334[[#This Row],[Category]]="Cookies",Table334[[#This Row],[Account Deposit Amount]]-Table334[[#This Row],[Account Withdrawl Amount]], )</f>
        <v>0</v>
      </c>
      <c r="K378" s="243">
        <f>IF(Table334[[#This Row],[Category]]="Additional Money Earning Activities",Table334[[#This Row],[Account Deposit Amount]]-Table334[[#This Row],[Account Withdrawl Amount]], )</f>
        <v>0</v>
      </c>
      <c r="L378" s="243">
        <f>IF(Table334[[#This Row],[Category]]="Sponsorships",Table334[[#This Row],[Account Deposit Amount]]-Table334[[#This Row],[Account Withdrawl Amount]], )</f>
        <v>0</v>
      </c>
      <c r="M378" s="243">
        <f>IF(Table334[[#This Row],[Category]]="Troop Dues",Table334[[#This Row],[Account Deposit Amount]]-Table334[[#This Row],[Account Withdrawl Amount]], )</f>
        <v>0</v>
      </c>
      <c r="N378" s="243">
        <f>IF(Table334[[#This Row],[Category]]="Other Income",Table334[[#This Row],[Account Deposit Amount]]-Table334[[#This Row],[Account Withdrawl Amount]], )</f>
        <v>0</v>
      </c>
      <c r="O378" s="243">
        <f>IF(Table334[[#This Row],[Category]]="Registration",Table334[[#This Row],[Account Deposit Amount]]-Table334[[#This Row],[Account Withdrawl Amount]], )</f>
        <v>0</v>
      </c>
      <c r="P378" s="243">
        <f>IF(Table334[[#This Row],[Category]]="Insignia",Table334[[#This Row],[Account Deposit Amount]]-Table334[[#This Row],[Account Withdrawl Amount]], )</f>
        <v>0</v>
      </c>
      <c r="Q378" s="243">
        <f>IF(Table334[[#This Row],[Category]]="Activities/Program",Table334[[#This Row],[Account Deposit Amount]]-Table334[[#This Row],[Account Withdrawl Amount]], )</f>
        <v>0</v>
      </c>
      <c r="R378" s="243">
        <f>IF(Table334[[#This Row],[Category]]="Travel",Table334[[#This Row],[Account Deposit Amount]]-Table334[[#This Row],[Account Withdrawl Amount]], )</f>
        <v>0</v>
      </c>
      <c r="S378" s="243">
        <f>IF(Table334[[#This Row],[Category]]="Parties Food &amp; Beverages",Table334[[#This Row],[Account Deposit Amount]]-Table334[[#This Row],[Account Withdrawl Amount]], )</f>
        <v>0</v>
      </c>
      <c r="T378" s="243">
        <f>IF(Table334[[#This Row],[Category]]="Service Projects Donation",Table334[[#This Row],[Account Deposit Amount]]-Table334[[#This Row],[Account Withdrawl Amount]], )</f>
        <v>0</v>
      </c>
      <c r="U378" s="243">
        <f>IF(Table334[[#This Row],[Category]]="Cookie Debt",Table334[[#This Row],[Account Deposit Amount]]-Table334[[#This Row],[Account Withdrawl Amount]], )</f>
        <v>0</v>
      </c>
      <c r="V378" s="243">
        <f>IF(Table334[[#This Row],[Category]]="Other Expense",Table334[[#This Row],[Account Deposit Amount]]-Table334[[#This Row],[Account Withdrawl Amount]], )</f>
        <v>0</v>
      </c>
    </row>
    <row r="379" spans="1:22">
      <c r="A379" s="225"/>
      <c r="B379" s="241"/>
      <c r="C379" s="225"/>
      <c r="D379" s="225"/>
      <c r="E379" s="242"/>
      <c r="F379" s="242"/>
      <c r="G379" s="243">
        <f t="shared" si="9"/>
        <v>2518.9699999999939</v>
      </c>
      <c r="H379" s="225"/>
      <c r="I379" s="243">
        <f>IF(Table334[[#This Row],[Category]]="Fall Product",Table334[[#This Row],[Account Deposit Amount]]-Table334[[#This Row],[Account Withdrawl Amount]], )</f>
        <v>0</v>
      </c>
      <c r="J379" s="243">
        <f>IF(Table334[[#This Row],[Category]]="Cookies",Table334[[#This Row],[Account Deposit Amount]]-Table334[[#This Row],[Account Withdrawl Amount]], )</f>
        <v>0</v>
      </c>
      <c r="K379" s="243">
        <f>IF(Table334[[#This Row],[Category]]="Additional Money Earning Activities",Table334[[#This Row],[Account Deposit Amount]]-Table334[[#This Row],[Account Withdrawl Amount]], )</f>
        <v>0</v>
      </c>
      <c r="L379" s="243">
        <f>IF(Table334[[#This Row],[Category]]="Sponsorships",Table334[[#This Row],[Account Deposit Amount]]-Table334[[#This Row],[Account Withdrawl Amount]], )</f>
        <v>0</v>
      </c>
      <c r="M379" s="243">
        <f>IF(Table334[[#This Row],[Category]]="Troop Dues",Table334[[#This Row],[Account Deposit Amount]]-Table334[[#This Row],[Account Withdrawl Amount]], )</f>
        <v>0</v>
      </c>
      <c r="N379" s="243">
        <f>IF(Table334[[#This Row],[Category]]="Other Income",Table334[[#This Row],[Account Deposit Amount]]-Table334[[#This Row],[Account Withdrawl Amount]], )</f>
        <v>0</v>
      </c>
      <c r="O379" s="243">
        <f>IF(Table334[[#This Row],[Category]]="Registration",Table334[[#This Row],[Account Deposit Amount]]-Table334[[#This Row],[Account Withdrawl Amount]], )</f>
        <v>0</v>
      </c>
      <c r="P379" s="243">
        <f>IF(Table334[[#This Row],[Category]]="Insignia",Table334[[#This Row],[Account Deposit Amount]]-Table334[[#This Row],[Account Withdrawl Amount]], )</f>
        <v>0</v>
      </c>
      <c r="Q379" s="243">
        <f>IF(Table334[[#This Row],[Category]]="Activities/Program",Table334[[#This Row],[Account Deposit Amount]]-Table334[[#This Row],[Account Withdrawl Amount]], )</f>
        <v>0</v>
      </c>
      <c r="R379" s="243">
        <f>IF(Table334[[#This Row],[Category]]="Travel",Table334[[#This Row],[Account Deposit Amount]]-Table334[[#This Row],[Account Withdrawl Amount]], )</f>
        <v>0</v>
      </c>
      <c r="S379" s="243">
        <f>IF(Table334[[#This Row],[Category]]="Parties Food &amp; Beverages",Table334[[#This Row],[Account Deposit Amount]]-Table334[[#This Row],[Account Withdrawl Amount]], )</f>
        <v>0</v>
      </c>
      <c r="T379" s="243">
        <f>IF(Table334[[#This Row],[Category]]="Service Projects Donation",Table334[[#This Row],[Account Deposit Amount]]-Table334[[#This Row],[Account Withdrawl Amount]], )</f>
        <v>0</v>
      </c>
      <c r="U379" s="243">
        <f>IF(Table334[[#This Row],[Category]]="Cookie Debt",Table334[[#This Row],[Account Deposit Amount]]-Table334[[#This Row],[Account Withdrawl Amount]], )</f>
        <v>0</v>
      </c>
      <c r="V379" s="243">
        <f>IF(Table334[[#This Row],[Category]]="Other Expense",Table334[[#This Row],[Account Deposit Amount]]-Table334[[#This Row],[Account Withdrawl Amount]], )</f>
        <v>0</v>
      </c>
    </row>
    <row r="380" spans="1:22">
      <c r="A380" s="225"/>
      <c r="B380" s="241"/>
      <c r="C380" s="225"/>
      <c r="D380" s="225"/>
      <c r="E380" s="242"/>
      <c r="F380" s="242"/>
      <c r="G380" s="243">
        <f t="shared" si="9"/>
        <v>2518.9699999999939</v>
      </c>
      <c r="H380" s="225"/>
      <c r="I380" s="243">
        <f>IF(Table334[[#This Row],[Category]]="Fall Product",Table334[[#This Row],[Account Deposit Amount]]-Table334[[#This Row],[Account Withdrawl Amount]], )</f>
        <v>0</v>
      </c>
      <c r="J380" s="243">
        <f>IF(Table334[[#This Row],[Category]]="Cookies",Table334[[#This Row],[Account Deposit Amount]]-Table334[[#This Row],[Account Withdrawl Amount]], )</f>
        <v>0</v>
      </c>
      <c r="K380" s="243">
        <f>IF(Table334[[#This Row],[Category]]="Additional Money Earning Activities",Table334[[#This Row],[Account Deposit Amount]]-Table334[[#This Row],[Account Withdrawl Amount]], )</f>
        <v>0</v>
      </c>
      <c r="L380" s="243">
        <f>IF(Table334[[#This Row],[Category]]="Sponsorships",Table334[[#This Row],[Account Deposit Amount]]-Table334[[#This Row],[Account Withdrawl Amount]], )</f>
        <v>0</v>
      </c>
      <c r="M380" s="243">
        <f>IF(Table334[[#This Row],[Category]]="Troop Dues",Table334[[#This Row],[Account Deposit Amount]]-Table334[[#This Row],[Account Withdrawl Amount]], )</f>
        <v>0</v>
      </c>
      <c r="N380" s="243">
        <f>IF(Table334[[#This Row],[Category]]="Other Income",Table334[[#This Row],[Account Deposit Amount]]-Table334[[#This Row],[Account Withdrawl Amount]], )</f>
        <v>0</v>
      </c>
      <c r="O380" s="243">
        <f>IF(Table334[[#This Row],[Category]]="Registration",Table334[[#This Row],[Account Deposit Amount]]-Table334[[#This Row],[Account Withdrawl Amount]], )</f>
        <v>0</v>
      </c>
      <c r="P380" s="243">
        <f>IF(Table334[[#This Row],[Category]]="Insignia",Table334[[#This Row],[Account Deposit Amount]]-Table334[[#This Row],[Account Withdrawl Amount]], )</f>
        <v>0</v>
      </c>
      <c r="Q380" s="243">
        <f>IF(Table334[[#This Row],[Category]]="Activities/Program",Table334[[#This Row],[Account Deposit Amount]]-Table334[[#This Row],[Account Withdrawl Amount]], )</f>
        <v>0</v>
      </c>
      <c r="R380" s="243">
        <f>IF(Table334[[#This Row],[Category]]="Travel",Table334[[#This Row],[Account Deposit Amount]]-Table334[[#This Row],[Account Withdrawl Amount]], )</f>
        <v>0</v>
      </c>
      <c r="S380" s="243">
        <f>IF(Table334[[#This Row],[Category]]="Parties Food &amp; Beverages",Table334[[#This Row],[Account Deposit Amount]]-Table334[[#This Row],[Account Withdrawl Amount]], )</f>
        <v>0</v>
      </c>
      <c r="T380" s="243">
        <f>IF(Table334[[#This Row],[Category]]="Service Projects Donation",Table334[[#This Row],[Account Deposit Amount]]-Table334[[#This Row],[Account Withdrawl Amount]], )</f>
        <v>0</v>
      </c>
      <c r="U380" s="243">
        <f>IF(Table334[[#This Row],[Category]]="Cookie Debt",Table334[[#This Row],[Account Deposit Amount]]-Table334[[#This Row],[Account Withdrawl Amount]], )</f>
        <v>0</v>
      </c>
      <c r="V380" s="243">
        <f>IF(Table334[[#This Row],[Category]]="Other Expense",Table334[[#This Row],[Account Deposit Amount]]-Table334[[#This Row],[Account Withdrawl Amount]], )</f>
        <v>0</v>
      </c>
    </row>
    <row r="381" spans="1:22">
      <c r="A381" s="225"/>
      <c r="B381" s="241"/>
      <c r="C381" s="225"/>
      <c r="D381" s="225"/>
      <c r="E381" s="242"/>
      <c r="F381" s="242"/>
      <c r="G381" s="243">
        <f t="shared" si="9"/>
        <v>2518.9699999999939</v>
      </c>
      <c r="H381" s="225"/>
      <c r="I381" s="243">
        <f>IF(Table334[[#This Row],[Category]]="Fall Product",Table334[[#This Row],[Account Deposit Amount]]-Table334[[#This Row],[Account Withdrawl Amount]], )</f>
        <v>0</v>
      </c>
      <c r="J381" s="243">
        <f>IF(Table334[[#This Row],[Category]]="Cookies",Table334[[#This Row],[Account Deposit Amount]]-Table334[[#This Row],[Account Withdrawl Amount]], )</f>
        <v>0</v>
      </c>
      <c r="K381" s="243">
        <f>IF(Table334[[#This Row],[Category]]="Additional Money Earning Activities",Table334[[#This Row],[Account Deposit Amount]]-Table334[[#This Row],[Account Withdrawl Amount]], )</f>
        <v>0</v>
      </c>
      <c r="L381" s="243">
        <f>IF(Table334[[#This Row],[Category]]="Sponsorships",Table334[[#This Row],[Account Deposit Amount]]-Table334[[#This Row],[Account Withdrawl Amount]], )</f>
        <v>0</v>
      </c>
      <c r="M381" s="243">
        <f>IF(Table334[[#This Row],[Category]]="Troop Dues",Table334[[#This Row],[Account Deposit Amount]]-Table334[[#This Row],[Account Withdrawl Amount]], )</f>
        <v>0</v>
      </c>
      <c r="N381" s="243">
        <f>IF(Table334[[#This Row],[Category]]="Other Income",Table334[[#This Row],[Account Deposit Amount]]-Table334[[#This Row],[Account Withdrawl Amount]], )</f>
        <v>0</v>
      </c>
      <c r="O381" s="243">
        <f>IF(Table334[[#This Row],[Category]]="Registration",Table334[[#This Row],[Account Deposit Amount]]-Table334[[#This Row],[Account Withdrawl Amount]], )</f>
        <v>0</v>
      </c>
      <c r="P381" s="243">
        <f>IF(Table334[[#This Row],[Category]]="Insignia",Table334[[#This Row],[Account Deposit Amount]]-Table334[[#This Row],[Account Withdrawl Amount]], )</f>
        <v>0</v>
      </c>
      <c r="Q381" s="243">
        <f>IF(Table334[[#This Row],[Category]]="Activities/Program",Table334[[#This Row],[Account Deposit Amount]]-Table334[[#This Row],[Account Withdrawl Amount]], )</f>
        <v>0</v>
      </c>
      <c r="R381" s="243">
        <f>IF(Table334[[#This Row],[Category]]="Travel",Table334[[#This Row],[Account Deposit Amount]]-Table334[[#This Row],[Account Withdrawl Amount]], )</f>
        <v>0</v>
      </c>
      <c r="S381" s="243">
        <f>IF(Table334[[#This Row],[Category]]="Parties Food &amp; Beverages",Table334[[#This Row],[Account Deposit Amount]]-Table334[[#This Row],[Account Withdrawl Amount]], )</f>
        <v>0</v>
      </c>
      <c r="T381" s="243">
        <f>IF(Table334[[#This Row],[Category]]="Service Projects Donation",Table334[[#This Row],[Account Deposit Amount]]-Table334[[#This Row],[Account Withdrawl Amount]], )</f>
        <v>0</v>
      </c>
      <c r="U381" s="243">
        <f>IF(Table334[[#This Row],[Category]]="Cookie Debt",Table334[[#This Row],[Account Deposit Amount]]-Table334[[#This Row],[Account Withdrawl Amount]], )</f>
        <v>0</v>
      </c>
      <c r="V381" s="243">
        <f>IF(Table334[[#This Row],[Category]]="Other Expense",Table334[[#This Row],[Account Deposit Amount]]-Table334[[#This Row],[Account Withdrawl Amount]], )</f>
        <v>0</v>
      </c>
    </row>
    <row r="382" spans="1:22">
      <c r="A382" s="225"/>
      <c r="B382" s="241"/>
      <c r="C382" s="225"/>
      <c r="D382" s="225"/>
      <c r="E382" s="242"/>
      <c r="F382" s="242"/>
      <c r="G382" s="243">
        <f t="shared" si="9"/>
        <v>2518.9699999999939</v>
      </c>
      <c r="H382" s="225"/>
      <c r="I382" s="243">
        <f>IF(Table334[[#This Row],[Category]]="Fall Product",Table334[[#This Row],[Account Deposit Amount]]-Table334[[#This Row],[Account Withdrawl Amount]], )</f>
        <v>0</v>
      </c>
      <c r="J382" s="243">
        <f>IF(Table334[[#This Row],[Category]]="Cookies",Table334[[#This Row],[Account Deposit Amount]]-Table334[[#This Row],[Account Withdrawl Amount]], )</f>
        <v>0</v>
      </c>
      <c r="K382" s="243">
        <f>IF(Table334[[#This Row],[Category]]="Additional Money Earning Activities",Table334[[#This Row],[Account Deposit Amount]]-Table334[[#This Row],[Account Withdrawl Amount]], )</f>
        <v>0</v>
      </c>
      <c r="L382" s="243">
        <f>IF(Table334[[#This Row],[Category]]="Sponsorships",Table334[[#This Row],[Account Deposit Amount]]-Table334[[#This Row],[Account Withdrawl Amount]], )</f>
        <v>0</v>
      </c>
      <c r="M382" s="243">
        <f>IF(Table334[[#This Row],[Category]]="Troop Dues",Table334[[#This Row],[Account Deposit Amount]]-Table334[[#This Row],[Account Withdrawl Amount]], )</f>
        <v>0</v>
      </c>
      <c r="N382" s="243">
        <f>IF(Table334[[#This Row],[Category]]="Other Income",Table334[[#This Row],[Account Deposit Amount]]-Table334[[#This Row],[Account Withdrawl Amount]], )</f>
        <v>0</v>
      </c>
      <c r="O382" s="243">
        <f>IF(Table334[[#This Row],[Category]]="Registration",Table334[[#This Row],[Account Deposit Amount]]-Table334[[#This Row],[Account Withdrawl Amount]], )</f>
        <v>0</v>
      </c>
      <c r="P382" s="243">
        <f>IF(Table334[[#This Row],[Category]]="Insignia",Table334[[#This Row],[Account Deposit Amount]]-Table334[[#This Row],[Account Withdrawl Amount]], )</f>
        <v>0</v>
      </c>
      <c r="Q382" s="243">
        <f>IF(Table334[[#This Row],[Category]]="Activities/Program",Table334[[#This Row],[Account Deposit Amount]]-Table334[[#This Row],[Account Withdrawl Amount]], )</f>
        <v>0</v>
      </c>
      <c r="R382" s="243">
        <f>IF(Table334[[#This Row],[Category]]="Travel",Table334[[#This Row],[Account Deposit Amount]]-Table334[[#This Row],[Account Withdrawl Amount]], )</f>
        <v>0</v>
      </c>
      <c r="S382" s="243">
        <f>IF(Table334[[#This Row],[Category]]="Parties Food &amp; Beverages",Table334[[#This Row],[Account Deposit Amount]]-Table334[[#This Row],[Account Withdrawl Amount]], )</f>
        <v>0</v>
      </c>
      <c r="T382" s="243">
        <f>IF(Table334[[#This Row],[Category]]="Service Projects Donation",Table334[[#This Row],[Account Deposit Amount]]-Table334[[#This Row],[Account Withdrawl Amount]], )</f>
        <v>0</v>
      </c>
      <c r="U382" s="243">
        <f>IF(Table334[[#This Row],[Category]]="Cookie Debt",Table334[[#This Row],[Account Deposit Amount]]-Table334[[#This Row],[Account Withdrawl Amount]], )</f>
        <v>0</v>
      </c>
      <c r="V382" s="243">
        <f>IF(Table334[[#This Row],[Category]]="Other Expense",Table334[[#This Row],[Account Deposit Amount]]-Table334[[#This Row],[Account Withdrawl Amount]], )</f>
        <v>0</v>
      </c>
    </row>
    <row r="383" spans="1:22">
      <c r="A383" s="225"/>
      <c r="B383" s="241"/>
      <c r="C383" s="225"/>
      <c r="D383" s="225"/>
      <c r="E383" s="242"/>
      <c r="F383" s="242"/>
      <c r="G383" s="243">
        <f t="shared" si="9"/>
        <v>2518.9699999999939</v>
      </c>
      <c r="H383" s="225"/>
      <c r="I383" s="243">
        <f>IF(Table334[[#This Row],[Category]]="Fall Product",Table334[[#This Row],[Account Deposit Amount]]-Table334[[#This Row],[Account Withdrawl Amount]], )</f>
        <v>0</v>
      </c>
      <c r="J383" s="243">
        <f>IF(Table334[[#This Row],[Category]]="Cookies",Table334[[#This Row],[Account Deposit Amount]]-Table334[[#This Row],[Account Withdrawl Amount]], )</f>
        <v>0</v>
      </c>
      <c r="K383" s="243">
        <f>IF(Table334[[#This Row],[Category]]="Additional Money Earning Activities",Table334[[#This Row],[Account Deposit Amount]]-Table334[[#This Row],[Account Withdrawl Amount]], )</f>
        <v>0</v>
      </c>
      <c r="L383" s="243">
        <f>IF(Table334[[#This Row],[Category]]="Sponsorships",Table334[[#This Row],[Account Deposit Amount]]-Table334[[#This Row],[Account Withdrawl Amount]], )</f>
        <v>0</v>
      </c>
      <c r="M383" s="243">
        <f>IF(Table334[[#This Row],[Category]]="Troop Dues",Table334[[#This Row],[Account Deposit Amount]]-Table334[[#This Row],[Account Withdrawl Amount]], )</f>
        <v>0</v>
      </c>
      <c r="N383" s="243">
        <f>IF(Table334[[#This Row],[Category]]="Other Income",Table334[[#This Row],[Account Deposit Amount]]-Table334[[#This Row],[Account Withdrawl Amount]], )</f>
        <v>0</v>
      </c>
      <c r="O383" s="243">
        <f>IF(Table334[[#This Row],[Category]]="Registration",Table334[[#This Row],[Account Deposit Amount]]-Table334[[#This Row],[Account Withdrawl Amount]], )</f>
        <v>0</v>
      </c>
      <c r="P383" s="243">
        <f>IF(Table334[[#This Row],[Category]]="Insignia",Table334[[#This Row],[Account Deposit Amount]]-Table334[[#This Row],[Account Withdrawl Amount]], )</f>
        <v>0</v>
      </c>
      <c r="Q383" s="243">
        <f>IF(Table334[[#This Row],[Category]]="Activities/Program",Table334[[#This Row],[Account Deposit Amount]]-Table334[[#This Row],[Account Withdrawl Amount]], )</f>
        <v>0</v>
      </c>
      <c r="R383" s="243">
        <f>IF(Table334[[#This Row],[Category]]="Travel",Table334[[#This Row],[Account Deposit Amount]]-Table334[[#This Row],[Account Withdrawl Amount]], )</f>
        <v>0</v>
      </c>
      <c r="S383" s="243">
        <f>IF(Table334[[#This Row],[Category]]="Parties Food &amp; Beverages",Table334[[#This Row],[Account Deposit Amount]]-Table334[[#This Row],[Account Withdrawl Amount]], )</f>
        <v>0</v>
      </c>
      <c r="T383" s="243">
        <f>IF(Table334[[#This Row],[Category]]="Service Projects Donation",Table334[[#This Row],[Account Deposit Amount]]-Table334[[#This Row],[Account Withdrawl Amount]], )</f>
        <v>0</v>
      </c>
      <c r="U383" s="243">
        <f>IF(Table334[[#This Row],[Category]]="Cookie Debt",Table334[[#This Row],[Account Deposit Amount]]-Table334[[#This Row],[Account Withdrawl Amount]], )</f>
        <v>0</v>
      </c>
      <c r="V383" s="243">
        <f>IF(Table334[[#This Row],[Category]]="Other Expense",Table334[[#This Row],[Account Deposit Amount]]-Table334[[#This Row],[Account Withdrawl Amount]], )</f>
        <v>0</v>
      </c>
    </row>
    <row r="384" spans="1:22">
      <c r="A384" s="225"/>
      <c r="B384" s="241"/>
      <c r="C384" s="225"/>
      <c r="D384" s="225"/>
      <c r="E384" s="242"/>
      <c r="F384" s="242"/>
      <c r="G384" s="243">
        <f t="shared" si="9"/>
        <v>2518.9699999999939</v>
      </c>
      <c r="H384" s="225"/>
      <c r="I384" s="243">
        <f>IF(Table334[[#This Row],[Category]]="Fall Product",Table334[[#This Row],[Account Deposit Amount]]-Table334[[#This Row],[Account Withdrawl Amount]], )</f>
        <v>0</v>
      </c>
      <c r="J384" s="243">
        <f>IF(Table334[[#This Row],[Category]]="Cookies",Table334[[#This Row],[Account Deposit Amount]]-Table334[[#This Row],[Account Withdrawl Amount]], )</f>
        <v>0</v>
      </c>
      <c r="K384" s="243">
        <f>IF(Table334[[#This Row],[Category]]="Additional Money Earning Activities",Table334[[#This Row],[Account Deposit Amount]]-Table334[[#This Row],[Account Withdrawl Amount]], )</f>
        <v>0</v>
      </c>
      <c r="L384" s="243">
        <f>IF(Table334[[#This Row],[Category]]="Sponsorships",Table334[[#This Row],[Account Deposit Amount]]-Table334[[#This Row],[Account Withdrawl Amount]], )</f>
        <v>0</v>
      </c>
      <c r="M384" s="243">
        <f>IF(Table334[[#This Row],[Category]]="Troop Dues",Table334[[#This Row],[Account Deposit Amount]]-Table334[[#This Row],[Account Withdrawl Amount]], )</f>
        <v>0</v>
      </c>
      <c r="N384" s="243">
        <f>IF(Table334[[#This Row],[Category]]="Other Income",Table334[[#This Row],[Account Deposit Amount]]-Table334[[#This Row],[Account Withdrawl Amount]], )</f>
        <v>0</v>
      </c>
      <c r="O384" s="243">
        <f>IF(Table334[[#This Row],[Category]]="Registration",Table334[[#This Row],[Account Deposit Amount]]-Table334[[#This Row],[Account Withdrawl Amount]], )</f>
        <v>0</v>
      </c>
      <c r="P384" s="243">
        <f>IF(Table334[[#This Row],[Category]]="Insignia",Table334[[#This Row],[Account Deposit Amount]]-Table334[[#This Row],[Account Withdrawl Amount]], )</f>
        <v>0</v>
      </c>
      <c r="Q384" s="243">
        <f>IF(Table334[[#This Row],[Category]]="Activities/Program",Table334[[#This Row],[Account Deposit Amount]]-Table334[[#This Row],[Account Withdrawl Amount]], )</f>
        <v>0</v>
      </c>
      <c r="R384" s="243">
        <f>IF(Table334[[#This Row],[Category]]="Travel",Table334[[#This Row],[Account Deposit Amount]]-Table334[[#This Row],[Account Withdrawl Amount]], )</f>
        <v>0</v>
      </c>
      <c r="S384" s="243">
        <f>IF(Table334[[#This Row],[Category]]="Parties Food &amp; Beverages",Table334[[#This Row],[Account Deposit Amount]]-Table334[[#This Row],[Account Withdrawl Amount]], )</f>
        <v>0</v>
      </c>
      <c r="T384" s="243">
        <f>IF(Table334[[#This Row],[Category]]="Service Projects Donation",Table334[[#This Row],[Account Deposit Amount]]-Table334[[#This Row],[Account Withdrawl Amount]], )</f>
        <v>0</v>
      </c>
      <c r="U384" s="243">
        <f>IF(Table334[[#This Row],[Category]]="Cookie Debt",Table334[[#This Row],[Account Deposit Amount]]-Table334[[#This Row],[Account Withdrawl Amount]], )</f>
        <v>0</v>
      </c>
      <c r="V384" s="243">
        <f>IF(Table334[[#This Row],[Category]]="Other Expense",Table334[[#This Row],[Account Deposit Amount]]-Table334[[#This Row],[Account Withdrawl Amount]], )</f>
        <v>0</v>
      </c>
    </row>
    <row r="385" spans="1:22">
      <c r="A385" s="225"/>
      <c r="B385" s="241"/>
      <c r="C385" s="225"/>
      <c r="D385" s="225"/>
      <c r="E385" s="242"/>
      <c r="F385" s="242"/>
      <c r="G385" s="243">
        <f t="shared" si="9"/>
        <v>2518.9699999999939</v>
      </c>
      <c r="H385" s="225"/>
      <c r="I385" s="243">
        <f>IF(Table334[[#This Row],[Category]]="Fall Product",Table334[[#This Row],[Account Deposit Amount]]-Table334[[#This Row],[Account Withdrawl Amount]], )</f>
        <v>0</v>
      </c>
      <c r="J385" s="243">
        <f>IF(Table334[[#This Row],[Category]]="Cookies",Table334[[#This Row],[Account Deposit Amount]]-Table334[[#This Row],[Account Withdrawl Amount]], )</f>
        <v>0</v>
      </c>
      <c r="K385" s="243">
        <f>IF(Table334[[#This Row],[Category]]="Additional Money Earning Activities",Table334[[#This Row],[Account Deposit Amount]]-Table334[[#This Row],[Account Withdrawl Amount]], )</f>
        <v>0</v>
      </c>
      <c r="L385" s="243">
        <f>IF(Table334[[#This Row],[Category]]="Sponsorships",Table334[[#This Row],[Account Deposit Amount]]-Table334[[#This Row],[Account Withdrawl Amount]], )</f>
        <v>0</v>
      </c>
      <c r="M385" s="243">
        <f>IF(Table334[[#This Row],[Category]]="Troop Dues",Table334[[#This Row],[Account Deposit Amount]]-Table334[[#This Row],[Account Withdrawl Amount]], )</f>
        <v>0</v>
      </c>
      <c r="N385" s="243">
        <f>IF(Table334[[#This Row],[Category]]="Other Income",Table334[[#This Row],[Account Deposit Amount]]-Table334[[#This Row],[Account Withdrawl Amount]], )</f>
        <v>0</v>
      </c>
      <c r="O385" s="243">
        <f>IF(Table334[[#This Row],[Category]]="Registration",Table334[[#This Row],[Account Deposit Amount]]-Table334[[#This Row],[Account Withdrawl Amount]], )</f>
        <v>0</v>
      </c>
      <c r="P385" s="243">
        <f>IF(Table334[[#This Row],[Category]]="Insignia",Table334[[#This Row],[Account Deposit Amount]]-Table334[[#This Row],[Account Withdrawl Amount]], )</f>
        <v>0</v>
      </c>
      <c r="Q385" s="243">
        <f>IF(Table334[[#This Row],[Category]]="Activities/Program",Table334[[#This Row],[Account Deposit Amount]]-Table334[[#This Row],[Account Withdrawl Amount]], )</f>
        <v>0</v>
      </c>
      <c r="R385" s="243">
        <f>IF(Table334[[#This Row],[Category]]="Travel",Table334[[#This Row],[Account Deposit Amount]]-Table334[[#This Row],[Account Withdrawl Amount]], )</f>
        <v>0</v>
      </c>
      <c r="S385" s="243">
        <f>IF(Table334[[#This Row],[Category]]="Parties Food &amp; Beverages",Table334[[#This Row],[Account Deposit Amount]]-Table334[[#This Row],[Account Withdrawl Amount]], )</f>
        <v>0</v>
      </c>
      <c r="T385" s="243">
        <f>IF(Table334[[#This Row],[Category]]="Service Projects Donation",Table334[[#This Row],[Account Deposit Amount]]-Table334[[#This Row],[Account Withdrawl Amount]], )</f>
        <v>0</v>
      </c>
      <c r="U385" s="243">
        <f>IF(Table334[[#This Row],[Category]]="Cookie Debt",Table334[[#This Row],[Account Deposit Amount]]-Table334[[#This Row],[Account Withdrawl Amount]], )</f>
        <v>0</v>
      </c>
      <c r="V385" s="243">
        <f>IF(Table334[[#This Row],[Category]]="Other Expense",Table334[[#This Row],[Account Deposit Amount]]-Table334[[#This Row],[Account Withdrawl Amount]], )</f>
        <v>0</v>
      </c>
    </row>
    <row r="386" spans="1:22">
      <c r="A386" s="225"/>
      <c r="B386" s="241"/>
      <c r="C386" s="225"/>
      <c r="D386" s="225"/>
      <c r="E386" s="242"/>
      <c r="F386" s="242"/>
      <c r="G386" s="243">
        <f t="shared" si="9"/>
        <v>2518.9699999999939</v>
      </c>
      <c r="H386" s="225"/>
      <c r="I386" s="243">
        <f>IF(Table334[[#This Row],[Category]]="Fall Product",Table334[[#This Row],[Account Deposit Amount]]-Table334[[#This Row],[Account Withdrawl Amount]], )</f>
        <v>0</v>
      </c>
      <c r="J386" s="243">
        <f>IF(Table334[[#This Row],[Category]]="Cookies",Table334[[#This Row],[Account Deposit Amount]]-Table334[[#This Row],[Account Withdrawl Amount]], )</f>
        <v>0</v>
      </c>
      <c r="K386" s="243">
        <f>IF(Table334[[#This Row],[Category]]="Additional Money Earning Activities",Table334[[#This Row],[Account Deposit Amount]]-Table334[[#This Row],[Account Withdrawl Amount]], )</f>
        <v>0</v>
      </c>
      <c r="L386" s="243">
        <f>IF(Table334[[#This Row],[Category]]="Sponsorships",Table334[[#This Row],[Account Deposit Amount]]-Table334[[#This Row],[Account Withdrawl Amount]], )</f>
        <v>0</v>
      </c>
      <c r="M386" s="243">
        <f>IF(Table334[[#This Row],[Category]]="Troop Dues",Table334[[#This Row],[Account Deposit Amount]]-Table334[[#This Row],[Account Withdrawl Amount]], )</f>
        <v>0</v>
      </c>
      <c r="N386" s="243">
        <f>IF(Table334[[#This Row],[Category]]="Other Income",Table334[[#This Row],[Account Deposit Amount]]-Table334[[#This Row],[Account Withdrawl Amount]], )</f>
        <v>0</v>
      </c>
      <c r="O386" s="243">
        <f>IF(Table334[[#This Row],[Category]]="Registration",Table334[[#This Row],[Account Deposit Amount]]-Table334[[#This Row],[Account Withdrawl Amount]], )</f>
        <v>0</v>
      </c>
      <c r="P386" s="243">
        <f>IF(Table334[[#This Row],[Category]]="Insignia",Table334[[#This Row],[Account Deposit Amount]]-Table334[[#This Row],[Account Withdrawl Amount]], )</f>
        <v>0</v>
      </c>
      <c r="Q386" s="243">
        <f>IF(Table334[[#This Row],[Category]]="Activities/Program",Table334[[#This Row],[Account Deposit Amount]]-Table334[[#This Row],[Account Withdrawl Amount]], )</f>
        <v>0</v>
      </c>
      <c r="R386" s="243">
        <f>IF(Table334[[#This Row],[Category]]="Travel",Table334[[#This Row],[Account Deposit Amount]]-Table334[[#This Row],[Account Withdrawl Amount]], )</f>
        <v>0</v>
      </c>
      <c r="S386" s="243">
        <f>IF(Table334[[#This Row],[Category]]="Parties Food &amp; Beverages",Table334[[#This Row],[Account Deposit Amount]]-Table334[[#This Row],[Account Withdrawl Amount]], )</f>
        <v>0</v>
      </c>
      <c r="T386" s="243">
        <f>IF(Table334[[#This Row],[Category]]="Service Projects Donation",Table334[[#This Row],[Account Deposit Amount]]-Table334[[#This Row],[Account Withdrawl Amount]], )</f>
        <v>0</v>
      </c>
      <c r="U386" s="243">
        <f>IF(Table334[[#This Row],[Category]]="Cookie Debt",Table334[[#This Row],[Account Deposit Amount]]-Table334[[#This Row],[Account Withdrawl Amount]], )</f>
        <v>0</v>
      </c>
      <c r="V386" s="243">
        <f>IF(Table334[[#This Row],[Category]]="Other Expense",Table334[[#This Row],[Account Deposit Amount]]-Table334[[#This Row],[Account Withdrawl Amount]], )</f>
        <v>0</v>
      </c>
    </row>
    <row r="387" spans="1:22">
      <c r="A387" s="225"/>
      <c r="B387" s="241"/>
      <c r="C387" s="225"/>
      <c r="D387" s="225"/>
      <c r="E387" s="242"/>
      <c r="F387" s="242"/>
      <c r="G387" s="243">
        <f t="shared" si="9"/>
        <v>2518.9699999999939</v>
      </c>
      <c r="H387" s="225"/>
      <c r="I387" s="243">
        <f>IF(Table334[[#This Row],[Category]]="Fall Product",Table334[[#This Row],[Account Deposit Amount]]-Table334[[#This Row],[Account Withdrawl Amount]], )</f>
        <v>0</v>
      </c>
      <c r="J387" s="243">
        <f>IF(Table334[[#This Row],[Category]]="Cookies",Table334[[#This Row],[Account Deposit Amount]]-Table334[[#This Row],[Account Withdrawl Amount]], )</f>
        <v>0</v>
      </c>
      <c r="K387" s="243">
        <f>IF(Table334[[#This Row],[Category]]="Additional Money Earning Activities",Table334[[#This Row],[Account Deposit Amount]]-Table334[[#This Row],[Account Withdrawl Amount]], )</f>
        <v>0</v>
      </c>
      <c r="L387" s="243">
        <f>IF(Table334[[#This Row],[Category]]="Sponsorships",Table334[[#This Row],[Account Deposit Amount]]-Table334[[#This Row],[Account Withdrawl Amount]], )</f>
        <v>0</v>
      </c>
      <c r="M387" s="243">
        <f>IF(Table334[[#This Row],[Category]]="Troop Dues",Table334[[#This Row],[Account Deposit Amount]]-Table334[[#This Row],[Account Withdrawl Amount]], )</f>
        <v>0</v>
      </c>
      <c r="N387" s="243">
        <f>IF(Table334[[#This Row],[Category]]="Other Income",Table334[[#This Row],[Account Deposit Amount]]-Table334[[#This Row],[Account Withdrawl Amount]], )</f>
        <v>0</v>
      </c>
      <c r="O387" s="243">
        <f>IF(Table334[[#This Row],[Category]]="Registration",Table334[[#This Row],[Account Deposit Amount]]-Table334[[#This Row],[Account Withdrawl Amount]], )</f>
        <v>0</v>
      </c>
      <c r="P387" s="243">
        <f>IF(Table334[[#This Row],[Category]]="Insignia",Table334[[#This Row],[Account Deposit Amount]]-Table334[[#This Row],[Account Withdrawl Amount]], )</f>
        <v>0</v>
      </c>
      <c r="Q387" s="243">
        <f>IF(Table334[[#This Row],[Category]]="Activities/Program",Table334[[#This Row],[Account Deposit Amount]]-Table334[[#This Row],[Account Withdrawl Amount]], )</f>
        <v>0</v>
      </c>
      <c r="R387" s="243">
        <f>IF(Table334[[#This Row],[Category]]="Travel",Table334[[#This Row],[Account Deposit Amount]]-Table334[[#This Row],[Account Withdrawl Amount]], )</f>
        <v>0</v>
      </c>
      <c r="S387" s="243">
        <f>IF(Table334[[#This Row],[Category]]="Parties Food &amp; Beverages",Table334[[#This Row],[Account Deposit Amount]]-Table334[[#This Row],[Account Withdrawl Amount]], )</f>
        <v>0</v>
      </c>
      <c r="T387" s="243">
        <f>IF(Table334[[#This Row],[Category]]="Service Projects Donation",Table334[[#This Row],[Account Deposit Amount]]-Table334[[#This Row],[Account Withdrawl Amount]], )</f>
        <v>0</v>
      </c>
      <c r="U387" s="243">
        <f>IF(Table334[[#This Row],[Category]]="Cookie Debt",Table334[[#This Row],[Account Deposit Amount]]-Table334[[#This Row],[Account Withdrawl Amount]], )</f>
        <v>0</v>
      </c>
      <c r="V387" s="243">
        <f>IF(Table334[[#This Row],[Category]]="Other Expense",Table334[[#This Row],[Account Deposit Amount]]-Table334[[#This Row],[Account Withdrawl Amount]], )</f>
        <v>0</v>
      </c>
    </row>
    <row r="388" spans="1:22">
      <c r="A388" s="225"/>
      <c r="B388" s="241"/>
      <c r="C388" s="225"/>
      <c r="D388" s="225"/>
      <c r="E388" s="242"/>
      <c r="F388" s="242"/>
      <c r="G388" s="243">
        <f t="shared" si="9"/>
        <v>2518.9699999999939</v>
      </c>
      <c r="H388" s="225"/>
      <c r="I388" s="243">
        <f>IF(Table334[[#This Row],[Category]]="Fall Product",Table334[[#This Row],[Account Deposit Amount]]-Table334[[#This Row],[Account Withdrawl Amount]], )</f>
        <v>0</v>
      </c>
      <c r="J388" s="243">
        <f>IF(Table334[[#This Row],[Category]]="Cookies",Table334[[#This Row],[Account Deposit Amount]]-Table334[[#This Row],[Account Withdrawl Amount]], )</f>
        <v>0</v>
      </c>
      <c r="K388" s="243">
        <f>IF(Table334[[#This Row],[Category]]="Additional Money Earning Activities",Table334[[#This Row],[Account Deposit Amount]]-Table334[[#This Row],[Account Withdrawl Amount]], )</f>
        <v>0</v>
      </c>
      <c r="L388" s="243">
        <f>IF(Table334[[#This Row],[Category]]="Sponsorships",Table334[[#This Row],[Account Deposit Amount]]-Table334[[#This Row],[Account Withdrawl Amount]], )</f>
        <v>0</v>
      </c>
      <c r="M388" s="243">
        <f>IF(Table334[[#This Row],[Category]]="Troop Dues",Table334[[#This Row],[Account Deposit Amount]]-Table334[[#This Row],[Account Withdrawl Amount]], )</f>
        <v>0</v>
      </c>
      <c r="N388" s="243">
        <f>IF(Table334[[#This Row],[Category]]="Other Income",Table334[[#This Row],[Account Deposit Amount]]-Table334[[#This Row],[Account Withdrawl Amount]], )</f>
        <v>0</v>
      </c>
      <c r="O388" s="243">
        <f>IF(Table334[[#This Row],[Category]]="Registration",Table334[[#This Row],[Account Deposit Amount]]-Table334[[#This Row],[Account Withdrawl Amount]], )</f>
        <v>0</v>
      </c>
      <c r="P388" s="243">
        <f>IF(Table334[[#This Row],[Category]]="Insignia",Table334[[#This Row],[Account Deposit Amount]]-Table334[[#This Row],[Account Withdrawl Amount]], )</f>
        <v>0</v>
      </c>
      <c r="Q388" s="243">
        <f>IF(Table334[[#This Row],[Category]]="Activities/Program",Table334[[#This Row],[Account Deposit Amount]]-Table334[[#This Row],[Account Withdrawl Amount]], )</f>
        <v>0</v>
      </c>
      <c r="R388" s="243">
        <f>IF(Table334[[#This Row],[Category]]="Travel",Table334[[#This Row],[Account Deposit Amount]]-Table334[[#This Row],[Account Withdrawl Amount]], )</f>
        <v>0</v>
      </c>
      <c r="S388" s="243">
        <f>IF(Table334[[#This Row],[Category]]="Parties Food &amp; Beverages",Table334[[#This Row],[Account Deposit Amount]]-Table334[[#This Row],[Account Withdrawl Amount]], )</f>
        <v>0</v>
      </c>
      <c r="T388" s="243">
        <f>IF(Table334[[#This Row],[Category]]="Service Projects Donation",Table334[[#This Row],[Account Deposit Amount]]-Table334[[#This Row],[Account Withdrawl Amount]], )</f>
        <v>0</v>
      </c>
      <c r="U388" s="243">
        <f>IF(Table334[[#This Row],[Category]]="Cookie Debt",Table334[[#This Row],[Account Deposit Amount]]-Table334[[#This Row],[Account Withdrawl Amount]], )</f>
        <v>0</v>
      </c>
      <c r="V388" s="243">
        <f>IF(Table334[[#This Row],[Category]]="Other Expense",Table334[[#This Row],[Account Deposit Amount]]-Table334[[#This Row],[Account Withdrawl Amount]], )</f>
        <v>0</v>
      </c>
    </row>
    <row r="389" spans="1:22">
      <c r="A389" s="225"/>
      <c r="B389" s="241"/>
      <c r="C389" s="225"/>
      <c r="D389" s="225"/>
      <c r="E389" s="242"/>
      <c r="F389" s="242"/>
      <c r="G389" s="243">
        <f t="shared" si="9"/>
        <v>2518.9699999999939</v>
      </c>
      <c r="H389" s="225"/>
      <c r="I389" s="243">
        <f>IF(Table334[[#This Row],[Category]]="Fall Product",Table334[[#This Row],[Account Deposit Amount]]-Table334[[#This Row],[Account Withdrawl Amount]], )</f>
        <v>0</v>
      </c>
      <c r="J389" s="243">
        <f>IF(Table334[[#This Row],[Category]]="Cookies",Table334[[#This Row],[Account Deposit Amount]]-Table334[[#This Row],[Account Withdrawl Amount]], )</f>
        <v>0</v>
      </c>
      <c r="K389" s="243">
        <f>IF(Table334[[#This Row],[Category]]="Additional Money Earning Activities",Table334[[#This Row],[Account Deposit Amount]]-Table334[[#This Row],[Account Withdrawl Amount]], )</f>
        <v>0</v>
      </c>
      <c r="L389" s="243">
        <f>IF(Table334[[#This Row],[Category]]="Sponsorships",Table334[[#This Row],[Account Deposit Amount]]-Table334[[#This Row],[Account Withdrawl Amount]], )</f>
        <v>0</v>
      </c>
      <c r="M389" s="243">
        <f>IF(Table334[[#This Row],[Category]]="Troop Dues",Table334[[#This Row],[Account Deposit Amount]]-Table334[[#This Row],[Account Withdrawl Amount]], )</f>
        <v>0</v>
      </c>
      <c r="N389" s="243">
        <f>IF(Table334[[#This Row],[Category]]="Other Income",Table334[[#This Row],[Account Deposit Amount]]-Table334[[#This Row],[Account Withdrawl Amount]], )</f>
        <v>0</v>
      </c>
      <c r="O389" s="243">
        <f>IF(Table334[[#This Row],[Category]]="Registration",Table334[[#This Row],[Account Deposit Amount]]-Table334[[#This Row],[Account Withdrawl Amount]], )</f>
        <v>0</v>
      </c>
      <c r="P389" s="243">
        <f>IF(Table334[[#This Row],[Category]]="Insignia",Table334[[#This Row],[Account Deposit Amount]]-Table334[[#This Row],[Account Withdrawl Amount]], )</f>
        <v>0</v>
      </c>
      <c r="Q389" s="243">
        <f>IF(Table334[[#This Row],[Category]]="Activities/Program",Table334[[#This Row],[Account Deposit Amount]]-Table334[[#This Row],[Account Withdrawl Amount]], )</f>
        <v>0</v>
      </c>
      <c r="R389" s="243">
        <f>IF(Table334[[#This Row],[Category]]="Travel",Table334[[#This Row],[Account Deposit Amount]]-Table334[[#This Row],[Account Withdrawl Amount]], )</f>
        <v>0</v>
      </c>
      <c r="S389" s="243">
        <f>IF(Table334[[#This Row],[Category]]="Parties Food &amp; Beverages",Table334[[#This Row],[Account Deposit Amount]]-Table334[[#This Row],[Account Withdrawl Amount]], )</f>
        <v>0</v>
      </c>
      <c r="T389" s="243">
        <f>IF(Table334[[#This Row],[Category]]="Service Projects Donation",Table334[[#This Row],[Account Deposit Amount]]-Table334[[#This Row],[Account Withdrawl Amount]], )</f>
        <v>0</v>
      </c>
      <c r="U389" s="243">
        <f>IF(Table334[[#This Row],[Category]]="Cookie Debt",Table334[[#This Row],[Account Deposit Amount]]-Table334[[#This Row],[Account Withdrawl Amount]], )</f>
        <v>0</v>
      </c>
      <c r="V389" s="243">
        <f>IF(Table334[[#This Row],[Category]]="Other Expense",Table334[[#This Row],[Account Deposit Amount]]-Table334[[#This Row],[Account Withdrawl Amount]], )</f>
        <v>0</v>
      </c>
    </row>
    <row r="390" spans="1:22">
      <c r="A390" s="225"/>
      <c r="B390" s="241"/>
      <c r="C390" s="225"/>
      <c r="D390" s="225"/>
      <c r="E390" s="242"/>
      <c r="F390" s="242"/>
      <c r="G390" s="243">
        <f t="shared" si="9"/>
        <v>2518.9699999999939</v>
      </c>
      <c r="H390" s="225"/>
      <c r="I390" s="243">
        <f>IF(Table334[[#This Row],[Category]]="Fall Product",Table334[[#This Row],[Account Deposit Amount]]-Table334[[#This Row],[Account Withdrawl Amount]], )</f>
        <v>0</v>
      </c>
      <c r="J390" s="243">
        <f>IF(Table334[[#This Row],[Category]]="Cookies",Table334[[#This Row],[Account Deposit Amount]]-Table334[[#This Row],[Account Withdrawl Amount]], )</f>
        <v>0</v>
      </c>
      <c r="K390" s="243">
        <f>IF(Table334[[#This Row],[Category]]="Additional Money Earning Activities",Table334[[#This Row],[Account Deposit Amount]]-Table334[[#This Row],[Account Withdrawl Amount]], )</f>
        <v>0</v>
      </c>
      <c r="L390" s="243">
        <f>IF(Table334[[#This Row],[Category]]="Sponsorships",Table334[[#This Row],[Account Deposit Amount]]-Table334[[#This Row],[Account Withdrawl Amount]], )</f>
        <v>0</v>
      </c>
      <c r="M390" s="243">
        <f>IF(Table334[[#This Row],[Category]]="Troop Dues",Table334[[#This Row],[Account Deposit Amount]]-Table334[[#This Row],[Account Withdrawl Amount]], )</f>
        <v>0</v>
      </c>
      <c r="N390" s="243">
        <f>IF(Table334[[#This Row],[Category]]="Other Income",Table334[[#This Row],[Account Deposit Amount]]-Table334[[#This Row],[Account Withdrawl Amount]], )</f>
        <v>0</v>
      </c>
      <c r="O390" s="243">
        <f>IF(Table334[[#This Row],[Category]]="Registration",Table334[[#This Row],[Account Deposit Amount]]-Table334[[#This Row],[Account Withdrawl Amount]], )</f>
        <v>0</v>
      </c>
      <c r="P390" s="243">
        <f>IF(Table334[[#This Row],[Category]]="Insignia",Table334[[#This Row],[Account Deposit Amount]]-Table334[[#This Row],[Account Withdrawl Amount]], )</f>
        <v>0</v>
      </c>
      <c r="Q390" s="243">
        <f>IF(Table334[[#This Row],[Category]]="Activities/Program",Table334[[#This Row],[Account Deposit Amount]]-Table334[[#This Row],[Account Withdrawl Amount]], )</f>
        <v>0</v>
      </c>
      <c r="R390" s="243">
        <f>IF(Table334[[#This Row],[Category]]="Travel",Table334[[#This Row],[Account Deposit Amount]]-Table334[[#This Row],[Account Withdrawl Amount]], )</f>
        <v>0</v>
      </c>
      <c r="S390" s="243">
        <f>IF(Table334[[#This Row],[Category]]="Parties Food &amp; Beverages",Table334[[#This Row],[Account Deposit Amount]]-Table334[[#This Row],[Account Withdrawl Amount]], )</f>
        <v>0</v>
      </c>
      <c r="T390" s="243">
        <f>IF(Table334[[#This Row],[Category]]="Service Projects Donation",Table334[[#This Row],[Account Deposit Amount]]-Table334[[#This Row],[Account Withdrawl Amount]], )</f>
        <v>0</v>
      </c>
      <c r="U390" s="243">
        <f>IF(Table334[[#This Row],[Category]]="Cookie Debt",Table334[[#This Row],[Account Deposit Amount]]-Table334[[#This Row],[Account Withdrawl Amount]], )</f>
        <v>0</v>
      </c>
      <c r="V390" s="243">
        <f>IF(Table334[[#This Row],[Category]]="Other Expense",Table334[[#This Row],[Account Deposit Amount]]-Table334[[#This Row],[Account Withdrawl Amount]], )</f>
        <v>0</v>
      </c>
    </row>
    <row r="391" spans="1:22">
      <c r="A391" s="225"/>
      <c r="B391" s="241"/>
      <c r="C391" s="225"/>
      <c r="D391" s="225"/>
      <c r="E391" s="242"/>
      <c r="F391" s="242"/>
      <c r="G391" s="243">
        <f t="shared" si="9"/>
        <v>2518.9699999999939</v>
      </c>
      <c r="H391" s="225"/>
      <c r="I391" s="243">
        <f>IF(Table334[[#This Row],[Category]]="Fall Product",Table334[[#This Row],[Account Deposit Amount]]-Table334[[#This Row],[Account Withdrawl Amount]], )</f>
        <v>0</v>
      </c>
      <c r="J391" s="243">
        <f>IF(Table334[[#This Row],[Category]]="Cookies",Table334[[#This Row],[Account Deposit Amount]]-Table334[[#This Row],[Account Withdrawl Amount]], )</f>
        <v>0</v>
      </c>
      <c r="K391" s="243">
        <f>IF(Table334[[#This Row],[Category]]="Additional Money Earning Activities",Table334[[#This Row],[Account Deposit Amount]]-Table334[[#This Row],[Account Withdrawl Amount]], )</f>
        <v>0</v>
      </c>
      <c r="L391" s="243">
        <f>IF(Table334[[#This Row],[Category]]="Sponsorships",Table334[[#This Row],[Account Deposit Amount]]-Table334[[#This Row],[Account Withdrawl Amount]], )</f>
        <v>0</v>
      </c>
      <c r="M391" s="243">
        <f>IF(Table334[[#This Row],[Category]]="Troop Dues",Table334[[#This Row],[Account Deposit Amount]]-Table334[[#This Row],[Account Withdrawl Amount]], )</f>
        <v>0</v>
      </c>
      <c r="N391" s="243">
        <f>IF(Table334[[#This Row],[Category]]="Other Income",Table334[[#This Row],[Account Deposit Amount]]-Table334[[#This Row],[Account Withdrawl Amount]], )</f>
        <v>0</v>
      </c>
      <c r="O391" s="243">
        <f>IF(Table334[[#This Row],[Category]]="Registration",Table334[[#This Row],[Account Deposit Amount]]-Table334[[#This Row],[Account Withdrawl Amount]], )</f>
        <v>0</v>
      </c>
      <c r="P391" s="243">
        <f>IF(Table334[[#This Row],[Category]]="Insignia",Table334[[#This Row],[Account Deposit Amount]]-Table334[[#This Row],[Account Withdrawl Amount]], )</f>
        <v>0</v>
      </c>
      <c r="Q391" s="243">
        <f>IF(Table334[[#This Row],[Category]]="Activities/Program",Table334[[#This Row],[Account Deposit Amount]]-Table334[[#This Row],[Account Withdrawl Amount]], )</f>
        <v>0</v>
      </c>
      <c r="R391" s="243">
        <f>IF(Table334[[#This Row],[Category]]="Travel",Table334[[#This Row],[Account Deposit Amount]]-Table334[[#This Row],[Account Withdrawl Amount]], )</f>
        <v>0</v>
      </c>
      <c r="S391" s="243">
        <f>IF(Table334[[#This Row],[Category]]="Parties Food &amp; Beverages",Table334[[#This Row],[Account Deposit Amount]]-Table334[[#This Row],[Account Withdrawl Amount]], )</f>
        <v>0</v>
      </c>
      <c r="T391" s="243">
        <f>IF(Table334[[#This Row],[Category]]="Service Projects Donation",Table334[[#This Row],[Account Deposit Amount]]-Table334[[#This Row],[Account Withdrawl Amount]], )</f>
        <v>0</v>
      </c>
      <c r="U391" s="243">
        <f>IF(Table334[[#This Row],[Category]]="Cookie Debt",Table334[[#This Row],[Account Deposit Amount]]-Table334[[#This Row],[Account Withdrawl Amount]], )</f>
        <v>0</v>
      </c>
      <c r="V391" s="243">
        <f>IF(Table334[[#This Row],[Category]]="Other Expense",Table334[[#This Row],[Account Deposit Amount]]-Table334[[#This Row],[Account Withdrawl Amount]], )</f>
        <v>0</v>
      </c>
    </row>
    <row r="392" spans="1:22">
      <c r="A392" s="225"/>
      <c r="B392" s="241"/>
      <c r="C392" s="225"/>
      <c r="D392" s="225"/>
      <c r="E392" s="242"/>
      <c r="F392" s="242"/>
      <c r="G392" s="243">
        <f t="shared" si="9"/>
        <v>2518.9699999999939</v>
      </c>
      <c r="H392" s="225"/>
      <c r="I392" s="243">
        <f>IF(Table334[[#This Row],[Category]]="Fall Product",Table334[[#This Row],[Account Deposit Amount]]-Table334[[#This Row],[Account Withdrawl Amount]], )</f>
        <v>0</v>
      </c>
      <c r="J392" s="243">
        <f>IF(Table334[[#This Row],[Category]]="Cookies",Table334[[#This Row],[Account Deposit Amount]]-Table334[[#This Row],[Account Withdrawl Amount]], )</f>
        <v>0</v>
      </c>
      <c r="K392" s="243">
        <f>IF(Table334[[#This Row],[Category]]="Additional Money Earning Activities",Table334[[#This Row],[Account Deposit Amount]]-Table334[[#This Row],[Account Withdrawl Amount]], )</f>
        <v>0</v>
      </c>
      <c r="L392" s="243">
        <f>IF(Table334[[#This Row],[Category]]="Sponsorships",Table334[[#This Row],[Account Deposit Amount]]-Table334[[#This Row],[Account Withdrawl Amount]], )</f>
        <v>0</v>
      </c>
      <c r="M392" s="243">
        <f>IF(Table334[[#This Row],[Category]]="Troop Dues",Table334[[#This Row],[Account Deposit Amount]]-Table334[[#This Row],[Account Withdrawl Amount]], )</f>
        <v>0</v>
      </c>
      <c r="N392" s="243">
        <f>IF(Table334[[#This Row],[Category]]="Other Income",Table334[[#This Row],[Account Deposit Amount]]-Table334[[#This Row],[Account Withdrawl Amount]], )</f>
        <v>0</v>
      </c>
      <c r="O392" s="243">
        <f>IF(Table334[[#This Row],[Category]]="Registration",Table334[[#This Row],[Account Deposit Amount]]-Table334[[#This Row],[Account Withdrawl Amount]], )</f>
        <v>0</v>
      </c>
      <c r="P392" s="243">
        <f>IF(Table334[[#This Row],[Category]]="Insignia",Table334[[#This Row],[Account Deposit Amount]]-Table334[[#This Row],[Account Withdrawl Amount]], )</f>
        <v>0</v>
      </c>
      <c r="Q392" s="243">
        <f>IF(Table334[[#This Row],[Category]]="Activities/Program",Table334[[#This Row],[Account Deposit Amount]]-Table334[[#This Row],[Account Withdrawl Amount]], )</f>
        <v>0</v>
      </c>
      <c r="R392" s="243">
        <f>IF(Table334[[#This Row],[Category]]="Travel",Table334[[#This Row],[Account Deposit Amount]]-Table334[[#This Row],[Account Withdrawl Amount]], )</f>
        <v>0</v>
      </c>
      <c r="S392" s="243">
        <f>IF(Table334[[#This Row],[Category]]="Parties Food &amp; Beverages",Table334[[#This Row],[Account Deposit Amount]]-Table334[[#This Row],[Account Withdrawl Amount]], )</f>
        <v>0</v>
      </c>
      <c r="T392" s="243">
        <f>IF(Table334[[#This Row],[Category]]="Service Projects Donation",Table334[[#This Row],[Account Deposit Amount]]-Table334[[#This Row],[Account Withdrawl Amount]], )</f>
        <v>0</v>
      </c>
      <c r="U392" s="243">
        <f>IF(Table334[[#This Row],[Category]]="Cookie Debt",Table334[[#This Row],[Account Deposit Amount]]-Table334[[#This Row],[Account Withdrawl Amount]], )</f>
        <v>0</v>
      </c>
      <c r="V392" s="243">
        <f>IF(Table334[[#This Row],[Category]]="Other Expense",Table334[[#This Row],[Account Deposit Amount]]-Table334[[#This Row],[Account Withdrawl Amount]], )</f>
        <v>0</v>
      </c>
    </row>
    <row r="393" spans="1:22">
      <c r="A393" s="225"/>
      <c r="B393" s="241"/>
      <c r="C393" s="225"/>
      <c r="D393" s="225"/>
      <c r="E393" s="242"/>
      <c r="F393" s="242"/>
      <c r="G393" s="243">
        <f t="shared" si="9"/>
        <v>2518.9699999999939</v>
      </c>
      <c r="H393" s="225"/>
      <c r="I393" s="243">
        <f>IF(Table334[[#This Row],[Category]]="Fall Product",Table334[[#This Row],[Account Deposit Amount]]-Table334[[#This Row],[Account Withdrawl Amount]], )</f>
        <v>0</v>
      </c>
      <c r="J393" s="243">
        <f>IF(Table334[[#This Row],[Category]]="Cookies",Table334[[#This Row],[Account Deposit Amount]]-Table334[[#This Row],[Account Withdrawl Amount]], )</f>
        <v>0</v>
      </c>
      <c r="K393" s="243">
        <f>IF(Table334[[#This Row],[Category]]="Additional Money Earning Activities",Table334[[#This Row],[Account Deposit Amount]]-Table334[[#This Row],[Account Withdrawl Amount]], )</f>
        <v>0</v>
      </c>
      <c r="L393" s="243">
        <f>IF(Table334[[#This Row],[Category]]="Sponsorships",Table334[[#This Row],[Account Deposit Amount]]-Table334[[#This Row],[Account Withdrawl Amount]], )</f>
        <v>0</v>
      </c>
      <c r="M393" s="243">
        <f>IF(Table334[[#This Row],[Category]]="Troop Dues",Table334[[#This Row],[Account Deposit Amount]]-Table334[[#This Row],[Account Withdrawl Amount]], )</f>
        <v>0</v>
      </c>
      <c r="N393" s="243">
        <f>IF(Table334[[#This Row],[Category]]="Other Income",Table334[[#This Row],[Account Deposit Amount]]-Table334[[#This Row],[Account Withdrawl Amount]], )</f>
        <v>0</v>
      </c>
      <c r="O393" s="243">
        <f>IF(Table334[[#This Row],[Category]]="Registration",Table334[[#This Row],[Account Deposit Amount]]-Table334[[#This Row],[Account Withdrawl Amount]], )</f>
        <v>0</v>
      </c>
      <c r="P393" s="243">
        <f>IF(Table334[[#This Row],[Category]]="Insignia",Table334[[#This Row],[Account Deposit Amount]]-Table334[[#This Row],[Account Withdrawl Amount]], )</f>
        <v>0</v>
      </c>
      <c r="Q393" s="243">
        <f>IF(Table334[[#This Row],[Category]]="Activities/Program",Table334[[#This Row],[Account Deposit Amount]]-Table334[[#This Row],[Account Withdrawl Amount]], )</f>
        <v>0</v>
      </c>
      <c r="R393" s="243">
        <f>IF(Table334[[#This Row],[Category]]="Travel",Table334[[#This Row],[Account Deposit Amount]]-Table334[[#This Row],[Account Withdrawl Amount]], )</f>
        <v>0</v>
      </c>
      <c r="S393" s="243">
        <f>IF(Table334[[#This Row],[Category]]="Parties Food &amp; Beverages",Table334[[#This Row],[Account Deposit Amount]]-Table334[[#This Row],[Account Withdrawl Amount]], )</f>
        <v>0</v>
      </c>
      <c r="T393" s="243">
        <f>IF(Table334[[#This Row],[Category]]="Service Projects Donation",Table334[[#This Row],[Account Deposit Amount]]-Table334[[#This Row],[Account Withdrawl Amount]], )</f>
        <v>0</v>
      </c>
      <c r="U393" s="243">
        <f>IF(Table334[[#This Row],[Category]]="Cookie Debt",Table334[[#This Row],[Account Deposit Amount]]-Table334[[#This Row],[Account Withdrawl Amount]], )</f>
        <v>0</v>
      </c>
      <c r="V393" s="243">
        <f>IF(Table334[[#This Row],[Category]]="Other Expense",Table334[[#This Row],[Account Deposit Amount]]-Table334[[#This Row],[Account Withdrawl Amount]], )</f>
        <v>0</v>
      </c>
    </row>
    <row r="394" spans="1:22">
      <c r="A394" s="225"/>
      <c r="B394" s="241"/>
      <c r="C394" s="225"/>
      <c r="D394" s="225"/>
      <c r="E394" s="242"/>
      <c r="F394" s="242"/>
      <c r="G394" s="243">
        <f t="shared" si="9"/>
        <v>2518.9699999999939</v>
      </c>
      <c r="H394" s="225"/>
      <c r="I394" s="243">
        <f>IF(Table334[[#This Row],[Category]]="Fall Product",Table334[[#This Row],[Account Deposit Amount]]-Table334[[#This Row],[Account Withdrawl Amount]], )</f>
        <v>0</v>
      </c>
      <c r="J394" s="243">
        <f>IF(Table334[[#This Row],[Category]]="Cookies",Table334[[#This Row],[Account Deposit Amount]]-Table334[[#This Row],[Account Withdrawl Amount]], )</f>
        <v>0</v>
      </c>
      <c r="K394" s="243">
        <f>IF(Table334[[#This Row],[Category]]="Additional Money Earning Activities",Table334[[#This Row],[Account Deposit Amount]]-Table334[[#This Row],[Account Withdrawl Amount]], )</f>
        <v>0</v>
      </c>
      <c r="L394" s="243">
        <f>IF(Table334[[#This Row],[Category]]="Sponsorships",Table334[[#This Row],[Account Deposit Amount]]-Table334[[#This Row],[Account Withdrawl Amount]], )</f>
        <v>0</v>
      </c>
      <c r="M394" s="243">
        <f>IF(Table334[[#This Row],[Category]]="Troop Dues",Table334[[#This Row],[Account Deposit Amount]]-Table334[[#This Row],[Account Withdrawl Amount]], )</f>
        <v>0</v>
      </c>
      <c r="N394" s="243">
        <f>IF(Table334[[#This Row],[Category]]="Other Income",Table334[[#This Row],[Account Deposit Amount]]-Table334[[#This Row],[Account Withdrawl Amount]], )</f>
        <v>0</v>
      </c>
      <c r="O394" s="243">
        <f>IF(Table334[[#This Row],[Category]]="Registration",Table334[[#This Row],[Account Deposit Amount]]-Table334[[#This Row],[Account Withdrawl Amount]], )</f>
        <v>0</v>
      </c>
      <c r="P394" s="243">
        <f>IF(Table334[[#This Row],[Category]]="Insignia",Table334[[#This Row],[Account Deposit Amount]]-Table334[[#This Row],[Account Withdrawl Amount]], )</f>
        <v>0</v>
      </c>
      <c r="Q394" s="243">
        <f>IF(Table334[[#This Row],[Category]]="Activities/Program",Table334[[#This Row],[Account Deposit Amount]]-Table334[[#This Row],[Account Withdrawl Amount]], )</f>
        <v>0</v>
      </c>
      <c r="R394" s="243">
        <f>IF(Table334[[#This Row],[Category]]="Travel",Table334[[#This Row],[Account Deposit Amount]]-Table334[[#This Row],[Account Withdrawl Amount]], )</f>
        <v>0</v>
      </c>
      <c r="S394" s="243">
        <f>IF(Table334[[#This Row],[Category]]="Parties Food &amp; Beverages",Table334[[#This Row],[Account Deposit Amount]]-Table334[[#This Row],[Account Withdrawl Amount]], )</f>
        <v>0</v>
      </c>
      <c r="T394" s="243">
        <f>IF(Table334[[#This Row],[Category]]="Service Projects Donation",Table334[[#This Row],[Account Deposit Amount]]-Table334[[#This Row],[Account Withdrawl Amount]], )</f>
        <v>0</v>
      </c>
      <c r="U394" s="243">
        <f>IF(Table334[[#This Row],[Category]]="Cookie Debt",Table334[[#This Row],[Account Deposit Amount]]-Table334[[#This Row],[Account Withdrawl Amount]], )</f>
        <v>0</v>
      </c>
      <c r="V394" s="243">
        <f>IF(Table334[[#This Row],[Category]]="Other Expense",Table334[[#This Row],[Account Deposit Amount]]-Table334[[#This Row],[Account Withdrawl Amount]], )</f>
        <v>0</v>
      </c>
    </row>
    <row r="395" spans="1:22">
      <c r="A395" s="225"/>
      <c r="B395" s="241"/>
      <c r="C395" s="225"/>
      <c r="D395" s="225"/>
      <c r="E395" s="242"/>
      <c r="F395" s="242"/>
      <c r="G395" s="243">
        <f t="shared" si="9"/>
        <v>2518.9699999999939</v>
      </c>
      <c r="H395" s="225"/>
      <c r="I395" s="243">
        <f>IF(Table334[[#This Row],[Category]]="Fall Product",Table334[[#This Row],[Account Deposit Amount]]-Table334[[#This Row],[Account Withdrawl Amount]], )</f>
        <v>0</v>
      </c>
      <c r="J395" s="243">
        <f>IF(Table334[[#This Row],[Category]]="Cookies",Table334[[#This Row],[Account Deposit Amount]]-Table334[[#This Row],[Account Withdrawl Amount]], )</f>
        <v>0</v>
      </c>
      <c r="K395" s="243">
        <f>IF(Table334[[#This Row],[Category]]="Additional Money Earning Activities",Table334[[#This Row],[Account Deposit Amount]]-Table334[[#This Row],[Account Withdrawl Amount]], )</f>
        <v>0</v>
      </c>
      <c r="L395" s="243">
        <f>IF(Table334[[#This Row],[Category]]="Sponsorships",Table334[[#This Row],[Account Deposit Amount]]-Table334[[#This Row],[Account Withdrawl Amount]], )</f>
        <v>0</v>
      </c>
      <c r="M395" s="243">
        <f>IF(Table334[[#This Row],[Category]]="Troop Dues",Table334[[#This Row],[Account Deposit Amount]]-Table334[[#This Row],[Account Withdrawl Amount]], )</f>
        <v>0</v>
      </c>
      <c r="N395" s="243">
        <f>IF(Table334[[#This Row],[Category]]="Other Income",Table334[[#This Row],[Account Deposit Amount]]-Table334[[#This Row],[Account Withdrawl Amount]], )</f>
        <v>0</v>
      </c>
      <c r="O395" s="243">
        <f>IF(Table334[[#This Row],[Category]]="Registration",Table334[[#This Row],[Account Deposit Amount]]-Table334[[#This Row],[Account Withdrawl Amount]], )</f>
        <v>0</v>
      </c>
      <c r="P395" s="243">
        <f>IF(Table334[[#This Row],[Category]]="Insignia",Table334[[#This Row],[Account Deposit Amount]]-Table334[[#This Row],[Account Withdrawl Amount]], )</f>
        <v>0</v>
      </c>
      <c r="Q395" s="243">
        <f>IF(Table334[[#This Row],[Category]]="Activities/Program",Table334[[#This Row],[Account Deposit Amount]]-Table334[[#This Row],[Account Withdrawl Amount]], )</f>
        <v>0</v>
      </c>
      <c r="R395" s="243">
        <f>IF(Table334[[#This Row],[Category]]="Travel",Table334[[#This Row],[Account Deposit Amount]]-Table334[[#This Row],[Account Withdrawl Amount]], )</f>
        <v>0</v>
      </c>
      <c r="S395" s="243">
        <f>IF(Table334[[#This Row],[Category]]="Parties Food &amp; Beverages",Table334[[#This Row],[Account Deposit Amount]]-Table334[[#This Row],[Account Withdrawl Amount]], )</f>
        <v>0</v>
      </c>
      <c r="T395" s="243">
        <f>IF(Table334[[#This Row],[Category]]="Service Projects Donation",Table334[[#This Row],[Account Deposit Amount]]-Table334[[#This Row],[Account Withdrawl Amount]], )</f>
        <v>0</v>
      </c>
      <c r="U395" s="243">
        <f>IF(Table334[[#This Row],[Category]]="Cookie Debt",Table334[[#This Row],[Account Deposit Amount]]-Table334[[#This Row],[Account Withdrawl Amount]], )</f>
        <v>0</v>
      </c>
      <c r="V395" s="243">
        <f>IF(Table334[[#This Row],[Category]]="Other Expense",Table334[[#This Row],[Account Deposit Amount]]-Table334[[#This Row],[Account Withdrawl Amount]], )</f>
        <v>0</v>
      </c>
    </row>
    <row r="396" spans="1:22">
      <c r="A396" s="225"/>
      <c r="B396" s="241"/>
      <c r="C396" s="225"/>
      <c r="D396" s="225"/>
      <c r="E396" s="242"/>
      <c r="F396" s="242"/>
      <c r="G396" s="243">
        <f t="shared" si="9"/>
        <v>2518.9699999999939</v>
      </c>
      <c r="H396" s="225"/>
      <c r="I396" s="243">
        <f>IF(Table334[[#This Row],[Category]]="Fall Product",Table334[[#This Row],[Account Deposit Amount]]-Table334[[#This Row],[Account Withdrawl Amount]], )</f>
        <v>0</v>
      </c>
      <c r="J396" s="243">
        <f>IF(Table334[[#This Row],[Category]]="Cookies",Table334[[#This Row],[Account Deposit Amount]]-Table334[[#This Row],[Account Withdrawl Amount]], )</f>
        <v>0</v>
      </c>
      <c r="K396" s="243">
        <f>IF(Table334[[#This Row],[Category]]="Additional Money Earning Activities",Table334[[#This Row],[Account Deposit Amount]]-Table334[[#This Row],[Account Withdrawl Amount]], )</f>
        <v>0</v>
      </c>
      <c r="L396" s="243">
        <f>IF(Table334[[#This Row],[Category]]="Sponsorships",Table334[[#This Row],[Account Deposit Amount]]-Table334[[#This Row],[Account Withdrawl Amount]], )</f>
        <v>0</v>
      </c>
      <c r="M396" s="243">
        <f>IF(Table334[[#This Row],[Category]]="Troop Dues",Table334[[#This Row],[Account Deposit Amount]]-Table334[[#This Row],[Account Withdrawl Amount]], )</f>
        <v>0</v>
      </c>
      <c r="N396" s="243">
        <f>IF(Table334[[#This Row],[Category]]="Other Income",Table334[[#This Row],[Account Deposit Amount]]-Table334[[#This Row],[Account Withdrawl Amount]], )</f>
        <v>0</v>
      </c>
      <c r="O396" s="243">
        <f>IF(Table334[[#This Row],[Category]]="Registration",Table334[[#This Row],[Account Deposit Amount]]-Table334[[#This Row],[Account Withdrawl Amount]], )</f>
        <v>0</v>
      </c>
      <c r="P396" s="243">
        <f>IF(Table334[[#This Row],[Category]]="Insignia",Table334[[#This Row],[Account Deposit Amount]]-Table334[[#This Row],[Account Withdrawl Amount]], )</f>
        <v>0</v>
      </c>
      <c r="Q396" s="243">
        <f>IF(Table334[[#This Row],[Category]]="Activities/Program",Table334[[#This Row],[Account Deposit Amount]]-Table334[[#This Row],[Account Withdrawl Amount]], )</f>
        <v>0</v>
      </c>
      <c r="R396" s="243">
        <f>IF(Table334[[#This Row],[Category]]="Travel",Table334[[#This Row],[Account Deposit Amount]]-Table334[[#This Row],[Account Withdrawl Amount]], )</f>
        <v>0</v>
      </c>
      <c r="S396" s="243">
        <f>IF(Table334[[#This Row],[Category]]="Parties Food &amp; Beverages",Table334[[#This Row],[Account Deposit Amount]]-Table334[[#This Row],[Account Withdrawl Amount]], )</f>
        <v>0</v>
      </c>
      <c r="T396" s="243">
        <f>IF(Table334[[#This Row],[Category]]="Service Projects Donation",Table334[[#This Row],[Account Deposit Amount]]-Table334[[#This Row],[Account Withdrawl Amount]], )</f>
        <v>0</v>
      </c>
      <c r="U396" s="243">
        <f>IF(Table334[[#This Row],[Category]]="Cookie Debt",Table334[[#This Row],[Account Deposit Amount]]-Table334[[#This Row],[Account Withdrawl Amount]], )</f>
        <v>0</v>
      </c>
      <c r="V396" s="243">
        <f>IF(Table334[[#This Row],[Category]]="Other Expense",Table334[[#This Row],[Account Deposit Amount]]-Table334[[#This Row],[Account Withdrawl Amount]], )</f>
        <v>0</v>
      </c>
    </row>
    <row r="397" spans="1:22">
      <c r="A397" s="225"/>
      <c r="B397" s="241"/>
      <c r="C397" s="225"/>
      <c r="D397" s="225"/>
      <c r="E397" s="242"/>
      <c r="F397" s="242"/>
      <c r="G397" s="243">
        <f t="shared" si="9"/>
        <v>2518.9699999999939</v>
      </c>
      <c r="H397" s="225"/>
      <c r="I397" s="243">
        <f>IF(Table334[[#This Row],[Category]]="Fall Product",Table334[[#This Row],[Account Deposit Amount]]-Table334[[#This Row],[Account Withdrawl Amount]], )</f>
        <v>0</v>
      </c>
      <c r="J397" s="243">
        <f>IF(Table334[[#This Row],[Category]]="Cookies",Table334[[#This Row],[Account Deposit Amount]]-Table334[[#This Row],[Account Withdrawl Amount]], )</f>
        <v>0</v>
      </c>
      <c r="K397" s="243">
        <f>IF(Table334[[#This Row],[Category]]="Additional Money Earning Activities",Table334[[#This Row],[Account Deposit Amount]]-Table334[[#This Row],[Account Withdrawl Amount]], )</f>
        <v>0</v>
      </c>
      <c r="L397" s="243">
        <f>IF(Table334[[#This Row],[Category]]="Sponsorships",Table334[[#This Row],[Account Deposit Amount]]-Table334[[#This Row],[Account Withdrawl Amount]], )</f>
        <v>0</v>
      </c>
      <c r="M397" s="243">
        <f>IF(Table334[[#This Row],[Category]]="Troop Dues",Table334[[#This Row],[Account Deposit Amount]]-Table334[[#This Row],[Account Withdrawl Amount]], )</f>
        <v>0</v>
      </c>
      <c r="N397" s="243">
        <f>IF(Table334[[#This Row],[Category]]="Other Income",Table334[[#This Row],[Account Deposit Amount]]-Table334[[#This Row],[Account Withdrawl Amount]], )</f>
        <v>0</v>
      </c>
      <c r="O397" s="243">
        <f>IF(Table334[[#This Row],[Category]]="Registration",Table334[[#This Row],[Account Deposit Amount]]-Table334[[#This Row],[Account Withdrawl Amount]], )</f>
        <v>0</v>
      </c>
      <c r="P397" s="243">
        <f>IF(Table334[[#This Row],[Category]]="Insignia",Table334[[#This Row],[Account Deposit Amount]]-Table334[[#This Row],[Account Withdrawl Amount]], )</f>
        <v>0</v>
      </c>
      <c r="Q397" s="243">
        <f>IF(Table334[[#This Row],[Category]]="Activities/Program",Table334[[#This Row],[Account Deposit Amount]]-Table334[[#This Row],[Account Withdrawl Amount]], )</f>
        <v>0</v>
      </c>
      <c r="R397" s="243">
        <f>IF(Table334[[#This Row],[Category]]="Travel",Table334[[#This Row],[Account Deposit Amount]]-Table334[[#This Row],[Account Withdrawl Amount]], )</f>
        <v>0</v>
      </c>
      <c r="S397" s="243">
        <f>IF(Table334[[#This Row],[Category]]="Parties Food &amp; Beverages",Table334[[#This Row],[Account Deposit Amount]]-Table334[[#This Row],[Account Withdrawl Amount]], )</f>
        <v>0</v>
      </c>
      <c r="T397" s="243">
        <f>IF(Table334[[#This Row],[Category]]="Service Projects Donation",Table334[[#This Row],[Account Deposit Amount]]-Table334[[#This Row],[Account Withdrawl Amount]], )</f>
        <v>0</v>
      </c>
      <c r="U397" s="243">
        <f>IF(Table334[[#This Row],[Category]]="Cookie Debt",Table334[[#This Row],[Account Deposit Amount]]-Table334[[#This Row],[Account Withdrawl Amount]], )</f>
        <v>0</v>
      </c>
      <c r="V397" s="243">
        <f>IF(Table334[[#This Row],[Category]]="Other Expense",Table334[[#This Row],[Account Deposit Amount]]-Table334[[#This Row],[Account Withdrawl Amount]], )</f>
        <v>0</v>
      </c>
    </row>
    <row r="398" spans="1:22">
      <c r="A398" s="225"/>
      <c r="B398" s="241"/>
      <c r="C398" s="225"/>
      <c r="D398" s="225"/>
      <c r="E398" s="242"/>
      <c r="F398" s="242"/>
      <c r="G398" s="243">
        <f t="shared" si="9"/>
        <v>2518.9699999999939</v>
      </c>
      <c r="H398" s="225"/>
      <c r="I398" s="243">
        <f>IF(Table334[[#This Row],[Category]]="Fall Product",Table334[[#This Row],[Account Deposit Amount]]-Table334[[#This Row],[Account Withdrawl Amount]], )</f>
        <v>0</v>
      </c>
      <c r="J398" s="243">
        <f>IF(Table334[[#This Row],[Category]]="Cookies",Table334[[#This Row],[Account Deposit Amount]]-Table334[[#This Row],[Account Withdrawl Amount]], )</f>
        <v>0</v>
      </c>
      <c r="K398" s="243">
        <f>IF(Table334[[#This Row],[Category]]="Additional Money Earning Activities",Table334[[#This Row],[Account Deposit Amount]]-Table334[[#This Row],[Account Withdrawl Amount]], )</f>
        <v>0</v>
      </c>
      <c r="L398" s="243">
        <f>IF(Table334[[#This Row],[Category]]="Sponsorships",Table334[[#This Row],[Account Deposit Amount]]-Table334[[#This Row],[Account Withdrawl Amount]], )</f>
        <v>0</v>
      </c>
      <c r="M398" s="243">
        <f>IF(Table334[[#This Row],[Category]]="Troop Dues",Table334[[#This Row],[Account Deposit Amount]]-Table334[[#This Row],[Account Withdrawl Amount]], )</f>
        <v>0</v>
      </c>
      <c r="N398" s="243">
        <f>IF(Table334[[#This Row],[Category]]="Other Income",Table334[[#This Row],[Account Deposit Amount]]-Table334[[#This Row],[Account Withdrawl Amount]], )</f>
        <v>0</v>
      </c>
      <c r="O398" s="243">
        <f>IF(Table334[[#This Row],[Category]]="Registration",Table334[[#This Row],[Account Deposit Amount]]-Table334[[#This Row],[Account Withdrawl Amount]], )</f>
        <v>0</v>
      </c>
      <c r="P398" s="243">
        <f>IF(Table334[[#This Row],[Category]]="Insignia",Table334[[#This Row],[Account Deposit Amount]]-Table334[[#This Row],[Account Withdrawl Amount]], )</f>
        <v>0</v>
      </c>
      <c r="Q398" s="243">
        <f>IF(Table334[[#This Row],[Category]]="Activities/Program",Table334[[#This Row],[Account Deposit Amount]]-Table334[[#This Row],[Account Withdrawl Amount]], )</f>
        <v>0</v>
      </c>
      <c r="R398" s="243">
        <f>IF(Table334[[#This Row],[Category]]="Travel",Table334[[#This Row],[Account Deposit Amount]]-Table334[[#This Row],[Account Withdrawl Amount]], )</f>
        <v>0</v>
      </c>
      <c r="S398" s="243">
        <f>IF(Table334[[#This Row],[Category]]="Parties Food &amp; Beverages",Table334[[#This Row],[Account Deposit Amount]]-Table334[[#This Row],[Account Withdrawl Amount]], )</f>
        <v>0</v>
      </c>
      <c r="T398" s="243">
        <f>IF(Table334[[#This Row],[Category]]="Service Projects Donation",Table334[[#This Row],[Account Deposit Amount]]-Table334[[#This Row],[Account Withdrawl Amount]], )</f>
        <v>0</v>
      </c>
      <c r="U398" s="243">
        <f>IF(Table334[[#This Row],[Category]]="Cookie Debt",Table334[[#This Row],[Account Deposit Amount]]-Table334[[#This Row],[Account Withdrawl Amount]], )</f>
        <v>0</v>
      </c>
      <c r="V398" s="243">
        <f>IF(Table334[[#This Row],[Category]]="Other Expense",Table334[[#This Row],[Account Deposit Amount]]-Table334[[#This Row],[Account Withdrawl Amount]], )</f>
        <v>0</v>
      </c>
    </row>
    <row r="399" spans="1:22">
      <c r="A399" s="225"/>
      <c r="B399" s="241"/>
      <c r="C399" s="225"/>
      <c r="D399" s="225"/>
      <c r="E399" s="242"/>
      <c r="F399" s="242"/>
      <c r="G399" s="243">
        <f t="shared" si="9"/>
        <v>2518.9699999999939</v>
      </c>
      <c r="H399" s="225"/>
      <c r="I399" s="243">
        <f>IF(Table334[[#This Row],[Category]]="Fall Product",Table334[[#This Row],[Account Deposit Amount]]-Table334[[#This Row],[Account Withdrawl Amount]], )</f>
        <v>0</v>
      </c>
      <c r="J399" s="243">
        <f>IF(Table334[[#This Row],[Category]]="Cookies",Table334[[#This Row],[Account Deposit Amount]]-Table334[[#This Row],[Account Withdrawl Amount]], )</f>
        <v>0</v>
      </c>
      <c r="K399" s="243">
        <f>IF(Table334[[#This Row],[Category]]="Additional Money Earning Activities",Table334[[#This Row],[Account Deposit Amount]]-Table334[[#This Row],[Account Withdrawl Amount]], )</f>
        <v>0</v>
      </c>
      <c r="L399" s="243">
        <f>IF(Table334[[#This Row],[Category]]="Sponsorships",Table334[[#This Row],[Account Deposit Amount]]-Table334[[#This Row],[Account Withdrawl Amount]], )</f>
        <v>0</v>
      </c>
      <c r="M399" s="243">
        <f>IF(Table334[[#This Row],[Category]]="Troop Dues",Table334[[#This Row],[Account Deposit Amount]]-Table334[[#This Row],[Account Withdrawl Amount]], )</f>
        <v>0</v>
      </c>
      <c r="N399" s="243">
        <f>IF(Table334[[#This Row],[Category]]="Other Income",Table334[[#This Row],[Account Deposit Amount]]-Table334[[#This Row],[Account Withdrawl Amount]], )</f>
        <v>0</v>
      </c>
      <c r="O399" s="243">
        <f>IF(Table334[[#This Row],[Category]]="Registration",Table334[[#This Row],[Account Deposit Amount]]-Table334[[#This Row],[Account Withdrawl Amount]], )</f>
        <v>0</v>
      </c>
      <c r="P399" s="243">
        <f>IF(Table334[[#This Row],[Category]]="Insignia",Table334[[#This Row],[Account Deposit Amount]]-Table334[[#This Row],[Account Withdrawl Amount]], )</f>
        <v>0</v>
      </c>
      <c r="Q399" s="243">
        <f>IF(Table334[[#This Row],[Category]]="Activities/Program",Table334[[#This Row],[Account Deposit Amount]]-Table334[[#This Row],[Account Withdrawl Amount]], )</f>
        <v>0</v>
      </c>
      <c r="R399" s="243">
        <f>IF(Table334[[#This Row],[Category]]="Travel",Table334[[#This Row],[Account Deposit Amount]]-Table334[[#This Row],[Account Withdrawl Amount]], )</f>
        <v>0</v>
      </c>
      <c r="S399" s="243">
        <f>IF(Table334[[#This Row],[Category]]="Parties Food &amp; Beverages",Table334[[#This Row],[Account Deposit Amount]]-Table334[[#This Row],[Account Withdrawl Amount]], )</f>
        <v>0</v>
      </c>
      <c r="T399" s="243">
        <f>IF(Table334[[#This Row],[Category]]="Service Projects Donation",Table334[[#This Row],[Account Deposit Amount]]-Table334[[#This Row],[Account Withdrawl Amount]], )</f>
        <v>0</v>
      </c>
      <c r="U399" s="243">
        <f>IF(Table334[[#This Row],[Category]]="Cookie Debt",Table334[[#This Row],[Account Deposit Amount]]-Table334[[#This Row],[Account Withdrawl Amount]], )</f>
        <v>0</v>
      </c>
      <c r="V399" s="243">
        <f>IF(Table334[[#This Row],[Category]]="Other Expense",Table334[[#This Row],[Account Deposit Amount]]-Table334[[#This Row],[Account Withdrawl Amount]], )</f>
        <v>0</v>
      </c>
    </row>
    <row r="400" spans="1:22">
      <c r="A400" s="225"/>
      <c r="B400" s="241"/>
      <c r="C400" s="225"/>
      <c r="D400" s="225"/>
      <c r="E400" s="242"/>
      <c r="F400" s="242"/>
      <c r="G400" s="243">
        <f t="shared" si="9"/>
        <v>2518.9699999999939</v>
      </c>
      <c r="H400" s="225"/>
      <c r="I400" s="243">
        <f>IF(Table334[[#This Row],[Category]]="Fall Product",Table334[[#This Row],[Account Deposit Amount]]-Table334[[#This Row],[Account Withdrawl Amount]], )</f>
        <v>0</v>
      </c>
      <c r="J400" s="243">
        <f>IF(Table334[[#This Row],[Category]]="Cookies",Table334[[#This Row],[Account Deposit Amount]]-Table334[[#This Row],[Account Withdrawl Amount]], )</f>
        <v>0</v>
      </c>
      <c r="K400" s="243">
        <f>IF(Table334[[#This Row],[Category]]="Additional Money Earning Activities",Table334[[#This Row],[Account Deposit Amount]]-Table334[[#This Row],[Account Withdrawl Amount]], )</f>
        <v>0</v>
      </c>
      <c r="L400" s="243">
        <f>IF(Table334[[#This Row],[Category]]="Sponsorships",Table334[[#This Row],[Account Deposit Amount]]-Table334[[#This Row],[Account Withdrawl Amount]], )</f>
        <v>0</v>
      </c>
      <c r="M400" s="243">
        <f>IF(Table334[[#This Row],[Category]]="Troop Dues",Table334[[#This Row],[Account Deposit Amount]]-Table334[[#This Row],[Account Withdrawl Amount]], )</f>
        <v>0</v>
      </c>
      <c r="N400" s="243">
        <f>IF(Table334[[#This Row],[Category]]="Other Income",Table334[[#This Row],[Account Deposit Amount]]-Table334[[#This Row],[Account Withdrawl Amount]], )</f>
        <v>0</v>
      </c>
      <c r="O400" s="243">
        <f>IF(Table334[[#This Row],[Category]]="Registration",Table334[[#This Row],[Account Deposit Amount]]-Table334[[#This Row],[Account Withdrawl Amount]], )</f>
        <v>0</v>
      </c>
      <c r="P400" s="243">
        <f>IF(Table334[[#This Row],[Category]]="Insignia",Table334[[#This Row],[Account Deposit Amount]]-Table334[[#This Row],[Account Withdrawl Amount]], )</f>
        <v>0</v>
      </c>
      <c r="Q400" s="243">
        <f>IF(Table334[[#This Row],[Category]]="Activities/Program",Table334[[#This Row],[Account Deposit Amount]]-Table334[[#This Row],[Account Withdrawl Amount]], )</f>
        <v>0</v>
      </c>
      <c r="R400" s="243">
        <f>IF(Table334[[#This Row],[Category]]="Travel",Table334[[#This Row],[Account Deposit Amount]]-Table334[[#This Row],[Account Withdrawl Amount]], )</f>
        <v>0</v>
      </c>
      <c r="S400" s="243">
        <f>IF(Table334[[#This Row],[Category]]="Parties Food &amp; Beverages",Table334[[#This Row],[Account Deposit Amount]]-Table334[[#This Row],[Account Withdrawl Amount]], )</f>
        <v>0</v>
      </c>
      <c r="T400" s="243">
        <f>IF(Table334[[#This Row],[Category]]="Service Projects Donation",Table334[[#This Row],[Account Deposit Amount]]-Table334[[#This Row],[Account Withdrawl Amount]], )</f>
        <v>0</v>
      </c>
      <c r="U400" s="243">
        <f>IF(Table334[[#This Row],[Category]]="Cookie Debt",Table334[[#This Row],[Account Deposit Amount]]-Table334[[#This Row],[Account Withdrawl Amount]], )</f>
        <v>0</v>
      </c>
      <c r="V400" s="243">
        <f>IF(Table334[[#This Row],[Category]]="Other Expense",Table334[[#This Row],[Account Deposit Amount]]-Table334[[#This Row],[Account Withdrawl Amount]], )</f>
        <v>0</v>
      </c>
    </row>
    <row r="401" spans="1:22">
      <c r="A401" s="225"/>
      <c r="B401" s="241"/>
      <c r="C401" s="225"/>
      <c r="D401" s="225"/>
      <c r="E401" s="242"/>
      <c r="F401" s="242"/>
      <c r="G401" s="243">
        <f t="shared" si="9"/>
        <v>2518.9699999999939</v>
      </c>
      <c r="H401" s="225"/>
      <c r="I401" s="243">
        <f>IF(Table334[[#This Row],[Category]]="Fall Product",Table334[[#This Row],[Account Deposit Amount]]-Table334[[#This Row],[Account Withdrawl Amount]], )</f>
        <v>0</v>
      </c>
      <c r="J401" s="243">
        <f>IF(Table334[[#This Row],[Category]]="Cookies",Table334[[#This Row],[Account Deposit Amount]]-Table334[[#This Row],[Account Withdrawl Amount]], )</f>
        <v>0</v>
      </c>
      <c r="K401" s="243">
        <f>IF(Table334[[#This Row],[Category]]="Additional Money Earning Activities",Table334[[#This Row],[Account Deposit Amount]]-Table334[[#This Row],[Account Withdrawl Amount]], )</f>
        <v>0</v>
      </c>
      <c r="L401" s="243">
        <f>IF(Table334[[#This Row],[Category]]="Sponsorships",Table334[[#This Row],[Account Deposit Amount]]-Table334[[#This Row],[Account Withdrawl Amount]], )</f>
        <v>0</v>
      </c>
      <c r="M401" s="243">
        <f>IF(Table334[[#This Row],[Category]]="Troop Dues",Table334[[#This Row],[Account Deposit Amount]]-Table334[[#This Row],[Account Withdrawl Amount]], )</f>
        <v>0</v>
      </c>
      <c r="N401" s="243">
        <f>IF(Table334[[#This Row],[Category]]="Other Income",Table334[[#This Row],[Account Deposit Amount]]-Table334[[#This Row],[Account Withdrawl Amount]], )</f>
        <v>0</v>
      </c>
      <c r="O401" s="243">
        <f>IF(Table334[[#This Row],[Category]]="Registration",Table334[[#This Row],[Account Deposit Amount]]-Table334[[#This Row],[Account Withdrawl Amount]], )</f>
        <v>0</v>
      </c>
      <c r="P401" s="243">
        <f>IF(Table334[[#This Row],[Category]]="Insignia",Table334[[#This Row],[Account Deposit Amount]]-Table334[[#This Row],[Account Withdrawl Amount]], )</f>
        <v>0</v>
      </c>
      <c r="Q401" s="243">
        <f>IF(Table334[[#This Row],[Category]]="Activities/Program",Table334[[#This Row],[Account Deposit Amount]]-Table334[[#This Row],[Account Withdrawl Amount]], )</f>
        <v>0</v>
      </c>
      <c r="R401" s="243">
        <f>IF(Table334[[#This Row],[Category]]="Travel",Table334[[#This Row],[Account Deposit Amount]]-Table334[[#This Row],[Account Withdrawl Amount]], )</f>
        <v>0</v>
      </c>
      <c r="S401" s="243">
        <f>IF(Table334[[#This Row],[Category]]="Parties Food &amp; Beverages",Table334[[#This Row],[Account Deposit Amount]]-Table334[[#This Row],[Account Withdrawl Amount]], )</f>
        <v>0</v>
      </c>
      <c r="T401" s="243">
        <f>IF(Table334[[#This Row],[Category]]="Service Projects Donation",Table334[[#This Row],[Account Deposit Amount]]-Table334[[#This Row],[Account Withdrawl Amount]], )</f>
        <v>0</v>
      </c>
      <c r="U401" s="243">
        <f>IF(Table334[[#This Row],[Category]]="Cookie Debt",Table334[[#This Row],[Account Deposit Amount]]-Table334[[#This Row],[Account Withdrawl Amount]], )</f>
        <v>0</v>
      </c>
      <c r="V401" s="243">
        <f>IF(Table334[[#This Row],[Category]]="Other Expense",Table334[[#This Row],[Account Deposit Amount]]-Table334[[#This Row],[Account Withdrawl Amount]], )</f>
        <v>0</v>
      </c>
    </row>
    <row r="402" spans="1:22">
      <c r="A402" s="225"/>
      <c r="B402" s="241"/>
      <c r="C402" s="225"/>
      <c r="D402" s="225"/>
      <c r="E402" s="242"/>
      <c r="F402" s="242"/>
      <c r="G402" s="243">
        <f t="shared" si="9"/>
        <v>2518.9699999999939</v>
      </c>
      <c r="H402" s="225"/>
      <c r="I402" s="243">
        <f>IF(Table334[[#This Row],[Category]]="Fall Product",Table334[[#This Row],[Account Deposit Amount]]-Table334[[#This Row],[Account Withdrawl Amount]], )</f>
        <v>0</v>
      </c>
      <c r="J402" s="243">
        <f>IF(Table334[[#This Row],[Category]]="Cookies",Table334[[#This Row],[Account Deposit Amount]]-Table334[[#This Row],[Account Withdrawl Amount]], )</f>
        <v>0</v>
      </c>
      <c r="K402" s="243">
        <f>IF(Table334[[#This Row],[Category]]="Additional Money Earning Activities",Table334[[#This Row],[Account Deposit Amount]]-Table334[[#This Row],[Account Withdrawl Amount]], )</f>
        <v>0</v>
      </c>
      <c r="L402" s="243">
        <f>IF(Table334[[#This Row],[Category]]="Sponsorships",Table334[[#This Row],[Account Deposit Amount]]-Table334[[#This Row],[Account Withdrawl Amount]], )</f>
        <v>0</v>
      </c>
      <c r="M402" s="243">
        <f>IF(Table334[[#This Row],[Category]]="Troop Dues",Table334[[#This Row],[Account Deposit Amount]]-Table334[[#This Row],[Account Withdrawl Amount]], )</f>
        <v>0</v>
      </c>
      <c r="N402" s="243">
        <f>IF(Table334[[#This Row],[Category]]="Other Income",Table334[[#This Row],[Account Deposit Amount]]-Table334[[#This Row],[Account Withdrawl Amount]], )</f>
        <v>0</v>
      </c>
      <c r="O402" s="243">
        <f>IF(Table334[[#This Row],[Category]]="Registration",Table334[[#This Row],[Account Deposit Amount]]-Table334[[#This Row],[Account Withdrawl Amount]], )</f>
        <v>0</v>
      </c>
      <c r="P402" s="243">
        <f>IF(Table334[[#This Row],[Category]]="Insignia",Table334[[#This Row],[Account Deposit Amount]]-Table334[[#This Row],[Account Withdrawl Amount]], )</f>
        <v>0</v>
      </c>
      <c r="Q402" s="243">
        <f>IF(Table334[[#This Row],[Category]]="Activities/Program",Table334[[#This Row],[Account Deposit Amount]]-Table334[[#This Row],[Account Withdrawl Amount]], )</f>
        <v>0</v>
      </c>
      <c r="R402" s="243">
        <f>IF(Table334[[#This Row],[Category]]="Travel",Table334[[#This Row],[Account Deposit Amount]]-Table334[[#This Row],[Account Withdrawl Amount]], )</f>
        <v>0</v>
      </c>
      <c r="S402" s="243">
        <f>IF(Table334[[#This Row],[Category]]="Parties Food &amp; Beverages",Table334[[#This Row],[Account Deposit Amount]]-Table334[[#This Row],[Account Withdrawl Amount]], )</f>
        <v>0</v>
      </c>
      <c r="T402" s="243">
        <f>IF(Table334[[#This Row],[Category]]="Service Projects Donation",Table334[[#This Row],[Account Deposit Amount]]-Table334[[#This Row],[Account Withdrawl Amount]], )</f>
        <v>0</v>
      </c>
      <c r="U402" s="243">
        <f>IF(Table334[[#This Row],[Category]]="Cookie Debt",Table334[[#This Row],[Account Deposit Amount]]-Table334[[#This Row],[Account Withdrawl Amount]], )</f>
        <v>0</v>
      </c>
      <c r="V402" s="243">
        <f>IF(Table334[[#This Row],[Category]]="Other Expense",Table334[[#This Row],[Account Deposit Amount]]-Table334[[#This Row],[Account Withdrawl Amount]], )</f>
        <v>0</v>
      </c>
    </row>
    <row r="403" spans="1:22">
      <c r="A403" s="225"/>
      <c r="B403" s="241"/>
      <c r="C403" s="225"/>
      <c r="D403" s="225"/>
      <c r="E403" s="242"/>
      <c r="F403" s="242"/>
      <c r="G403" s="243">
        <f t="shared" si="9"/>
        <v>2518.9699999999939</v>
      </c>
      <c r="H403" s="225"/>
      <c r="I403" s="243">
        <f>IF(Table334[[#This Row],[Category]]="Fall Product",Table334[[#This Row],[Account Deposit Amount]]-Table334[[#This Row],[Account Withdrawl Amount]], )</f>
        <v>0</v>
      </c>
      <c r="J403" s="243">
        <f>IF(Table334[[#This Row],[Category]]="Cookies",Table334[[#This Row],[Account Deposit Amount]]-Table334[[#This Row],[Account Withdrawl Amount]], )</f>
        <v>0</v>
      </c>
      <c r="K403" s="243">
        <f>IF(Table334[[#This Row],[Category]]="Additional Money Earning Activities",Table334[[#This Row],[Account Deposit Amount]]-Table334[[#This Row],[Account Withdrawl Amount]], )</f>
        <v>0</v>
      </c>
      <c r="L403" s="243">
        <f>IF(Table334[[#This Row],[Category]]="Sponsorships",Table334[[#This Row],[Account Deposit Amount]]-Table334[[#This Row],[Account Withdrawl Amount]], )</f>
        <v>0</v>
      </c>
      <c r="M403" s="243">
        <f>IF(Table334[[#This Row],[Category]]="Troop Dues",Table334[[#This Row],[Account Deposit Amount]]-Table334[[#This Row],[Account Withdrawl Amount]], )</f>
        <v>0</v>
      </c>
      <c r="N403" s="243">
        <f>IF(Table334[[#This Row],[Category]]="Other Income",Table334[[#This Row],[Account Deposit Amount]]-Table334[[#This Row],[Account Withdrawl Amount]], )</f>
        <v>0</v>
      </c>
      <c r="O403" s="243">
        <f>IF(Table334[[#This Row],[Category]]="Registration",Table334[[#This Row],[Account Deposit Amount]]-Table334[[#This Row],[Account Withdrawl Amount]], )</f>
        <v>0</v>
      </c>
      <c r="P403" s="243">
        <f>IF(Table334[[#This Row],[Category]]="Insignia",Table334[[#This Row],[Account Deposit Amount]]-Table334[[#This Row],[Account Withdrawl Amount]], )</f>
        <v>0</v>
      </c>
      <c r="Q403" s="243">
        <f>IF(Table334[[#This Row],[Category]]="Activities/Program",Table334[[#This Row],[Account Deposit Amount]]-Table334[[#This Row],[Account Withdrawl Amount]], )</f>
        <v>0</v>
      </c>
      <c r="R403" s="243">
        <f>IF(Table334[[#This Row],[Category]]="Travel",Table334[[#This Row],[Account Deposit Amount]]-Table334[[#This Row],[Account Withdrawl Amount]], )</f>
        <v>0</v>
      </c>
      <c r="S403" s="243">
        <f>IF(Table334[[#This Row],[Category]]="Parties Food &amp; Beverages",Table334[[#This Row],[Account Deposit Amount]]-Table334[[#This Row],[Account Withdrawl Amount]], )</f>
        <v>0</v>
      </c>
      <c r="T403" s="243">
        <f>IF(Table334[[#This Row],[Category]]="Service Projects Donation",Table334[[#This Row],[Account Deposit Amount]]-Table334[[#This Row],[Account Withdrawl Amount]], )</f>
        <v>0</v>
      </c>
      <c r="U403" s="243">
        <f>IF(Table334[[#This Row],[Category]]="Cookie Debt",Table334[[#This Row],[Account Deposit Amount]]-Table334[[#This Row],[Account Withdrawl Amount]], )</f>
        <v>0</v>
      </c>
      <c r="V403" s="243">
        <f>IF(Table334[[#This Row],[Category]]="Other Expense",Table334[[#This Row],[Account Deposit Amount]]-Table334[[#This Row],[Account Withdrawl Amount]], )</f>
        <v>0</v>
      </c>
    </row>
    <row r="404" spans="1:22">
      <c r="A404" s="225"/>
      <c r="B404" s="241"/>
      <c r="C404" s="225"/>
      <c r="D404" s="225"/>
      <c r="E404" s="242"/>
      <c r="F404" s="242"/>
      <c r="G404" s="243">
        <f t="shared" si="9"/>
        <v>2518.9699999999939</v>
      </c>
      <c r="H404" s="225"/>
      <c r="I404" s="243">
        <f>IF(Table334[[#This Row],[Category]]="Fall Product",Table334[[#This Row],[Account Deposit Amount]]-Table334[[#This Row],[Account Withdrawl Amount]], )</f>
        <v>0</v>
      </c>
      <c r="J404" s="243">
        <f>IF(Table334[[#This Row],[Category]]="Cookies",Table334[[#This Row],[Account Deposit Amount]]-Table334[[#This Row],[Account Withdrawl Amount]], )</f>
        <v>0</v>
      </c>
      <c r="K404" s="243">
        <f>IF(Table334[[#This Row],[Category]]="Additional Money Earning Activities",Table334[[#This Row],[Account Deposit Amount]]-Table334[[#This Row],[Account Withdrawl Amount]], )</f>
        <v>0</v>
      </c>
      <c r="L404" s="243">
        <f>IF(Table334[[#This Row],[Category]]="Sponsorships",Table334[[#This Row],[Account Deposit Amount]]-Table334[[#This Row],[Account Withdrawl Amount]], )</f>
        <v>0</v>
      </c>
      <c r="M404" s="243">
        <f>IF(Table334[[#This Row],[Category]]="Troop Dues",Table334[[#This Row],[Account Deposit Amount]]-Table334[[#This Row],[Account Withdrawl Amount]], )</f>
        <v>0</v>
      </c>
      <c r="N404" s="243">
        <f>IF(Table334[[#This Row],[Category]]="Other Income",Table334[[#This Row],[Account Deposit Amount]]-Table334[[#This Row],[Account Withdrawl Amount]], )</f>
        <v>0</v>
      </c>
      <c r="O404" s="243">
        <f>IF(Table334[[#This Row],[Category]]="Registration",Table334[[#This Row],[Account Deposit Amount]]-Table334[[#This Row],[Account Withdrawl Amount]], )</f>
        <v>0</v>
      </c>
      <c r="P404" s="243">
        <f>IF(Table334[[#This Row],[Category]]="Insignia",Table334[[#This Row],[Account Deposit Amount]]-Table334[[#This Row],[Account Withdrawl Amount]], )</f>
        <v>0</v>
      </c>
      <c r="Q404" s="243">
        <f>IF(Table334[[#This Row],[Category]]="Activities/Program",Table334[[#This Row],[Account Deposit Amount]]-Table334[[#This Row],[Account Withdrawl Amount]], )</f>
        <v>0</v>
      </c>
      <c r="R404" s="243">
        <f>IF(Table334[[#This Row],[Category]]="Travel",Table334[[#This Row],[Account Deposit Amount]]-Table334[[#This Row],[Account Withdrawl Amount]], )</f>
        <v>0</v>
      </c>
      <c r="S404" s="243">
        <f>IF(Table334[[#This Row],[Category]]="Parties Food &amp; Beverages",Table334[[#This Row],[Account Deposit Amount]]-Table334[[#This Row],[Account Withdrawl Amount]], )</f>
        <v>0</v>
      </c>
      <c r="T404" s="243">
        <f>IF(Table334[[#This Row],[Category]]="Service Projects Donation",Table334[[#This Row],[Account Deposit Amount]]-Table334[[#This Row],[Account Withdrawl Amount]], )</f>
        <v>0</v>
      </c>
      <c r="U404" s="243">
        <f>IF(Table334[[#This Row],[Category]]="Cookie Debt",Table334[[#This Row],[Account Deposit Amount]]-Table334[[#This Row],[Account Withdrawl Amount]], )</f>
        <v>0</v>
      </c>
      <c r="V404" s="243">
        <f>IF(Table334[[#This Row],[Category]]="Other Expense",Table334[[#This Row],[Account Deposit Amount]]-Table334[[#This Row],[Account Withdrawl Amount]], )</f>
        <v>0</v>
      </c>
    </row>
    <row r="405" spans="1:22">
      <c r="A405" s="225"/>
      <c r="B405" s="241"/>
      <c r="C405" s="225"/>
      <c r="D405" s="225"/>
      <c r="E405" s="242"/>
      <c r="F405" s="242"/>
      <c r="G405" s="243">
        <f t="shared" si="9"/>
        <v>2518.9699999999939</v>
      </c>
      <c r="H405" s="225"/>
      <c r="I405" s="243">
        <f>IF(Table334[[#This Row],[Category]]="Fall Product",Table334[[#This Row],[Account Deposit Amount]]-Table334[[#This Row],[Account Withdrawl Amount]], )</f>
        <v>0</v>
      </c>
      <c r="J405" s="243">
        <f>IF(Table334[[#This Row],[Category]]="Cookies",Table334[[#This Row],[Account Deposit Amount]]-Table334[[#This Row],[Account Withdrawl Amount]], )</f>
        <v>0</v>
      </c>
      <c r="K405" s="243">
        <f>IF(Table334[[#This Row],[Category]]="Additional Money Earning Activities",Table334[[#This Row],[Account Deposit Amount]]-Table334[[#This Row],[Account Withdrawl Amount]], )</f>
        <v>0</v>
      </c>
      <c r="L405" s="243">
        <f>IF(Table334[[#This Row],[Category]]="Sponsorships",Table334[[#This Row],[Account Deposit Amount]]-Table334[[#This Row],[Account Withdrawl Amount]], )</f>
        <v>0</v>
      </c>
      <c r="M405" s="243">
        <f>IF(Table334[[#This Row],[Category]]="Troop Dues",Table334[[#This Row],[Account Deposit Amount]]-Table334[[#This Row],[Account Withdrawl Amount]], )</f>
        <v>0</v>
      </c>
      <c r="N405" s="243">
        <f>IF(Table334[[#This Row],[Category]]="Other Income",Table334[[#This Row],[Account Deposit Amount]]-Table334[[#This Row],[Account Withdrawl Amount]], )</f>
        <v>0</v>
      </c>
      <c r="O405" s="243">
        <f>IF(Table334[[#This Row],[Category]]="Registration",Table334[[#This Row],[Account Deposit Amount]]-Table334[[#This Row],[Account Withdrawl Amount]], )</f>
        <v>0</v>
      </c>
      <c r="P405" s="243">
        <f>IF(Table334[[#This Row],[Category]]="Insignia",Table334[[#This Row],[Account Deposit Amount]]-Table334[[#This Row],[Account Withdrawl Amount]], )</f>
        <v>0</v>
      </c>
      <c r="Q405" s="243">
        <f>IF(Table334[[#This Row],[Category]]="Activities/Program",Table334[[#This Row],[Account Deposit Amount]]-Table334[[#This Row],[Account Withdrawl Amount]], )</f>
        <v>0</v>
      </c>
      <c r="R405" s="243">
        <f>IF(Table334[[#This Row],[Category]]="Travel",Table334[[#This Row],[Account Deposit Amount]]-Table334[[#This Row],[Account Withdrawl Amount]], )</f>
        <v>0</v>
      </c>
      <c r="S405" s="243">
        <f>IF(Table334[[#This Row],[Category]]="Parties Food &amp; Beverages",Table334[[#This Row],[Account Deposit Amount]]-Table334[[#This Row],[Account Withdrawl Amount]], )</f>
        <v>0</v>
      </c>
      <c r="T405" s="243">
        <f>IF(Table334[[#This Row],[Category]]="Service Projects Donation",Table334[[#This Row],[Account Deposit Amount]]-Table334[[#This Row],[Account Withdrawl Amount]], )</f>
        <v>0</v>
      </c>
      <c r="U405" s="243">
        <f>IF(Table334[[#This Row],[Category]]="Cookie Debt",Table334[[#This Row],[Account Deposit Amount]]-Table334[[#This Row],[Account Withdrawl Amount]], )</f>
        <v>0</v>
      </c>
      <c r="V405" s="243">
        <f>IF(Table334[[#This Row],[Category]]="Other Expense",Table334[[#This Row],[Account Deposit Amount]]-Table334[[#This Row],[Account Withdrawl Amount]], )</f>
        <v>0</v>
      </c>
    </row>
    <row r="406" spans="1:22">
      <c r="A406" s="225"/>
      <c r="B406" s="241"/>
      <c r="C406" s="225"/>
      <c r="D406" s="225"/>
      <c r="E406" s="242"/>
      <c r="F406" s="242"/>
      <c r="G406" s="243">
        <f t="shared" si="9"/>
        <v>2518.9699999999939</v>
      </c>
      <c r="H406" s="225"/>
      <c r="I406" s="243">
        <f>IF(Table334[[#This Row],[Category]]="Fall Product",Table334[[#This Row],[Account Deposit Amount]]-Table334[[#This Row],[Account Withdrawl Amount]], )</f>
        <v>0</v>
      </c>
      <c r="J406" s="243">
        <f>IF(Table334[[#This Row],[Category]]="Cookies",Table334[[#This Row],[Account Deposit Amount]]-Table334[[#This Row],[Account Withdrawl Amount]], )</f>
        <v>0</v>
      </c>
      <c r="K406" s="243">
        <f>IF(Table334[[#This Row],[Category]]="Additional Money Earning Activities",Table334[[#This Row],[Account Deposit Amount]]-Table334[[#This Row],[Account Withdrawl Amount]], )</f>
        <v>0</v>
      </c>
      <c r="L406" s="243">
        <f>IF(Table334[[#This Row],[Category]]="Sponsorships",Table334[[#This Row],[Account Deposit Amount]]-Table334[[#This Row],[Account Withdrawl Amount]], )</f>
        <v>0</v>
      </c>
      <c r="M406" s="243">
        <f>IF(Table334[[#This Row],[Category]]="Troop Dues",Table334[[#This Row],[Account Deposit Amount]]-Table334[[#This Row],[Account Withdrawl Amount]], )</f>
        <v>0</v>
      </c>
      <c r="N406" s="243">
        <f>IF(Table334[[#This Row],[Category]]="Other Income",Table334[[#This Row],[Account Deposit Amount]]-Table334[[#This Row],[Account Withdrawl Amount]], )</f>
        <v>0</v>
      </c>
      <c r="O406" s="243">
        <f>IF(Table334[[#This Row],[Category]]="Registration",Table334[[#This Row],[Account Deposit Amount]]-Table334[[#This Row],[Account Withdrawl Amount]], )</f>
        <v>0</v>
      </c>
      <c r="P406" s="243">
        <f>IF(Table334[[#This Row],[Category]]="Insignia",Table334[[#This Row],[Account Deposit Amount]]-Table334[[#This Row],[Account Withdrawl Amount]], )</f>
        <v>0</v>
      </c>
      <c r="Q406" s="243">
        <f>IF(Table334[[#This Row],[Category]]="Activities/Program",Table334[[#This Row],[Account Deposit Amount]]-Table334[[#This Row],[Account Withdrawl Amount]], )</f>
        <v>0</v>
      </c>
      <c r="R406" s="243">
        <f>IF(Table334[[#This Row],[Category]]="Travel",Table334[[#This Row],[Account Deposit Amount]]-Table334[[#This Row],[Account Withdrawl Amount]], )</f>
        <v>0</v>
      </c>
      <c r="S406" s="243">
        <f>IF(Table334[[#This Row],[Category]]="Parties Food &amp; Beverages",Table334[[#This Row],[Account Deposit Amount]]-Table334[[#This Row],[Account Withdrawl Amount]], )</f>
        <v>0</v>
      </c>
      <c r="T406" s="243">
        <f>IF(Table334[[#This Row],[Category]]="Service Projects Donation",Table334[[#This Row],[Account Deposit Amount]]-Table334[[#This Row],[Account Withdrawl Amount]], )</f>
        <v>0</v>
      </c>
      <c r="U406" s="243">
        <f>IF(Table334[[#This Row],[Category]]="Cookie Debt",Table334[[#This Row],[Account Deposit Amount]]-Table334[[#This Row],[Account Withdrawl Amount]], )</f>
        <v>0</v>
      </c>
      <c r="V406" s="243">
        <f>IF(Table334[[#This Row],[Category]]="Other Expense",Table334[[#This Row],[Account Deposit Amount]]-Table334[[#This Row],[Account Withdrawl Amount]], )</f>
        <v>0</v>
      </c>
    </row>
    <row r="407" spans="1:22">
      <c r="A407" s="225"/>
      <c r="B407" s="241"/>
      <c r="C407" s="225"/>
      <c r="D407" s="225"/>
      <c r="E407" s="242"/>
      <c r="F407" s="242"/>
      <c r="G407" s="243">
        <f t="shared" si="9"/>
        <v>2518.9699999999939</v>
      </c>
      <c r="H407" s="225"/>
      <c r="I407" s="243">
        <f>IF(Table334[[#This Row],[Category]]="Fall Product",Table334[[#This Row],[Account Deposit Amount]]-Table334[[#This Row],[Account Withdrawl Amount]], )</f>
        <v>0</v>
      </c>
      <c r="J407" s="243">
        <f>IF(Table334[[#This Row],[Category]]="Cookies",Table334[[#This Row],[Account Deposit Amount]]-Table334[[#This Row],[Account Withdrawl Amount]], )</f>
        <v>0</v>
      </c>
      <c r="K407" s="243">
        <f>IF(Table334[[#This Row],[Category]]="Additional Money Earning Activities",Table334[[#This Row],[Account Deposit Amount]]-Table334[[#This Row],[Account Withdrawl Amount]], )</f>
        <v>0</v>
      </c>
      <c r="L407" s="243">
        <f>IF(Table334[[#This Row],[Category]]="Sponsorships",Table334[[#This Row],[Account Deposit Amount]]-Table334[[#This Row],[Account Withdrawl Amount]], )</f>
        <v>0</v>
      </c>
      <c r="M407" s="243">
        <f>IF(Table334[[#This Row],[Category]]="Troop Dues",Table334[[#This Row],[Account Deposit Amount]]-Table334[[#This Row],[Account Withdrawl Amount]], )</f>
        <v>0</v>
      </c>
      <c r="N407" s="243">
        <f>IF(Table334[[#This Row],[Category]]="Other Income",Table334[[#This Row],[Account Deposit Amount]]-Table334[[#This Row],[Account Withdrawl Amount]], )</f>
        <v>0</v>
      </c>
      <c r="O407" s="243">
        <f>IF(Table334[[#This Row],[Category]]="Registration",Table334[[#This Row],[Account Deposit Amount]]-Table334[[#This Row],[Account Withdrawl Amount]], )</f>
        <v>0</v>
      </c>
      <c r="P407" s="243">
        <f>IF(Table334[[#This Row],[Category]]="Insignia",Table334[[#This Row],[Account Deposit Amount]]-Table334[[#This Row],[Account Withdrawl Amount]], )</f>
        <v>0</v>
      </c>
      <c r="Q407" s="243">
        <f>IF(Table334[[#This Row],[Category]]="Activities/Program",Table334[[#This Row],[Account Deposit Amount]]-Table334[[#This Row],[Account Withdrawl Amount]], )</f>
        <v>0</v>
      </c>
      <c r="R407" s="243">
        <f>IF(Table334[[#This Row],[Category]]="Travel",Table334[[#This Row],[Account Deposit Amount]]-Table334[[#This Row],[Account Withdrawl Amount]], )</f>
        <v>0</v>
      </c>
      <c r="S407" s="243">
        <f>IF(Table334[[#This Row],[Category]]="Parties Food &amp; Beverages",Table334[[#This Row],[Account Deposit Amount]]-Table334[[#This Row],[Account Withdrawl Amount]], )</f>
        <v>0</v>
      </c>
      <c r="T407" s="243">
        <f>IF(Table334[[#This Row],[Category]]="Service Projects Donation",Table334[[#This Row],[Account Deposit Amount]]-Table334[[#This Row],[Account Withdrawl Amount]], )</f>
        <v>0</v>
      </c>
      <c r="U407" s="243">
        <f>IF(Table334[[#This Row],[Category]]="Cookie Debt",Table334[[#This Row],[Account Deposit Amount]]-Table334[[#This Row],[Account Withdrawl Amount]], )</f>
        <v>0</v>
      </c>
      <c r="V407" s="243">
        <f>IF(Table334[[#This Row],[Category]]="Other Expense",Table334[[#This Row],[Account Deposit Amount]]-Table334[[#This Row],[Account Withdrawl Amount]], )</f>
        <v>0</v>
      </c>
    </row>
    <row r="408" spans="1:22">
      <c r="A408" s="225"/>
      <c r="B408" s="241"/>
      <c r="C408" s="225"/>
      <c r="D408" s="225"/>
      <c r="E408" s="242"/>
      <c r="F408" s="242"/>
      <c r="G408" s="243">
        <f t="shared" si="9"/>
        <v>2518.9699999999939</v>
      </c>
      <c r="H408" s="225"/>
      <c r="I408" s="243">
        <f>IF(Table334[[#This Row],[Category]]="Fall Product",Table334[[#This Row],[Account Deposit Amount]]-Table334[[#This Row],[Account Withdrawl Amount]], )</f>
        <v>0</v>
      </c>
      <c r="J408" s="243">
        <f>IF(Table334[[#This Row],[Category]]="Cookies",Table334[[#This Row],[Account Deposit Amount]]-Table334[[#This Row],[Account Withdrawl Amount]], )</f>
        <v>0</v>
      </c>
      <c r="K408" s="243">
        <f>IF(Table334[[#This Row],[Category]]="Additional Money Earning Activities",Table334[[#This Row],[Account Deposit Amount]]-Table334[[#This Row],[Account Withdrawl Amount]], )</f>
        <v>0</v>
      </c>
      <c r="L408" s="243">
        <f>IF(Table334[[#This Row],[Category]]="Sponsorships",Table334[[#This Row],[Account Deposit Amount]]-Table334[[#This Row],[Account Withdrawl Amount]], )</f>
        <v>0</v>
      </c>
      <c r="M408" s="243">
        <f>IF(Table334[[#This Row],[Category]]="Troop Dues",Table334[[#This Row],[Account Deposit Amount]]-Table334[[#This Row],[Account Withdrawl Amount]], )</f>
        <v>0</v>
      </c>
      <c r="N408" s="243">
        <f>IF(Table334[[#This Row],[Category]]="Other Income",Table334[[#This Row],[Account Deposit Amount]]-Table334[[#This Row],[Account Withdrawl Amount]], )</f>
        <v>0</v>
      </c>
      <c r="O408" s="243">
        <f>IF(Table334[[#This Row],[Category]]="Registration",Table334[[#This Row],[Account Deposit Amount]]-Table334[[#This Row],[Account Withdrawl Amount]], )</f>
        <v>0</v>
      </c>
      <c r="P408" s="243">
        <f>IF(Table334[[#This Row],[Category]]="Insignia",Table334[[#This Row],[Account Deposit Amount]]-Table334[[#This Row],[Account Withdrawl Amount]], )</f>
        <v>0</v>
      </c>
      <c r="Q408" s="243">
        <f>IF(Table334[[#This Row],[Category]]="Activities/Program",Table334[[#This Row],[Account Deposit Amount]]-Table334[[#This Row],[Account Withdrawl Amount]], )</f>
        <v>0</v>
      </c>
      <c r="R408" s="243">
        <f>IF(Table334[[#This Row],[Category]]="Travel",Table334[[#This Row],[Account Deposit Amount]]-Table334[[#This Row],[Account Withdrawl Amount]], )</f>
        <v>0</v>
      </c>
      <c r="S408" s="243">
        <f>IF(Table334[[#This Row],[Category]]="Parties Food &amp; Beverages",Table334[[#This Row],[Account Deposit Amount]]-Table334[[#This Row],[Account Withdrawl Amount]], )</f>
        <v>0</v>
      </c>
      <c r="T408" s="243">
        <f>IF(Table334[[#This Row],[Category]]="Service Projects Donation",Table334[[#This Row],[Account Deposit Amount]]-Table334[[#This Row],[Account Withdrawl Amount]], )</f>
        <v>0</v>
      </c>
      <c r="U408" s="243">
        <f>IF(Table334[[#This Row],[Category]]="Cookie Debt",Table334[[#This Row],[Account Deposit Amount]]-Table334[[#This Row],[Account Withdrawl Amount]], )</f>
        <v>0</v>
      </c>
      <c r="V408" s="243">
        <f>IF(Table334[[#This Row],[Category]]="Other Expense",Table334[[#This Row],[Account Deposit Amount]]-Table334[[#This Row],[Account Withdrawl Amount]], )</f>
        <v>0</v>
      </c>
    </row>
    <row r="409" spans="1:22">
      <c r="A409" s="225"/>
      <c r="B409" s="241"/>
      <c r="C409" s="225"/>
      <c r="D409" s="225"/>
      <c r="E409" s="242"/>
      <c r="F409" s="242"/>
      <c r="G409" s="243">
        <f t="shared" si="9"/>
        <v>2518.9699999999939</v>
      </c>
      <c r="H409" s="225"/>
      <c r="I409" s="243">
        <f>IF(Table334[[#This Row],[Category]]="Fall Product",Table334[[#This Row],[Account Deposit Amount]]-Table334[[#This Row],[Account Withdrawl Amount]], )</f>
        <v>0</v>
      </c>
      <c r="J409" s="243">
        <f>IF(Table334[[#This Row],[Category]]="Cookies",Table334[[#This Row],[Account Deposit Amount]]-Table334[[#This Row],[Account Withdrawl Amount]], )</f>
        <v>0</v>
      </c>
      <c r="K409" s="243">
        <f>IF(Table334[[#This Row],[Category]]="Additional Money Earning Activities",Table334[[#This Row],[Account Deposit Amount]]-Table334[[#This Row],[Account Withdrawl Amount]], )</f>
        <v>0</v>
      </c>
      <c r="L409" s="243">
        <f>IF(Table334[[#This Row],[Category]]="Sponsorships",Table334[[#This Row],[Account Deposit Amount]]-Table334[[#This Row],[Account Withdrawl Amount]], )</f>
        <v>0</v>
      </c>
      <c r="M409" s="243">
        <f>IF(Table334[[#This Row],[Category]]="Troop Dues",Table334[[#This Row],[Account Deposit Amount]]-Table334[[#This Row],[Account Withdrawl Amount]], )</f>
        <v>0</v>
      </c>
      <c r="N409" s="243">
        <f>IF(Table334[[#This Row],[Category]]="Other Income",Table334[[#This Row],[Account Deposit Amount]]-Table334[[#This Row],[Account Withdrawl Amount]], )</f>
        <v>0</v>
      </c>
      <c r="O409" s="243">
        <f>IF(Table334[[#This Row],[Category]]="Registration",Table334[[#This Row],[Account Deposit Amount]]-Table334[[#This Row],[Account Withdrawl Amount]], )</f>
        <v>0</v>
      </c>
      <c r="P409" s="243">
        <f>IF(Table334[[#This Row],[Category]]="Insignia",Table334[[#This Row],[Account Deposit Amount]]-Table334[[#This Row],[Account Withdrawl Amount]], )</f>
        <v>0</v>
      </c>
      <c r="Q409" s="243">
        <f>IF(Table334[[#This Row],[Category]]="Activities/Program",Table334[[#This Row],[Account Deposit Amount]]-Table334[[#This Row],[Account Withdrawl Amount]], )</f>
        <v>0</v>
      </c>
      <c r="R409" s="243">
        <f>IF(Table334[[#This Row],[Category]]="Travel",Table334[[#This Row],[Account Deposit Amount]]-Table334[[#This Row],[Account Withdrawl Amount]], )</f>
        <v>0</v>
      </c>
      <c r="S409" s="243">
        <f>IF(Table334[[#This Row],[Category]]="Parties Food &amp; Beverages",Table334[[#This Row],[Account Deposit Amount]]-Table334[[#This Row],[Account Withdrawl Amount]], )</f>
        <v>0</v>
      </c>
      <c r="T409" s="243">
        <f>IF(Table334[[#This Row],[Category]]="Service Projects Donation",Table334[[#This Row],[Account Deposit Amount]]-Table334[[#This Row],[Account Withdrawl Amount]], )</f>
        <v>0</v>
      </c>
      <c r="U409" s="243">
        <f>IF(Table334[[#This Row],[Category]]="Cookie Debt",Table334[[#This Row],[Account Deposit Amount]]-Table334[[#This Row],[Account Withdrawl Amount]], )</f>
        <v>0</v>
      </c>
      <c r="V409" s="243">
        <f>IF(Table334[[#This Row],[Category]]="Other Expense",Table334[[#This Row],[Account Deposit Amount]]-Table334[[#This Row],[Account Withdrawl Amount]], )</f>
        <v>0</v>
      </c>
    </row>
    <row r="410" spans="1:22">
      <c r="A410" s="225"/>
      <c r="B410" s="241"/>
      <c r="C410" s="225"/>
      <c r="D410" s="225"/>
      <c r="E410" s="242"/>
      <c r="F410" s="242"/>
      <c r="G410" s="243">
        <f t="shared" si="9"/>
        <v>2518.9699999999939</v>
      </c>
      <c r="H410" s="225"/>
      <c r="I410" s="243">
        <f>IF(Table334[[#This Row],[Category]]="Fall Product",Table334[[#This Row],[Account Deposit Amount]]-Table334[[#This Row],[Account Withdrawl Amount]], )</f>
        <v>0</v>
      </c>
      <c r="J410" s="243">
        <f>IF(Table334[[#This Row],[Category]]="Cookies",Table334[[#This Row],[Account Deposit Amount]]-Table334[[#This Row],[Account Withdrawl Amount]], )</f>
        <v>0</v>
      </c>
      <c r="K410" s="243">
        <f>IF(Table334[[#This Row],[Category]]="Additional Money Earning Activities",Table334[[#This Row],[Account Deposit Amount]]-Table334[[#This Row],[Account Withdrawl Amount]], )</f>
        <v>0</v>
      </c>
      <c r="L410" s="243">
        <f>IF(Table334[[#This Row],[Category]]="Sponsorships",Table334[[#This Row],[Account Deposit Amount]]-Table334[[#This Row],[Account Withdrawl Amount]], )</f>
        <v>0</v>
      </c>
      <c r="M410" s="243">
        <f>IF(Table334[[#This Row],[Category]]="Troop Dues",Table334[[#This Row],[Account Deposit Amount]]-Table334[[#This Row],[Account Withdrawl Amount]], )</f>
        <v>0</v>
      </c>
      <c r="N410" s="243">
        <f>IF(Table334[[#This Row],[Category]]="Other Income",Table334[[#This Row],[Account Deposit Amount]]-Table334[[#This Row],[Account Withdrawl Amount]], )</f>
        <v>0</v>
      </c>
      <c r="O410" s="243">
        <f>IF(Table334[[#This Row],[Category]]="Registration",Table334[[#This Row],[Account Deposit Amount]]-Table334[[#This Row],[Account Withdrawl Amount]], )</f>
        <v>0</v>
      </c>
      <c r="P410" s="243">
        <f>IF(Table334[[#This Row],[Category]]="Insignia",Table334[[#This Row],[Account Deposit Amount]]-Table334[[#This Row],[Account Withdrawl Amount]], )</f>
        <v>0</v>
      </c>
      <c r="Q410" s="243">
        <f>IF(Table334[[#This Row],[Category]]="Activities/Program",Table334[[#This Row],[Account Deposit Amount]]-Table334[[#This Row],[Account Withdrawl Amount]], )</f>
        <v>0</v>
      </c>
      <c r="R410" s="243">
        <f>IF(Table334[[#This Row],[Category]]="Travel",Table334[[#This Row],[Account Deposit Amount]]-Table334[[#This Row],[Account Withdrawl Amount]], )</f>
        <v>0</v>
      </c>
      <c r="S410" s="243">
        <f>IF(Table334[[#This Row],[Category]]="Parties Food &amp; Beverages",Table334[[#This Row],[Account Deposit Amount]]-Table334[[#This Row],[Account Withdrawl Amount]], )</f>
        <v>0</v>
      </c>
      <c r="T410" s="243">
        <f>IF(Table334[[#This Row],[Category]]="Service Projects Donation",Table334[[#This Row],[Account Deposit Amount]]-Table334[[#This Row],[Account Withdrawl Amount]], )</f>
        <v>0</v>
      </c>
      <c r="U410" s="243">
        <f>IF(Table334[[#This Row],[Category]]="Cookie Debt",Table334[[#This Row],[Account Deposit Amount]]-Table334[[#This Row],[Account Withdrawl Amount]], )</f>
        <v>0</v>
      </c>
      <c r="V410" s="243">
        <f>IF(Table334[[#This Row],[Category]]="Other Expense",Table334[[#This Row],[Account Deposit Amount]]-Table334[[#This Row],[Account Withdrawl Amount]], )</f>
        <v>0</v>
      </c>
    </row>
    <row r="411" spans="1:22">
      <c r="A411" s="225"/>
      <c r="B411" s="241"/>
      <c r="C411" s="225"/>
      <c r="D411" s="225"/>
      <c r="E411" s="242"/>
      <c r="F411" s="242"/>
      <c r="G411" s="243">
        <f t="shared" si="9"/>
        <v>2518.9699999999939</v>
      </c>
      <c r="H411" s="225"/>
      <c r="I411" s="243">
        <f>IF(Table334[[#This Row],[Category]]="Fall Product",Table334[[#This Row],[Account Deposit Amount]]-Table334[[#This Row],[Account Withdrawl Amount]], )</f>
        <v>0</v>
      </c>
      <c r="J411" s="243">
        <f>IF(Table334[[#This Row],[Category]]="Cookies",Table334[[#This Row],[Account Deposit Amount]]-Table334[[#This Row],[Account Withdrawl Amount]], )</f>
        <v>0</v>
      </c>
      <c r="K411" s="243">
        <f>IF(Table334[[#This Row],[Category]]="Additional Money Earning Activities",Table334[[#This Row],[Account Deposit Amount]]-Table334[[#This Row],[Account Withdrawl Amount]], )</f>
        <v>0</v>
      </c>
      <c r="L411" s="243">
        <f>IF(Table334[[#This Row],[Category]]="Sponsorships",Table334[[#This Row],[Account Deposit Amount]]-Table334[[#This Row],[Account Withdrawl Amount]], )</f>
        <v>0</v>
      </c>
      <c r="M411" s="243">
        <f>IF(Table334[[#This Row],[Category]]="Troop Dues",Table334[[#This Row],[Account Deposit Amount]]-Table334[[#This Row],[Account Withdrawl Amount]], )</f>
        <v>0</v>
      </c>
      <c r="N411" s="243">
        <f>IF(Table334[[#This Row],[Category]]="Other Income",Table334[[#This Row],[Account Deposit Amount]]-Table334[[#This Row],[Account Withdrawl Amount]], )</f>
        <v>0</v>
      </c>
      <c r="O411" s="243">
        <f>IF(Table334[[#This Row],[Category]]="Registration",Table334[[#This Row],[Account Deposit Amount]]-Table334[[#This Row],[Account Withdrawl Amount]], )</f>
        <v>0</v>
      </c>
      <c r="P411" s="243">
        <f>IF(Table334[[#This Row],[Category]]="Insignia",Table334[[#This Row],[Account Deposit Amount]]-Table334[[#This Row],[Account Withdrawl Amount]], )</f>
        <v>0</v>
      </c>
      <c r="Q411" s="243">
        <f>IF(Table334[[#This Row],[Category]]="Activities/Program",Table334[[#This Row],[Account Deposit Amount]]-Table334[[#This Row],[Account Withdrawl Amount]], )</f>
        <v>0</v>
      </c>
      <c r="R411" s="243">
        <f>IF(Table334[[#This Row],[Category]]="Travel",Table334[[#This Row],[Account Deposit Amount]]-Table334[[#This Row],[Account Withdrawl Amount]], )</f>
        <v>0</v>
      </c>
      <c r="S411" s="243">
        <f>IF(Table334[[#This Row],[Category]]="Parties Food &amp; Beverages",Table334[[#This Row],[Account Deposit Amount]]-Table334[[#This Row],[Account Withdrawl Amount]], )</f>
        <v>0</v>
      </c>
      <c r="T411" s="243">
        <f>IF(Table334[[#This Row],[Category]]="Service Projects Donation",Table334[[#This Row],[Account Deposit Amount]]-Table334[[#This Row],[Account Withdrawl Amount]], )</f>
        <v>0</v>
      </c>
      <c r="U411" s="243">
        <f>IF(Table334[[#This Row],[Category]]="Cookie Debt",Table334[[#This Row],[Account Deposit Amount]]-Table334[[#This Row],[Account Withdrawl Amount]], )</f>
        <v>0</v>
      </c>
      <c r="V411" s="243">
        <f>IF(Table334[[#This Row],[Category]]="Other Expense",Table334[[#This Row],[Account Deposit Amount]]-Table334[[#This Row],[Account Withdrawl Amount]], )</f>
        <v>0</v>
      </c>
    </row>
    <row r="412" spans="1:22">
      <c r="A412" s="225"/>
      <c r="B412" s="241"/>
      <c r="C412" s="225"/>
      <c r="D412" s="225"/>
      <c r="E412" s="242"/>
      <c r="F412" s="242"/>
      <c r="G412" s="243">
        <f t="shared" si="9"/>
        <v>2518.9699999999939</v>
      </c>
      <c r="H412" s="225"/>
      <c r="I412" s="243">
        <f>IF(Table334[[#This Row],[Category]]="Fall Product",Table334[[#This Row],[Account Deposit Amount]]-Table334[[#This Row],[Account Withdrawl Amount]], )</f>
        <v>0</v>
      </c>
      <c r="J412" s="243">
        <f>IF(Table334[[#This Row],[Category]]="Cookies",Table334[[#This Row],[Account Deposit Amount]]-Table334[[#This Row],[Account Withdrawl Amount]], )</f>
        <v>0</v>
      </c>
      <c r="K412" s="243">
        <f>IF(Table334[[#This Row],[Category]]="Additional Money Earning Activities",Table334[[#This Row],[Account Deposit Amount]]-Table334[[#This Row],[Account Withdrawl Amount]], )</f>
        <v>0</v>
      </c>
      <c r="L412" s="243">
        <f>IF(Table334[[#This Row],[Category]]="Sponsorships",Table334[[#This Row],[Account Deposit Amount]]-Table334[[#This Row],[Account Withdrawl Amount]], )</f>
        <v>0</v>
      </c>
      <c r="M412" s="243">
        <f>IF(Table334[[#This Row],[Category]]="Troop Dues",Table334[[#This Row],[Account Deposit Amount]]-Table334[[#This Row],[Account Withdrawl Amount]], )</f>
        <v>0</v>
      </c>
      <c r="N412" s="243">
        <f>IF(Table334[[#This Row],[Category]]="Other Income",Table334[[#This Row],[Account Deposit Amount]]-Table334[[#This Row],[Account Withdrawl Amount]], )</f>
        <v>0</v>
      </c>
      <c r="O412" s="243">
        <f>IF(Table334[[#This Row],[Category]]="Registration",Table334[[#This Row],[Account Deposit Amount]]-Table334[[#This Row],[Account Withdrawl Amount]], )</f>
        <v>0</v>
      </c>
      <c r="P412" s="243">
        <f>IF(Table334[[#This Row],[Category]]="Insignia",Table334[[#This Row],[Account Deposit Amount]]-Table334[[#This Row],[Account Withdrawl Amount]], )</f>
        <v>0</v>
      </c>
      <c r="Q412" s="243">
        <f>IF(Table334[[#This Row],[Category]]="Activities/Program",Table334[[#This Row],[Account Deposit Amount]]-Table334[[#This Row],[Account Withdrawl Amount]], )</f>
        <v>0</v>
      </c>
      <c r="R412" s="243">
        <f>IF(Table334[[#This Row],[Category]]="Travel",Table334[[#This Row],[Account Deposit Amount]]-Table334[[#This Row],[Account Withdrawl Amount]], )</f>
        <v>0</v>
      </c>
      <c r="S412" s="243">
        <f>IF(Table334[[#This Row],[Category]]="Parties Food &amp; Beverages",Table334[[#This Row],[Account Deposit Amount]]-Table334[[#This Row],[Account Withdrawl Amount]], )</f>
        <v>0</v>
      </c>
      <c r="T412" s="243">
        <f>IF(Table334[[#This Row],[Category]]="Service Projects Donation",Table334[[#This Row],[Account Deposit Amount]]-Table334[[#This Row],[Account Withdrawl Amount]], )</f>
        <v>0</v>
      </c>
      <c r="U412" s="243">
        <f>IF(Table334[[#This Row],[Category]]="Cookie Debt",Table334[[#This Row],[Account Deposit Amount]]-Table334[[#This Row],[Account Withdrawl Amount]], )</f>
        <v>0</v>
      </c>
      <c r="V412" s="243">
        <f>IF(Table334[[#This Row],[Category]]="Other Expense",Table334[[#This Row],[Account Deposit Amount]]-Table334[[#This Row],[Account Withdrawl Amount]], )</f>
        <v>0</v>
      </c>
    </row>
    <row r="413" spans="1:22">
      <c r="A413" s="225"/>
      <c r="B413" s="241"/>
      <c r="C413" s="225"/>
      <c r="D413" s="225"/>
      <c r="E413" s="242"/>
      <c r="F413" s="242"/>
      <c r="G413" s="243">
        <f t="shared" si="9"/>
        <v>2518.9699999999939</v>
      </c>
      <c r="H413" s="225"/>
      <c r="I413" s="243">
        <f>IF(Table334[[#This Row],[Category]]="Fall Product",Table334[[#This Row],[Account Deposit Amount]]-Table334[[#This Row],[Account Withdrawl Amount]], )</f>
        <v>0</v>
      </c>
      <c r="J413" s="243">
        <f>IF(Table334[[#This Row],[Category]]="Cookies",Table334[[#This Row],[Account Deposit Amount]]-Table334[[#This Row],[Account Withdrawl Amount]], )</f>
        <v>0</v>
      </c>
      <c r="K413" s="243">
        <f>IF(Table334[[#This Row],[Category]]="Additional Money Earning Activities",Table334[[#This Row],[Account Deposit Amount]]-Table334[[#This Row],[Account Withdrawl Amount]], )</f>
        <v>0</v>
      </c>
      <c r="L413" s="243">
        <f>IF(Table334[[#This Row],[Category]]="Sponsorships",Table334[[#This Row],[Account Deposit Amount]]-Table334[[#This Row],[Account Withdrawl Amount]], )</f>
        <v>0</v>
      </c>
      <c r="M413" s="243">
        <f>IF(Table334[[#This Row],[Category]]="Troop Dues",Table334[[#This Row],[Account Deposit Amount]]-Table334[[#This Row],[Account Withdrawl Amount]], )</f>
        <v>0</v>
      </c>
      <c r="N413" s="243">
        <f>IF(Table334[[#This Row],[Category]]="Other Income",Table334[[#This Row],[Account Deposit Amount]]-Table334[[#This Row],[Account Withdrawl Amount]], )</f>
        <v>0</v>
      </c>
      <c r="O413" s="243">
        <f>IF(Table334[[#This Row],[Category]]="Registration",Table334[[#This Row],[Account Deposit Amount]]-Table334[[#This Row],[Account Withdrawl Amount]], )</f>
        <v>0</v>
      </c>
      <c r="P413" s="243">
        <f>IF(Table334[[#This Row],[Category]]="Insignia",Table334[[#This Row],[Account Deposit Amount]]-Table334[[#This Row],[Account Withdrawl Amount]], )</f>
        <v>0</v>
      </c>
      <c r="Q413" s="243">
        <f>IF(Table334[[#This Row],[Category]]="Activities/Program",Table334[[#This Row],[Account Deposit Amount]]-Table334[[#This Row],[Account Withdrawl Amount]], )</f>
        <v>0</v>
      </c>
      <c r="R413" s="243">
        <f>IF(Table334[[#This Row],[Category]]="Travel",Table334[[#This Row],[Account Deposit Amount]]-Table334[[#This Row],[Account Withdrawl Amount]], )</f>
        <v>0</v>
      </c>
      <c r="S413" s="243">
        <f>IF(Table334[[#This Row],[Category]]="Parties Food &amp; Beverages",Table334[[#This Row],[Account Deposit Amount]]-Table334[[#This Row],[Account Withdrawl Amount]], )</f>
        <v>0</v>
      </c>
      <c r="T413" s="243">
        <f>IF(Table334[[#This Row],[Category]]="Service Projects Donation",Table334[[#This Row],[Account Deposit Amount]]-Table334[[#This Row],[Account Withdrawl Amount]], )</f>
        <v>0</v>
      </c>
      <c r="U413" s="243">
        <f>IF(Table334[[#This Row],[Category]]="Cookie Debt",Table334[[#This Row],[Account Deposit Amount]]-Table334[[#This Row],[Account Withdrawl Amount]], )</f>
        <v>0</v>
      </c>
      <c r="V413" s="243">
        <f>IF(Table334[[#This Row],[Category]]="Other Expense",Table334[[#This Row],[Account Deposit Amount]]-Table334[[#This Row],[Account Withdrawl Amount]], )</f>
        <v>0</v>
      </c>
    </row>
    <row r="414" spans="1:22">
      <c r="A414" s="225"/>
      <c r="B414" s="241"/>
      <c r="C414" s="225"/>
      <c r="D414" s="225"/>
      <c r="E414" s="242"/>
      <c r="F414" s="242"/>
      <c r="G414" s="243">
        <f t="shared" si="9"/>
        <v>2518.9699999999939</v>
      </c>
      <c r="H414" s="225"/>
      <c r="I414" s="243">
        <f>IF(Table334[[#This Row],[Category]]="Fall Product",Table334[[#This Row],[Account Deposit Amount]]-Table334[[#This Row],[Account Withdrawl Amount]], )</f>
        <v>0</v>
      </c>
      <c r="J414" s="243">
        <f>IF(Table334[[#This Row],[Category]]="Cookies",Table334[[#This Row],[Account Deposit Amount]]-Table334[[#This Row],[Account Withdrawl Amount]], )</f>
        <v>0</v>
      </c>
      <c r="K414" s="243">
        <f>IF(Table334[[#This Row],[Category]]="Additional Money Earning Activities",Table334[[#This Row],[Account Deposit Amount]]-Table334[[#This Row],[Account Withdrawl Amount]], )</f>
        <v>0</v>
      </c>
      <c r="L414" s="243">
        <f>IF(Table334[[#This Row],[Category]]="Sponsorships",Table334[[#This Row],[Account Deposit Amount]]-Table334[[#This Row],[Account Withdrawl Amount]], )</f>
        <v>0</v>
      </c>
      <c r="M414" s="243">
        <f>IF(Table334[[#This Row],[Category]]="Troop Dues",Table334[[#This Row],[Account Deposit Amount]]-Table334[[#This Row],[Account Withdrawl Amount]], )</f>
        <v>0</v>
      </c>
      <c r="N414" s="243">
        <f>IF(Table334[[#This Row],[Category]]="Other Income",Table334[[#This Row],[Account Deposit Amount]]-Table334[[#This Row],[Account Withdrawl Amount]], )</f>
        <v>0</v>
      </c>
      <c r="O414" s="243">
        <f>IF(Table334[[#This Row],[Category]]="Registration",Table334[[#This Row],[Account Deposit Amount]]-Table334[[#This Row],[Account Withdrawl Amount]], )</f>
        <v>0</v>
      </c>
      <c r="P414" s="243">
        <f>IF(Table334[[#This Row],[Category]]="Insignia",Table334[[#This Row],[Account Deposit Amount]]-Table334[[#This Row],[Account Withdrawl Amount]], )</f>
        <v>0</v>
      </c>
      <c r="Q414" s="243">
        <f>IF(Table334[[#This Row],[Category]]="Activities/Program",Table334[[#This Row],[Account Deposit Amount]]-Table334[[#This Row],[Account Withdrawl Amount]], )</f>
        <v>0</v>
      </c>
      <c r="R414" s="243">
        <f>IF(Table334[[#This Row],[Category]]="Travel",Table334[[#This Row],[Account Deposit Amount]]-Table334[[#This Row],[Account Withdrawl Amount]], )</f>
        <v>0</v>
      </c>
      <c r="S414" s="243">
        <f>IF(Table334[[#This Row],[Category]]="Parties Food &amp; Beverages",Table334[[#This Row],[Account Deposit Amount]]-Table334[[#This Row],[Account Withdrawl Amount]], )</f>
        <v>0</v>
      </c>
      <c r="T414" s="243">
        <f>IF(Table334[[#This Row],[Category]]="Service Projects Donation",Table334[[#This Row],[Account Deposit Amount]]-Table334[[#This Row],[Account Withdrawl Amount]], )</f>
        <v>0</v>
      </c>
      <c r="U414" s="243">
        <f>IF(Table334[[#This Row],[Category]]="Cookie Debt",Table334[[#This Row],[Account Deposit Amount]]-Table334[[#This Row],[Account Withdrawl Amount]], )</f>
        <v>0</v>
      </c>
      <c r="V414" s="243">
        <f>IF(Table334[[#This Row],[Category]]="Other Expense",Table334[[#This Row],[Account Deposit Amount]]-Table334[[#This Row],[Account Withdrawl Amount]], )</f>
        <v>0</v>
      </c>
    </row>
    <row r="415" spans="1:22">
      <c r="A415" s="225"/>
      <c r="B415" s="241"/>
      <c r="C415" s="225"/>
      <c r="D415" s="225"/>
      <c r="E415" s="242"/>
      <c r="F415" s="242"/>
      <c r="G415" s="243">
        <f t="shared" si="9"/>
        <v>2518.9699999999939</v>
      </c>
      <c r="H415" s="225"/>
      <c r="I415" s="243">
        <f>IF(Table334[[#This Row],[Category]]="Fall Product",Table334[[#This Row],[Account Deposit Amount]]-Table334[[#This Row],[Account Withdrawl Amount]], )</f>
        <v>0</v>
      </c>
      <c r="J415" s="243">
        <f>IF(Table334[[#This Row],[Category]]="Cookies",Table334[[#This Row],[Account Deposit Amount]]-Table334[[#This Row],[Account Withdrawl Amount]], )</f>
        <v>0</v>
      </c>
      <c r="K415" s="243">
        <f>IF(Table334[[#This Row],[Category]]="Additional Money Earning Activities",Table334[[#This Row],[Account Deposit Amount]]-Table334[[#This Row],[Account Withdrawl Amount]], )</f>
        <v>0</v>
      </c>
      <c r="L415" s="243">
        <f>IF(Table334[[#This Row],[Category]]="Sponsorships",Table334[[#This Row],[Account Deposit Amount]]-Table334[[#This Row],[Account Withdrawl Amount]], )</f>
        <v>0</v>
      </c>
      <c r="M415" s="243">
        <f>IF(Table334[[#This Row],[Category]]="Troop Dues",Table334[[#This Row],[Account Deposit Amount]]-Table334[[#This Row],[Account Withdrawl Amount]], )</f>
        <v>0</v>
      </c>
      <c r="N415" s="243">
        <f>IF(Table334[[#This Row],[Category]]="Other Income",Table334[[#This Row],[Account Deposit Amount]]-Table334[[#This Row],[Account Withdrawl Amount]], )</f>
        <v>0</v>
      </c>
      <c r="O415" s="243">
        <f>IF(Table334[[#This Row],[Category]]="Registration",Table334[[#This Row],[Account Deposit Amount]]-Table334[[#This Row],[Account Withdrawl Amount]], )</f>
        <v>0</v>
      </c>
      <c r="P415" s="243">
        <f>IF(Table334[[#This Row],[Category]]="Insignia",Table334[[#This Row],[Account Deposit Amount]]-Table334[[#This Row],[Account Withdrawl Amount]], )</f>
        <v>0</v>
      </c>
      <c r="Q415" s="243">
        <f>IF(Table334[[#This Row],[Category]]="Activities/Program",Table334[[#This Row],[Account Deposit Amount]]-Table334[[#This Row],[Account Withdrawl Amount]], )</f>
        <v>0</v>
      </c>
      <c r="R415" s="243">
        <f>IF(Table334[[#This Row],[Category]]="Travel",Table334[[#This Row],[Account Deposit Amount]]-Table334[[#This Row],[Account Withdrawl Amount]], )</f>
        <v>0</v>
      </c>
      <c r="S415" s="243">
        <f>IF(Table334[[#This Row],[Category]]="Parties Food &amp; Beverages",Table334[[#This Row],[Account Deposit Amount]]-Table334[[#This Row],[Account Withdrawl Amount]], )</f>
        <v>0</v>
      </c>
      <c r="T415" s="243">
        <f>IF(Table334[[#This Row],[Category]]="Service Projects Donation",Table334[[#This Row],[Account Deposit Amount]]-Table334[[#This Row],[Account Withdrawl Amount]], )</f>
        <v>0</v>
      </c>
      <c r="U415" s="243">
        <f>IF(Table334[[#This Row],[Category]]="Cookie Debt",Table334[[#This Row],[Account Deposit Amount]]-Table334[[#This Row],[Account Withdrawl Amount]], )</f>
        <v>0</v>
      </c>
      <c r="V415" s="243">
        <f>IF(Table334[[#This Row],[Category]]="Other Expense",Table334[[#This Row],[Account Deposit Amount]]-Table334[[#This Row],[Account Withdrawl Amount]], )</f>
        <v>0</v>
      </c>
    </row>
    <row r="416" spans="1:22">
      <c r="A416" s="225"/>
      <c r="B416" s="241"/>
      <c r="C416" s="225"/>
      <c r="D416" s="225"/>
      <c r="E416" s="242"/>
      <c r="F416" s="242"/>
      <c r="G416" s="243">
        <f t="shared" si="9"/>
        <v>2518.9699999999939</v>
      </c>
      <c r="H416" s="225"/>
      <c r="I416" s="243">
        <f>IF(Table334[[#This Row],[Category]]="Fall Product",Table334[[#This Row],[Account Deposit Amount]]-Table334[[#This Row],[Account Withdrawl Amount]], )</f>
        <v>0</v>
      </c>
      <c r="J416" s="243">
        <f>IF(Table334[[#This Row],[Category]]="Cookies",Table334[[#This Row],[Account Deposit Amount]]-Table334[[#This Row],[Account Withdrawl Amount]], )</f>
        <v>0</v>
      </c>
      <c r="K416" s="243">
        <f>IF(Table334[[#This Row],[Category]]="Additional Money Earning Activities",Table334[[#This Row],[Account Deposit Amount]]-Table334[[#This Row],[Account Withdrawl Amount]], )</f>
        <v>0</v>
      </c>
      <c r="L416" s="243">
        <f>IF(Table334[[#This Row],[Category]]="Sponsorships",Table334[[#This Row],[Account Deposit Amount]]-Table334[[#This Row],[Account Withdrawl Amount]], )</f>
        <v>0</v>
      </c>
      <c r="M416" s="243">
        <f>IF(Table334[[#This Row],[Category]]="Troop Dues",Table334[[#This Row],[Account Deposit Amount]]-Table334[[#This Row],[Account Withdrawl Amount]], )</f>
        <v>0</v>
      </c>
      <c r="N416" s="243">
        <f>IF(Table334[[#This Row],[Category]]="Other Income",Table334[[#This Row],[Account Deposit Amount]]-Table334[[#This Row],[Account Withdrawl Amount]], )</f>
        <v>0</v>
      </c>
      <c r="O416" s="243">
        <f>IF(Table334[[#This Row],[Category]]="Registration",Table334[[#This Row],[Account Deposit Amount]]-Table334[[#This Row],[Account Withdrawl Amount]], )</f>
        <v>0</v>
      </c>
      <c r="P416" s="243">
        <f>IF(Table334[[#This Row],[Category]]="Insignia",Table334[[#This Row],[Account Deposit Amount]]-Table334[[#This Row],[Account Withdrawl Amount]], )</f>
        <v>0</v>
      </c>
      <c r="Q416" s="243">
        <f>IF(Table334[[#This Row],[Category]]="Activities/Program",Table334[[#This Row],[Account Deposit Amount]]-Table334[[#This Row],[Account Withdrawl Amount]], )</f>
        <v>0</v>
      </c>
      <c r="R416" s="243">
        <f>IF(Table334[[#This Row],[Category]]="Travel",Table334[[#This Row],[Account Deposit Amount]]-Table334[[#This Row],[Account Withdrawl Amount]], )</f>
        <v>0</v>
      </c>
      <c r="S416" s="243">
        <f>IF(Table334[[#This Row],[Category]]="Parties Food &amp; Beverages",Table334[[#This Row],[Account Deposit Amount]]-Table334[[#This Row],[Account Withdrawl Amount]], )</f>
        <v>0</v>
      </c>
      <c r="T416" s="243">
        <f>IF(Table334[[#This Row],[Category]]="Service Projects Donation",Table334[[#This Row],[Account Deposit Amount]]-Table334[[#This Row],[Account Withdrawl Amount]], )</f>
        <v>0</v>
      </c>
      <c r="U416" s="243">
        <f>IF(Table334[[#This Row],[Category]]="Cookie Debt",Table334[[#This Row],[Account Deposit Amount]]-Table334[[#This Row],[Account Withdrawl Amount]], )</f>
        <v>0</v>
      </c>
      <c r="V416" s="243">
        <f>IF(Table334[[#This Row],[Category]]="Other Expense",Table334[[#This Row],[Account Deposit Amount]]-Table334[[#This Row],[Account Withdrawl Amount]], )</f>
        <v>0</v>
      </c>
    </row>
    <row r="417" spans="1:22">
      <c r="A417" s="225"/>
      <c r="B417" s="241"/>
      <c r="C417" s="225"/>
      <c r="D417" s="225"/>
      <c r="E417" s="242"/>
      <c r="F417" s="242"/>
      <c r="G417" s="243">
        <f t="shared" si="9"/>
        <v>2518.9699999999939</v>
      </c>
      <c r="H417" s="225"/>
      <c r="I417" s="243">
        <f>IF(Table334[[#This Row],[Category]]="Fall Product",Table334[[#This Row],[Account Deposit Amount]]-Table334[[#This Row],[Account Withdrawl Amount]], )</f>
        <v>0</v>
      </c>
      <c r="J417" s="243">
        <f>IF(Table334[[#This Row],[Category]]="Cookies",Table334[[#This Row],[Account Deposit Amount]]-Table334[[#This Row],[Account Withdrawl Amount]], )</f>
        <v>0</v>
      </c>
      <c r="K417" s="243">
        <f>IF(Table334[[#This Row],[Category]]="Additional Money Earning Activities",Table334[[#This Row],[Account Deposit Amount]]-Table334[[#This Row],[Account Withdrawl Amount]], )</f>
        <v>0</v>
      </c>
      <c r="L417" s="243">
        <f>IF(Table334[[#This Row],[Category]]="Sponsorships",Table334[[#This Row],[Account Deposit Amount]]-Table334[[#This Row],[Account Withdrawl Amount]], )</f>
        <v>0</v>
      </c>
      <c r="M417" s="243">
        <f>IF(Table334[[#This Row],[Category]]="Troop Dues",Table334[[#This Row],[Account Deposit Amount]]-Table334[[#This Row],[Account Withdrawl Amount]], )</f>
        <v>0</v>
      </c>
      <c r="N417" s="243">
        <f>IF(Table334[[#This Row],[Category]]="Other Income",Table334[[#This Row],[Account Deposit Amount]]-Table334[[#This Row],[Account Withdrawl Amount]], )</f>
        <v>0</v>
      </c>
      <c r="O417" s="243">
        <f>IF(Table334[[#This Row],[Category]]="Registration",Table334[[#This Row],[Account Deposit Amount]]-Table334[[#This Row],[Account Withdrawl Amount]], )</f>
        <v>0</v>
      </c>
      <c r="P417" s="243">
        <f>IF(Table334[[#This Row],[Category]]="Insignia",Table334[[#This Row],[Account Deposit Amount]]-Table334[[#This Row],[Account Withdrawl Amount]], )</f>
        <v>0</v>
      </c>
      <c r="Q417" s="243">
        <f>IF(Table334[[#This Row],[Category]]="Activities/Program",Table334[[#This Row],[Account Deposit Amount]]-Table334[[#This Row],[Account Withdrawl Amount]], )</f>
        <v>0</v>
      </c>
      <c r="R417" s="243">
        <f>IF(Table334[[#This Row],[Category]]="Travel",Table334[[#This Row],[Account Deposit Amount]]-Table334[[#This Row],[Account Withdrawl Amount]], )</f>
        <v>0</v>
      </c>
      <c r="S417" s="243">
        <f>IF(Table334[[#This Row],[Category]]="Parties Food &amp; Beverages",Table334[[#This Row],[Account Deposit Amount]]-Table334[[#This Row],[Account Withdrawl Amount]], )</f>
        <v>0</v>
      </c>
      <c r="T417" s="243">
        <f>IF(Table334[[#This Row],[Category]]="Service Projects Donation",Table334[[#This Row],[Account Deposit Amount]]-Table334[[#This Row],[Account Withdrawl Amount]], )</f>
        <v>0</v>
      </c>
      <c r="U417" s="243">
        <f>IF(Table334[[#This Row],[Category]]="Cookie Debt",Table334[[#This Row],[Account Deposit Amount]]-Table334[[#This Row],[Account Withdrawl Amount]], )</f>
        <v>0</v>
      </c>
      <c r="V417" s="243">
        <f>IF(Table334[[#This Row],[Category]]="Other Expense",Table334[[#This Row],[Account Deposit Amount]]-Table334[[#This Row],[Account Withdrawl Amount]], )</f>
        <v>0</v>
      </c>
    </row>
    <row r="418" spans="1:22">
      <c r="A418" s="225"/>
      <c r="B418" s="241"/>
      <c r="C418" s="225"/>
      <c r="D418" s="225"/>
      <c r="E418" s="242"/>
      <c r="F418" s="242"/>
      <c r="G418" s="243">
        <f t="shared" si="9"/>
        <v>2518.9699999999939</v>
      </c>
      <c r="H418" s="225"/>
      <c r="I418" s="243">
        <f>IF(Table334[[#This Row],[Category]]="Fall Product",Table334[[#This Row],[Account Deposit Amount]]-Table334[[#This Row],[Account Withdrawl Amount]], )</f>
        <v>0</v>
      </c>
      <c r="J418" s="243">
        <f>IF(Table334[[#This Row],[Category]]="Cookies",Table334[[#This Row],[Account Deposit Amount]]-Table334[[#This Row],[Account Withdrawl Amount]], )</f>
        <v>0</v>
      </c>
      <c r="K418" s="243">
        <f>IF(Table334[[#This Row],[Category]]="Additional Money Earning Activities",Table334[[#This Row],[Account Deposit Amount]]-Table334[[#This Row],[Account Withdrawl Amount]], )</f>
        <v>0</v>
      </c>
      <c r="L418" s="243">
        <f>IF(Table334[[#This Row],[Category]]="Sponsorships",Table334[[#This Row],[Account Deposit Amount]]-Table334[[#This Row],[Account Withdrawl Amount]], )</f>
        <v>0</v>
      </c>
      <c r="M418" s="243">
        <f>IF(Table334[[#This Row],[Category]]="Troop Dues",Table334[[#This Row],[Account Deposit Amount]]-Table334[[#This Row],[Account Withdrawl Amount]], )</f>
        <v>0</v>
      </c>
      <c r="N418" s="243">
        <f>IF(Table334[[#This Row],[Category]]="Other Income",Table334[[#This Row],[Account Deposit Amount]]-Table334[[#This Row],[Account Withdrawl Amount]], )</f>
        <v>0</v>
      </c>
      <c r="O418" s="243">
        <f>IF(Table334[[#This Row],[Category]]="Registration",Table334[[#This Row],[Account Deposit Amount]]-Table334[[#This Row],[Account Withdrawl Amount]], )</f>
        <v>0</v>
      </c>
      <c r="P418" s="243">
        <f>IF(Table334[[#This Row],[Category]]="Insignia",Table334[[#This Row],[Account Deposit Amount]]-Table334[[#This Row],[Account Withdrawl Amount]], )</f>
        <v>0</v>
      </c>
      <c r="Q418" s="243">
        <f>IF(Table334[[#This Row],[Category]]="Activities/Program",Table334[[#This Row],[Account Deposit Amount]]-Table334[[#This Row],[Account Withdrawl Amount]], )</f>
        <v>0</v>
      </c>
      <c r="R418" s="243">
        <f>IF(Table334[[#This Row],[Category]]="Travel",Table334[[#This Row],[Account Deposit Amount]]-Table334[[#This Row],[Account Withdrawl Amount]], )</f>
        <v>0</v>
      </c>
      <c r="S418" s="243">
        <f>IF(Table334[[#This Row],[Category]]="Parties Food &amp; Beverages",Table334[[#This Row],[Account Deposit Amount]]-Table334[[#This Row],[Account Withdrawl Amount]], )</f>
        <v>0</v>
      </c>
      <c r="T418" s="243">
        <f>IF(Table334[[#This Row],[Category]]="Service Projects Donation",Table334[[#This Row],[Account Deposit Amount]]-Table334[[#This Row],[Account Withdrawl Amount]], )</f>
        <v>0</v>
      </c>
      <c r="U418" s="243">
        <f>IF(Table334[[#This Row],[Category]]="Cookie Debt",Table334[[#This Row],[Account Deposit Amount]]-Table334[[#This Row],[Account Withdrawl Amount]], )</f>
        <v>0</v>
      </c>
      <c r="V418" s="243">
        <f>IF(Table334[[#This Row],[Category]]="Other Expense",Table334[[#This Row],[Account Deposit Amount]]-Table334[[#This Row],[Account Withdrawl Amount]], )</f>
        <v>0</v>
      </c>
    </row>
    <row r="419" spans="1:22">
      <c r="A419" s="225"/>
      <c r="B419" s="241"/>
      <c r="C419" s="225"/>
      <c r="D419" s="225"/>
      <c r="E419" s="242"/>
      <c r="F419" s="242"/>
      <c r="G419" s="243">
        <f t="shared" si="9"/>
        <v>2518.9699999999939</v>
      </c>
      <c r="H419" s="225"/>
      <c r="I419" s="243">
        <f>IF(Table334[[#This Row],[Category]]="Fall Product",Table334[[#This Row],[Account Deposit Amount]]-Table334[[#This Row],[Account Withdrawl Amount]], )</f>
        <v>0</v>
      </c>
      <c r="J419" s="243">
        <f>IF(Table334[[#This Row],[Category]]="Cookies",Table334[[#This Row],[Account Deposit Amount]]-Table334[[#This Row],[Account Withdrawl Amount]], )</f>
        <v>0</v>
      </c>
      <c r="K419" s="243">
        <f>IF(Table334[[#This Row],[Category]]="Additional Money Earning Activities",Table334[[#This Row],[Account Deposit Amount]]-Table334[[#This Row],[Account Withdrawl Amount]], )</f>
        <v>0</v>
      </c>
      <c r="L419" s="243">
        <f>IF(Table334[[#This Row],[Category]]="Sponsorships",Table334[[#This Row],[Account Deposit Amount]]-Table334[[#This Row],[Account Withdrawl Amount]], )</f>
        <v>0</v>
      </c>
      <c r="M419" s="243">
        <f>IF(Table334[[#This Row],[Category]]="Troop Dues",Table334[[#This Row],[Account Deposit Amount]]-Table334[[#This Row],[Account Withdrawl Amount]], )</f>
        <v>0</v>
      </c>
      <c r="N419" s="243">
        <f>IF(Table334[[#This Row],[Category]]="Other Income",Table334[[#This Row],[Account Deposit Amount]]-Table334[[#This Row],[Account Withdrawl Amount]], )</f>
        <v>0</v>
      </c>
      <c r="O419" s="243">
        <f>IF(Table334[[#This Row],[Category]]="Registration",Table334[[#This Row],[Account Deposit Amount]]-Table334[[#This Row],[Account Withdrawl Amount]], )</f>
        <v>0</v>
      </c>
      <c r="P419" s="243">
        <f>IF(Table334[[#This Row],[Category]]="Insignia",Table334[[#This Row],[Account Deposit Amount]]-Table334[[#This Row],[Account Withdrawl Amount]], )</f>
        <v>0</v>
      </c>
      <c r="Q419" s="243">
        <f>IF(Table334[[#This Row],[Category]]="Activities/Program",Table334[[#This Row],[Account Deposit Amount]]-Table334[[#This Row],[Account Withdrawl Amount]], )</f>
        <v>0</v>
      </c>
      <c r="R419" s="243">
        <f>IF(Table334[[#This Row],[Category]]="Travel",Table334[[#This Row],[Account Deposit Amount]]-Table334[[#This Row],[Account Withdrawl Amount]], )</f>
        <v>0</v>
      </c>
      <c r="S419" s="243">
        <f>IF(Table334[[#This Row],[Category]]="Parties Food &amp; Beverages",Table334[[#This Row],[Account Deposit Amount]]-Table334[[#This Row],[Account Withdrawl Amount]], )</f>
        <v>0</v>
      </c>
      <c r="T419" s="243">
        <f>IF(Table334[[#This Row],[Category]]="Service Projects Donation",Table334[[#This Row],[Account Deposit Amount]]-Table334[[#This Row],[Account Withdrawl Amount]], )</f>
        <v>0</v>
      </c>
      <c r="U419" s="243">
        <f>IF(Table334[[#This Row],[Category]]="Cookie Debt",Table334[[#This Row],[Account Deposit Amount]]-Table334[[#This Row],[Account Withdrawl Amount]], )</f>
        <v>0</v>
      </c>
      <c r="V419" s="243">
        <f>IF(Table334[[#This Row],[Category]]="Other Expense",Table334[[#This Row],[Account Deposit Amount]]-Table334[[#This Row],[Account Withdrawl Amount]], )</f>
        <v>0</v>
      </c>
    </row>
    <row r="420" spans="1:22">
      <c r="A420" s="225"/>
      <c r="B420" s="241"/>
      <c r="C420" s="225"/>
      <c r="D420" s="225"/>
      <c r="E420" s="242"/>
      <c r="F420" s="242"/>
      <c r="G420" s="243">
        <f t="shared" si="9"/>
        <v>2518.9699999999939</v>
      </c>
      <c r="H420" s="225"/>
      <c r="I420" s="243">
        <f>IF(Table334[[#This Row],[Category]]="Fall Product",Table334[[#This Row],[Account Deposit Amount]]-Table334[[#This Row],[Account Withdrawl Amount]], )</f>
        <v>0</v>
      </c>
      <c r="J420" s="243">
        <f>IF(Table334[[#This Row],[Category]]="Cookies",Table334[[#This Row],[Account Deposit Amount]]-Table334[[#This Row],[Account Withdrawl Amount]], )</f>
        <v>0</v>
      </c>
      <c r="K420" s="243">
        <f>IF(Table334[[#This Row],[Category]]="Additional Money Earning Activities",Table334[[#This Row],[Account Deposit Amount]]-Table334[[#This Row],[Account Withdrawl Amount]], )</f>
        <v>0</v>
      </c>
      <c r="L420" s="243">
        <f>IF(Table334[[#This Row],[Category]]="Sponsorships",Table334[[#This Row],[Account Deposit Amount]]-Table334[[#This Row],[Account Withdrawl Amount]], )</f>
        <v>0</v>
      </c>
      <c r="M420" s="243">
        <f>IF(Table334[[#This Row],[Category]]="Troop Dues",Table334[[#This Row],[Account Deposit Amount]]-Table334[[#This Row],[Account Withdrawl Amount]], )</f>
        <v>0</v>
      </c>
      <c r="N420" s="243">
        <f>IF(Table334[[#This Row],[Category]]="Other Income",Table334[[#This Row],[Account Deposit Amount]]-Table334[[#This Row],[Account Withdrawl Amount]], )</f>
        <v>0</v>
      </c>
      <c r="O420" s="243">
        <f>IF(Table334[[#This Row],[Category]]="Registration",Table334[[#This Row],[Account Deposit Amount]]-Table334[[#This Row],[Account Withdrawl Amount]], )</f>
        <v>0</v>
      </c>
      <c r="P420" s="243">
        <f>IF(Table334[[#This Row],[Category]]="Insignia",Table334[[#This Row],[Account Deposit Amount]]-Table334[[#This Row],[Account Withdrawl Amount]], )</f>
        <v>0</v>
      </c>
      <c r="Q420" s="243">
        <f>IF(Table334[[#This Row],[Category]]="Activities/Program",Table334[[#This Row],[Account Deposit Amount]]-Table334[[#This Row],[Account Withdrawl Amount]], )</f>
        <v>0</v>
      </c>
      <c r="R420" s="243">
        <f>IF(Table334[[#This Row],[Category]]="Travel",Table334[[#This Row],[Account Deposit Amount]]-Table334[[#This Row],[Account Withdrawl Amount]], )</f>
        <v>0</v>
      </c>
      <c r="S420" s="243">
        <f>IF(Table334[[#This Row],[Category]]="Parties Food &amp; Beverages",Table334[[#This Row],[Account Deposit Amount]]-Table334[[#This Row],[Account Withdrawl Amount]], )</f>
        <v>0</v>
      </c>
      <c r="T420" s="243">
        <f>IF(Table334[[#This Row],[Category]]="Service Projects Donation",Table334[[#This Row],[Account Deposit Amount]]-Table334[[#This Row],[Account Withdrawl Amount]], )</f>
        <v>0</v>
      </c>
      <c r="U420" s="243">
        <f>IF(Table334[[#This Row],[Category]]="Cookie Debt",Table334[[#This Row],[Account Deposit Amount]]-Table334[[#This Row],[Account Withdrawl Amount]], )</f>
        <v>0</v>
      </c>
      <c r="V420" s="243">
        <f>IF(Table334[[#This Row],[Category]]="Other Expense",Table334[[#This Row],[Account Deposit Amount]]-Table334[[#This Row],[Account Withdrawl Amount]], )</f>
        <v>0</v>
      </c>
    </row>
    <row r="421" spans="1:22">
      <c r="A421" s="225"/>
      <c r="B421" s="241"/>
      <c r="C421" s="225"/>
      <c r="D421" s="225"/>
      <c r="E421" s="242"/>
      <c r="F421" s="242"/>
      <c r="G421" s="243">
        <f t="shared" si="9"/>
        <v>2518.9699999999939</v>
      </c>
      <c r="H421" s="225"/>
      <c r="I421" s="243">
        <f>IF(Table334[[#This Row],[Category]]="Fall Product",Table334[[#This Row],[Account Deposit Amount]]-Table334[[#This Row],[Account Withdrawl Amount]], )</f>
        <v>0</v>
      </c>
      <c r="J421" s="243">
        <f>IF(Table334[[#This Row],[Category]]="Cookies",Table334[[#This Row],[Account Deposit Amount]]-Table334[[#This Row],[Account Withdrawl Amount]], )</f>
        <v>0</v>
      </c>
      <c r="K421" s="243">
        <f>IF(Table334[[#This Row],[Category]]="Additional Money Earning Activities",Table334[[#This Row],[Account Deposit Amount]]-Table334[[#This Row],[Account Withdrawl Amount]], )</f>
        <v>0</v>
      </c>
      <c r="L421" s="243">
        <f>IF(Table334[[#This Row],[Category]]="Sponsorships",Table334[[#This Row],[Account Deposit Amount]]-Table334[[#This Row],[Account Withdrawl Amount]], )</f>
        <v>0</v>
      </c>
      <c r="M421" s="243">
        <f>IF(Table334[[#This Row],[Category]]="Troop Dues",Table334[[#This Row],[Account Deposit Amount]]-Table334[[#This Row],[Account Withdrawl Amount]], )</f>
        <v>0</v>
      </c>
      <c r="N421" s="243">
        <f>IF(Table334[[#This Row],[Category]]="Other Income",Table334[[#This Row],[Account Deposit Amount]]-Table334[[#This Row],[Account Withdrawl Amount]], )</f>
        <v>0</v>
      </c>
      <c r="O421" s="243">
        <f>IF(Table334[[#This Row],[Category]]="Registration",Table334[[#This Row],[Account Deposit Amount]]-Table334[[#This Row],[Account Withdrawl Amount]], )</f>
        <v>0</v>
      </c>
      <c r="P421" s="243">
        <f>IF(Table334[[#This Row],[Category]]="Insignia",Table334[[#This Row],[Account Deposit Amount]]-Table334[[#This Row],[Account Withdrawl Amount]], )</f>
        <v>0</v>
      </c>
      <c r="Q421" s="243">
        <f>IF(Table334[[#This Row],[Category]]="Activities/Program",Table334[[#This Row],[Account Deposit Amount]]-Table334[[#This Row],[Account Withdrawl Amount]], )</f>
        <v>0</v>
      </c>
      <c r="R421" s="243">
        <f>IF(Table334[[#This Row],[Category]]="Travel",Table334[[#This Row],[Account Deposit Amount]]-Table334[[#This Row],[Account Withdrawl Amount]], )</f>
        <v>0</v>
      </c>
      <c r="S421" s="243">
        <f>IF(Table334[[#This Row],[Category]]="Parties Food &amp; Beverages",Table334[[#This Row],[Account Deposit Amount]]-Table334[[#This Row],[Account Withdrawl Amount]], )</f>
        <v>0</v>
      </c>
      <c r="T421" s="243">
        <f>IF(Table334[[#This Row],[Category]]="Service Projects Donation",Table334[[#This Row],[Account Deposit Amount]]-Table334[[#This Row],[Account Withdrawl Amount]], )</f>
        <v>0</v>
      </c>
      <c r="U421" s="243">
        <f>IF(Table334[[#This Row],[Category]]="Cookie Debt",Table334[[#This Row],[Account Deposit Amount]]-Table334[[#This Row],[Account Withdrawl Amount]], )</f>
        <v>0</v>
      </c>
      <c r="V421" s="243">
        <f>IF(Table334[[#This Row],[Category]]="Other Expense",Table334[[#This Row],[Account Deposit Amount]]-Table334[[#This Row],[Account Withdrawl Amount]], )</f>
        <v>0</v>
      </c>
    </row>
    <row r="422" spans="1:22">
      <c r="A422" s="225"/>
      <c r="B422" s="241"/>
      <c r="C422" s="225"/>
      <c r="D422" s="225"/>
      <c r="E422" s="242"/>
      <c r="F422" s="242"/>
      <c r="G422" s="243">
        <f t="shared" si="9"/>
        <v>2518.9699999999939</v>
      </c>
      <c r="H422" s="225"/>
      <c r="I422" s="243">
        <f>IF(Table334[[#This Row],[Category]]="Fall Product",Table334[[#This Row],[Account Deposit Amount]]-Table334[[#This Row],[Account Withdrawl Amount]], )</f>
        <v>0</v>
      </c>
      <c r="J422" s="243">
        <f>IF(Table334[[#This Row],[Category]]="Cookies",Table334[[#This Row],[Account Deposit Amount]]-Table334[[#This Row],[Account Withdrawl Amount]], )</f>
        <v>0</v>
      </c>
      <c r="K422" s="243">
        <f>IF(Table334[[#This Row],[Category]]="Additional Money Earning Activities",Table334[[#This Row],[Account Deposit Amount]]-Table334[[#This Row],[Account Withdrawl Amount]], )</f>
        <v>0</v>
      </c>
      <c r="L422" s="243">
        <f>IF(Table334[[#This Row],[Category]]="Sponsorships",Table334[[#This Row],[Account Deposit Amount]]-Table334[[#This Row],[Account Withdrawl Amount]], )</f>
        <v>0</v>
      </c>
      <c r="M422" s="243">
        <f>IF(Table334[[#This Row],[Category]]="Troop Dues",Table334[[#This Row],[Account Deposit Amount]]-Table334[[#This Row],[Account Withdrawl Amount]], )</f>
        <v>0</v>
      </c>
      <c r="N422" s="243">
        <f>IF(Table334[[#This Row],[Category]]="Other Income",Table334[[#This Row],[Account Deposit Amount]]-Table334[[#This Row],[Account Withdrawl Amount]], )</f>
        <v>0</v>
      </c>
      <c r="O422" s="243">
        <f>IF(Table334[[#This Row],[Category]]="Registration",Table334[[#This Row],[Account Deposit Amount]]-Table334[[#This Row],[Account Withdrawl Amount]], )</f>
        <v>0</v>
      </c>
      <c r="P422" s="243">
        <f>IF(Table334[[#This Row],[Category]]="Insignia",Table334[[#This Row],[Account Deposit Amount]]-Table334[[#This Row],[Account Withdrawl Amount]], )</f>
        <v>0</v>
      </c>
      <c r="Q422" s="243">
        <f>IF(Table334[[#This Row],[Category]]="Activities/Program",Table334[[#This Row],[Account Deposit Amount]]-Table334[[#This Row],[Account Withdrawl Amount]], )</f>
        <v>0</v>
      </c>
      <c r="R422" s="243">
        <f>IF(Table334[[#This Row],[Category]]="Travel",Table334[[#This Row],[Account Deposit Amount]]-Table334[[#This Row],[Account Withdrawl Amount]], )</f>
        <v>0</v>
      </c>
      <c r="S422" s="243">
        <f>IF(Table334[[#This Row],[Category]]="Parties Food &amp; Beverages",Table334[[#This Row],[Account Deposit Amount]]-Table334[[#This Row],[Account Withdrawl Amount]], )</f>
        <v>0</v>
      </c>
      <c r="T422" s="243">
        <f>IF(Table334[[#This Row],[Category]]="Service Projects Donation",Table334[[#This Row],[Account Deposit Amount]]-Table334[[#This Row],[Account Withdrawl Amount]], )</f>
        <v>0</v>
      </c>
      <c r="U422" s="243">
        <f>IF(Table334[[#This Row],[Category]]="Cookie Debt",Table334[[#This Row],[Account Deposit Amount]]-Table334[[#This Row],[Account Withdrawl Amount]], )</f>
        <v>0</v>
      </c>
      <c r="V422" s="243">
        <f>IF(Table334[[#This Row],[Category]]="Other Expense",Table334[[#This Row],[Account Deposit Amount]]-Table334[[#This Row],[Account Withdrawl Amount]], )</f>
        <v>0</v>
      </c>
    </row>
    <row r="423" spans="1:22">
      <c r="A423" s="225"/>
      <c r="B423" s="241"/>
      <c r="C423" s="225"/>
      <c r="D423" s="225"/>
      <c r="E423" s="242"/>
      <c r="F423" s="242"/>
      <c r="G423" s="243">
        <f t="shared" si="9"/>
        <v>2518.9699999999939</v>
      </c>
      <c r="H423" s="225"/>
      <c r="I423" s="243">
        <f>IF(Table334[[#This Row],[Category]]="Fall Product",Table334[[#This Row],[Account Deposit Amount]]-Table334[[#This Row],[Account Withdrawl Amount]], )</f>
        <v>0</v>
      </c>
      <c r="J423" s="243">
        <f>IF(Table334[[#This Row],[Category]]="Cookies",Table334[[#This Row],[Account Deposit Amount]]-Table334[[#This Row],[Account Withdrawl Amount]], )</f>
        <v>0</v>
      </c>
      <c r="K423" s="243">
        <f>IF(Table334[[#This Row],[Category]]="Additional Money Earning Activities",Table334[[#This Row],[Account Deposit Amount]]-Table334[[#This Row],[Account Withdrawl Amount]], )</f>
        <v>0</v>
      </c>
      <c r="L423" s="243">
        <f>IF(Table334[[#This Row],[Category]]="Sponsorships",Table334[[#This Row],[Account Deposit Amount]]-Table334[[#This Row],[Account Withdrawl Amount]], )</f>
        <v>0</v>
      </c>
      <c r="M423" s="243">
        <f>IF(Table334[[#This Row],[Category]]="Troop Dues",Table334[[#This Row],[Account Deposit Amount]]-Table334[[#This Row],[Account Withdrawl Amount]], )</f>
        <v>0</v>
      </c>
      <c r="N423" s="243">
        <f>IF(Table334[[#This Row],[Category]]="Other Income",Table334[[#This Row],[Account Deposit Amount]]-Table334[[#This Row],[Account Withdrawl Amount]], )</f>
        <v>0</v>
      </c>
      <c r="O423" s="243">
        <f>IF(Table334[[#This Row],[Category]]="Registration",Table334[[#This Row],[Account Deposit Amount]]-Table334[[#This Row],[Account Withdrawl Amount]], )</f>
        <v>0</v>
      </c>
      <c r="P423" s="243">
        <f>IF(Table334[[#This Row],[Category]]="Insignia",Table334[[#This Row],[Account Deposit Amount]]-Table334[[#This Row],[Account Withdrawl Amount]], )</f>
        <v>0</v>
      </c>
      <c r="Q423" s="243">
        <f>IF(Table334[[#This Row],[Category]]="Activities/Program",Table334[[#This Row],[Account Deposit Amount]]-Table334[[#This Row],[Account Withdrawl Amount]], )</f>
        <v>0</v>
      </c>
      <c r="R423" s="243">
        <f>IF(Table334[[#This Row],[Category]]="Travel",Table334[[#This Row],[Account Deposit Amount]]-Table334[[#This Row],[Account Withdrawl Amount]], )</f>
        <v>0</v>
      </c>
      <c r="S423" s="243">
        <f>IF(Table334[[#This Row],[Category]]="Parties Food &amp; Beverages",Table334[[#This Row],[Account Deposit Amount]]-Table334[[#This Row],[Account Withdrawl Amount]], )</f>
        <v>0</v>
      </c>
      <c r="T423" s="243">
        <f>IF(Table334[[#This Row],[Category]]="Service Projects Donation",Table334[[#This Row],[Account Deposit Amount]]-Table334[[#This Row],[Account Withdrawl Amount]], )</f>
        <v>0</v>
      </c>
      <c r="U423" s="243">
        <f>IF(Table334[[#This Row],[Category]]="Cookie Debt",Table334[[#This Row],[Account Deposit Amount]]-Table334[[#This Row],[Account Withdrawl Amount]], )</f>
        <v>0</v>
      </c>
      <c r="V423" s="243">
        <f>IF(Table334[[#This Row],[Category]]="Other Expense",Table334[[#This Row],[Account Deposit Amount]]-Table334[[#This Row],[Account Withdrawl Amount]], )</f>
        <v>0</v>
      </c>
    </row>
    <row r="424" spans="1:22">
      <c r="A424" s="225"/>
      <c r="B424" s="241"/>
      <c r="C424" s="225"/>
      <c r="D424" s="225"/>
      <c r="E424" s="242"/>
      <c r="F424" s="242"/>
      <c r="G424" s="243">
        <f t="shared" si="9"/>
        <v>2518.9699999999939</v>
      </c>
      <c r="H424" s="225"/>
      <c r="I424" s="243">
        <f>IF(Table334[[#This Row],[Category]]="Fall Product",Table334[[#This Row],[Account Deposit Amount]]-Table334[[#This Row],[Account Withdrawl Amount]], )</f>
        <v>0</v>
      </c>
      <c r="J424" s="243">
        <f>IF(Table334[[#This Row],[Category]]="Cookies",Table334[[#This Row],[Account Deposit Amount]]-Table334[[#This Row],[Account Withdrawl Amount]], )</f>
        <v>0</v>
      </c>
      <c r="K424" s="243">
        <f>IF(Table334[[#This Row],[Category]]="Additional Money Earning Activities",Table334[[#This Row],[Account Deposit Amount]]-Table334[[#This Row],[Account Withdrawl Amount]], )</f>
        <v>0</v>
      </c>
      <c r="L424" s="243">
        <f>IF(Table334[[#This Row],[Category]]="Sponsorships",Table334[[#This Row],[Account Deposit Amount]]-Table334[[#This Row],[Account Withdrawl Amount]], )</f>
        <v>0</v>
      </c>
      <c r="M424" s="243">
        <f>IF(Table334[[#This Row],[Category]]="Troop Dues",Table334[[#This Row],[Account Deposit Amount]]-Table334[[#This Row],[Account Withdrawl Amount]], )</f>
        <v>0</v>
      </c>
      <c r="N424" s="243">
        <f>IF(Table334[[#This Row],[Category]]="Other Income",Table334[[#This Row],[Account Deposit Amount]]-Table334[[#This Row],[Account Withdrawl Amount]], )</f>
        <v>0</v>
      </c>
      <c r="O424" s="243">
        <f>IF(Table334[[#This Row],[Category]]="Registration",Table334[[#This Row],[Account Deposit Amount]]-Table334[[#This Row],[Account Withdrawl Amount]], )</f>
        <v>0</v>
      </c>
      <c r="P424" s="243">
        <f>IF(Table334[[#This Row],[Category]]="Insignia",Table334[[#This Row],[Account Deposit Amount]]-Table334[[#This Row],[Account Withdrawl Amount]], )</f>
        <v>0</v>
      </c>
      <c r="Q424" s="243">
        <f>IF(Table334[[#This Row],[Category]]="Activities/Program",Table334[[#This Row],[Account Deposit Amount]]-Table334[[#This Row],[Account Withdrawl Amount]], )</f>
        <v>0</v>
      </c>
      <c r="R424" s="243">
        <f>IF(Table334[[#This Row],[Category]]="Travel",Table334[[#This Row],[Account Deposit Amount]]-Table334[[#This Row],[Account Withdrawl Amount]], )</f>
        <v>0</v>
      </c>
      <c r="S424" s="243">
        <f>IF(Table334[[#This Row],[Category]]="Parties Food &amp; Beverages",Table334[[#This Row],[Account Deposit Amount]]-Table334[[#This Row],[Account Withdrawl Amount]], )</f>
        <v>0</v>
      </c>
      <c r="T424" s="243">
        <f>IF(Table334[[#This Row],[Category]]="Service Projects Donation",Table334[[#This Row],[Account Deposit Amount]]-Table334[[#This Row],[Account Withdrawl Amount]], )</f>
        <v>0</v>
      </c>
      <c r="U424" s="243">
        <f>IF(Table334[[#This Row],[Category]]="Cookie Debt",Table334[[#This Row],[Account Deposit Amount]]-Table334[[#This Row],[Account Withdrawl Amount]], )</f>
        <v>0</v>
      </c>
      <c r="V424" s="243">
        <f>IF(Table334[[#This Row],[Category]]="Other Expense",Table334[[#This Row],[Account Deposit Amount]]-Table334[[#This Row],[Account Withdrawl Amount]], )</f>
        <v>0</v>
      </c>
    </row>
    <row r="425" spans="1:22">
      <c r="A425" s="225"/>
      <c r="B425" s="241"/>
      <c r="C425" s="225"/>
      <c r="D425" s="225"/>
      <c r="E425" s="242"/>
      <c r="F425" s="242"/>
      <c r="G425" s="243">
        <f t="shared" si="9"/>
        <v>2518.9699999999939</v>
      </c>
      <c r="H425" s="225"/>
      <c r="I425" s="243">
        <f>IF(Table334[[#This Row],[Category]]="Fall Product",Table334[[#This Row],[Account Deposit Amount]]-Table334[[#This Row],[Account Withdrawl Amount]], )</f>
        <v>0</v>
      </c>
      <c r="J425" s="243">
        <f>IF(Table334[[#This Row],[Category]]="Cookies",Table334[[#This Row],[Account Deposit Amount]]-Table334[[#This Row],[Account Withdrawl Amount]], )</f>
        <v>0</v>
      </c>
      <c r="K425" s="243">
        <f>IF(Table334[[#This Row],[Category]]="Additional Money Earning Activities",Table334[[#This Row],[Account Deposit Amount]]-Table334[[#This Row],[Account Withdrawl Amount]], )</f>
        <v>0</v>
      </c>
      <c r="L425" s="243">
        <f>IF(Table334[[#This Row],[Category]]="Sponsorships",Table334[[#This Row],[Account Deposit Amount]]-Table334[[#This Row],[Account Withdrawl Amount]], )</f>
        <v>0</v>
      </c>
      <c r="M425" s="243">
        <f>IF(Table334[[#This Row],[Category]]="Troop Dues",Table334[[#This Row],[Account Deposit Amount]]-Table334[[#This Row],[Account Withdrawl Amount]], )</f>
        <v>0</v>
      </c>
      <c r="N425" s="243">
        <f>IF(Table334[[#This Row],[Category]]="Other Income",Table334[[#This Row],[Account Deposit Amount]]-Table334[[#This Row],[Account Withdrawl Amount]], )</f>
        <v>0</v>
      </c>
      <c r="O425" s="243">
        <f>IF(Table334[[#This Row],[Category]]="Registration",Table334[[#This Row],[Account Deposit Amount]]-Table334[[#This Row],[Account Withdrawl Amount]], )</f>
        <v>0</v>
      </c>
      <c r="P425" s="243">
        <f>IF(Table334[[#This Row],[Category]]="Insignia",Table334[[#This Row],[Account Deposit Amount]]-Table334[[#This Row],[Account Withdrawl Amount]], )</f>
        <v>0</v>
      </c>
      <c r="Q425" s="243">
        <f>IF(Table334[[#This Row],[Category]]="Activities/Program",Table334[[#This Row],[Account Deposit Amount]]-Table334[[#This Row],[Account Withdrawl Amount]], )</f>
        <v>0</v>
      </c>
      <c r="R425" s="243">
        <f>IF(Table334[[#This Row],[Category]]="Travel",Table334[[#This Row],[Account Deposit Amount]]-Table334[[#This Row],[Account Withdrawl Amount]], )</f>
        <v>0</v>
      </c>
      <c r="S425" s="243">
        <f>IF(Table334[[#This Row],[Category]]="Parties Food &amp; Beverages",Table334[[#This Row],[Account Deposit Amount]]-Table334[[#This Row],[Account Withdrawl Amount]], )</f>
        <v>0</v>
      </c>
      <c r="T425" s="243">
        <f>IF(Table334[[#This Row],[Category]]="Service Projects Donation",Table334[[#This Row],[Account Deposit Amount]]-Table334[[#This Row],[Account Withdrawl Amount]], )</f>
        <v>0</v>
      </c>
      <c r="U425" s="243">
        <f>IF(Table334[[#This Row],[Category]]="Cookie Debt",Table334[[#This Row],[Account Deposit Amount]]-Table334[[#This Row],[Account Withdrawl Amount]], )</f>
        <v>0</v>
      </c>
      <c r="V425" s="243">
        <f>IF(Table334[[#This Row],[Category]]="Other Expense",Table334[[#This Row],[Account Deposit Amount]]-Table334[[#This Row],[Account Withdrawl Amount]], )</f>
        <v>0</v>
      </c>
    </row>
    <row r="426" spans="1:22">
      <c r="A426" s="225"/>
      <c r="B426" s="241"/>
      <c r="C426" s="225"/>
      <c r="D426" s="225"/>
      <c r="E426" s="242"/>
      <c r="F426" s="242"/>
      <c r="G426" s="243">
        <f t="shared" si="9"/>
        <v>2518.9699999999939</v>
      </c>
      <c r="H426" s="225"/>
      <c r="I426" s="243">
        <f>IF(Table334[[#This Row],[Category]]="Fall Product",Table334[[#This Row],[Account Deposit Amount]]-Table334[[#This Row],[Account Withdrawl Amount]], )</f>
        <v>0</v>
      </c>
      <c r="J426" s="243">
        <f>IF(Table334[[#This Row],[Category]]="Cookies",Table334[[#This Row],[Account Deposit Amount]]-Table334[[#This Row],[Account Withdrawl Amount]], )</f>
        <v>0</v>
      </c>
      <c r="K426" s="243">
        <f>IF(Table334[[#This Row],[Category]]="Additional Money Earning Activities",Table334[[#This Row],[Account Deposit Amount]]-Table334[[#This Row],[Account Withdrawl Amount]], )</f>
        <v>0</v>
      </c>
      <c r="L426" s="243">
        <f>IF(Table334[[#This Row],[Category]]="Sponsorships",Table334[[#This Row],[Account Deposit Amount]]-Table334[[#This Row],[Account Withdrawl Amount]], )</f>
        <v>0</v>
      </c>
      <c r="M426" s="243">
        <f>IF(Table334[[#This Row],[Category]]="Troop Dues",Table334[[#This Row],[Account Deposit Amount]]-Table334[[#This Row],[Account Withdrawl Amount]], )</f>
        <v>0</v>
      </c>
      <c r="N426" s="243">
        <f>IF(Table334[[#This Row],[Category]]="Other Income",Table334[[#This Row],[Account Deposit Amount]]-Table334[[#This Row],[Account Withdrawl Amount]], )</f>
        <v>0</v>
      </c>
      <c r="O426" s="243">
        <f>IF(Table334[[#This Row],[Category]]="Registration",Table334[[#This Row],[Account Deposit Amount]]-Table334[[#This Row],[Account Withdrawl Amount]], )</f>
        <v>0</v>
      </c>
      <c r="P426" s="243">
        <f>IF(Table334[[#This Row],[Category]]="Insignia",Table334[[#This Row],[Account Deposit Amount]]-Table334[[#This Row],[Account Withdrawl Amount]], )</f>
        <v>0</v>
      </c>
      <c r="Q426" s="243">
        <f>IF(Table334[[#This Row],[Category]]="Activities/Program",Table334[[#This Row],[Account Deposit Amount]]-Table334[[#This Row],[Account Withdrawl Amount]], )</f>
        <v>0</v>
      </c>
      <c r="R426" s="243">
        <f>IF(Table334[[#This Row],[Category]]="Travel",Table334[[#This Row],[Account Deposit Amount]]-Table334[[#This Row],[Account Withdrawl Amount]], )</f>
        <v>0</v>
      </c>
      <c r="S426" s="243">
        <f>IF(Table334[[#This Row],[Category]]="Parties Food &amp; Beverages",Table334[[#This Row],[Account Deposit Amount]]-Table334[[#This Row],[Account Withdrawl Amount]], )</f>
        <v>0</v>
      </c>
      <c r="T426" s="243">
        <f>IF(Table334[[#This Row],[Category]]="Service Projects Donation",Table334[[#This Row],[Account Deposit Amount]]-Table334[[#This Row],[Account Withdrawl Amount]], )</f>
        <v>0</v>
      </c>
      <c r="U426" s="243">
        <f>IF(Table334[[#This Row],[Category]]="Cookie Debt",Table334[[#This Row],[Account Deposit Amount]]-Table334[[#This Row],[Account Withdrawl Amount]], )</f>
        <v>0</v>
      </c>
      <c r="V426" s="243">
        <f>IF(Table334[[#This Row],[Category]]="Other Expense",Table334[[#This Row],[Account Deposit Amount]]-Table334[[#This Row],[Account Withdrawl Amount]], )</f>
        <v>0</v>
      </c>
    </row>
    <row r="427" spans="1:22">
      <c r="A427" s="225"/>
      <c r="B427" s="241"/>
      <c r="C427" s="225"/>
      <c r="D427" s="225"/>
      <c r="E427" s="242"/>
      <c r="F427" s="242"/>
      <c r="G427" s="243">
        <f t="shared" si="9"/>
        <v>2518.9699999999939</v>
      </c>
      <c r="H427" s="225"/>
      <c r="I427" s="243">
        <f>IF(Table334[[#This Row],[Category]]="Fall Product",Table334[[#This Row],[Account Deposit Amount]]-Table334[[#This Row],[Account Withdrawl Amount]], )</f>
        <v>0</v>
      </c>
      <c r="J427" s="243">
        <f>IF(Table334[[#This Row],[Category]]="Cookies",Table334[[#This Row],[Account Deposit Amount]]-Table334[[#This Row],[Account Withdrawl Amount]], )</f>
        <v>0</v>
      </c>
      <c r="K427" s="243">
        <f>IF(Table334[[#This Row],[Category]]="Additional Money Earning Activities",Table334[[#This Row],[Account Deposit Amount]]-Table334[[#This Row],[Account Withdrawl Amount]], )</f>
        <v>0</v>
      </c>
      <c r="L427" s="243">
        <f>IF(Table334[[#This Row],[Category]]="Sponsorships",Table334[[#This Row],[Account Deposit Amount]]-Table334[[#This Row],[Account Withdrawl Amount]], )</f>
        <v>0</v>
      </c>
      <c r="M427" s="243">
        <f>IF(Table334[[#This Row],[Category]]="Troop Dues",Table334[[#This Row],[Account Deposit Amount]]-Table334[[#This Row],[Account Withdrawl Amount]], )</f>
        <v>0</v>
      </c>
      <c r="N427" s="243">
        <f>IF(Table334[[#This Row],[Category]]="Other Income",Table334[[#This Row],[Account Deposit Amount]]-Table334[[#This Row],[Account Withdrawl Amount]], )</f>
        <v>0</v>
      </c>
      <c r="O427" s="243">
        <f>IF(Table334[[#This Row],[Category]]="Registration",Table334[[#This Row],[Account Deposit Amount]]-Table334[[#This Row],[Account Withdrawl Amount]], )</f>
        <v>0</v>
      </c>
      <c r="P427" s="243">
        <f>IF(Table334[[#This Row],[Category]]="Insignia",Table334[[#This Row],[Account Deposit Amount]]-Table334[[#This Row],[Account Withdrawl Amount]], )</f>
        <v>0</v>
      </c>
      <c r="Q427" s="243">
        <f>IF(Table334[[#This Row],[Category]]="Activities/Program",Table334[[#This Row],[Account Deposit Amount]]-Table334[[#This Row],[Account Withdrawl Amount]], )</f>
        <v>0</v>
      </c>
      <c r="R427" s="243">
        <f>IF(Table334[[#This Row],[Category]]="Travel",Table334[[#This Row],[Account Deposit Amount]]-Table334[[#This Row],[Account Withdrawl Amount]], )</f>
        <v>0</v>
      </c>
      <c r="S427" s="243">
        <f>IF(Table334[[#This Row],[Category]]="Parties Food &amp; Beverages",Table334[[#This Row],[Account Deposit Amount]]-Table334[[#This Row],[Account Withdrawl Amount]], )</f>
        <v>0</v>
      </c>
      <c r="T427" s="243">
        <f>IF(Table334[[#This Row],[Category]]="Service Projects Donation",Table334[[#This Row],[Account Deposit Amount]]-Table334[[#This Row],[Account Withdrawl Amount]], )</f>
        <v>0</v>
      </c>
      <c r="U427" s="243">
        <f>IF(Table334[[#This Row],[Category]]="Cookie Debt",Table334[[#This Row],[Account Deposit Amount]]-Table334[[#This Row],[Account Withdrawl Amount]], )</f>
        <v>0</v>
      </c>
      <c r="V427" s="243">
        <f>IF(Table334[[#This Row],[Category]]="Other Expense",Table334[[#This Row],[Account Deposit Amount]]-Table334[[#This Row],[Account Withdrawl Amount]], )</f>
        <v>0</v>
      </c>
    </row>
    <row r="428" spans="1:22">
      <c r="A428" s="225"/>
      <c r="B428" s="241"/>
      <c r="C428" s="225"/>
      <c r="D428" s="225"/>
      <c r="E428" s="242"/>
      <c r="F428" s="242"/>
      <c r="G428" s="243">
        <f t="shared" si="9"/>
        <v>2518.9699999999939</v>
      </c>
      <c r="H428" s="225"/>
      <c r="I428" s="243">
        <f>IF(Table334[[#This Row],[Category]]="Fall Product",Table334[[#This Row],[Account Deposit Amount]]-Table334[[#This Row],[Account Withdrawl Amount]], )</f>
        <v>0</v>
      </c>
      <c r="J428" s="243">
        <f>IF(Table334[[#This Row],[Category]]="Cookies",Table334[[#This Row],[Account Deposit Amount]]-Table334[[#This Row],[Account Withdrawl Amount]], )</f>
        <v>0</v>
      </c>
      <c r="K428" s="243">
        <f>IF(Table334[[#This Row],[Category]]="Additional Money Earning Activities",Table334[[#This Row],[Account Deposit Amount]]-Table334[[#This Row],[Account Withdrawl Amount]], )</f>
        <v>0</v>
      </c>
      <c r="L428" s="243">
        <f>IF(Table334[[#This Row],[Category]]="Sponsorships",Table334[[#This Row],[Account Deposit Amount]]-Table334[[#This Row],[Account Withdrawl Amount]], )</f>
        <v>0</v>
      </c>
      <c r="M428" s="243">
        <f>IF(Table334[[#This Row],[Category]]="Troop Dues",Table334[[#This Row],[Account Deposit Amount]]-Table334[[#This Row],[Account Withdrawl Amount]], )</f>
        <v>0</v>
      </c>
      <c r="N428" s="243">
        <f>IF(Table334[[#This Row],[Category]]="Other Income",Table334[[#This Row],[Account Deposit Amount]]-Table334[[#This Row],[Account Withdrawl Amount]], )</f>
        <v>0</v>
      </c>
      <c r="O428" s="243">
        <f>IF(Table334[[#This Row],[Category]]="Registration",Table334[[#This Row],[Account Deposit Amount]]-Table334[[#This Row],[Account Withdrawl Amount]], )</f>
        <v>0</v>
      </c>
      <c r="P428" s="243">
        <f>IF(Table334[[#This Row],[Category]]="Insignia",Table334[[#This Row],[Account Deposit Amount]]-Table334[[#This Row],[Account Withdrawl Amount]], )</f>
        <v>0</v>
      </c>
      <c r="Q428" s="243">
        <f>IF(Table334[[#This Row],[Category]]="Activities/Program",Table334[[#This Row],[Account Deposit Amount]]-Table334[[#This Row],[Account Withdrawl Amount]], )</f>
        <v>0</v>
      </c>
      <c r="R428" s="243">
        <f>IF(Table334[[#This Row],[Category]]="Travel",Table334[[#This Row],[Account Deposit Amount]]-Table334[[#This Row],[Account Withdrawl Amount]], )</f>
        <v>0</v>
      </c>
      <c r="S428" s="243">
        <f>IF(Table334[[#This Row],[Category]]="Parties Food &amp; Beverages",Table334[[#This Row],[Account Deposit Amount]]-Table334[[#This Row],[Account Withdrawl Amount]], )</f>
        <v>0</v>
      </c>
      <c r="T428" s="243">
        <f>IF(Table334[[#This Row],[Category]]="Service Projects Donation",Table334[[#This Row],[Account Deposit Amount]]-Table334[[#This Row],[Account Withdrawl Amount]], )</f>
        <v>0</v>
      </c>
      <c r="U428" s="243">
        <f>IF(Table334[[#This Row],[Category]]="Cookie Debt",Table334[[#This Row],[Account Deposit Amount]]-Table334[[#This Row],[Account Withdrawl Amount]], )</f>
        <v>0</v>
      </c>
      <c r="V428" s="243">
        <f>IF(Table334[[#This Row],[Category]]="Other Expense",Table334[[#This Row],[Account Deposit Amount]]-Table334[[#This Row],[Account Withdrawl Amount]], )</f>
        <v>0</v>
      </c>
    </row>
    <row r="429" spans="1:22">
      <c r="A429" s="225"/>
      <c r="B429" s="241"/>
      <c r="C429" s="225"/>
      <c r="D429" s="225"/>
      <c r="E429" s="242"/>
      <c r="F429" s="242"/>
      <c r="G429" s="243">
        <f t="shared" si="9"/>
        <v>2518.9699999999939</v>
      </c>
      <c r="H429" s="225"/>
      <c r="I429" s="243">
        <f>IF(Table334[[#This Row],[Category]]="Fall Product",Table334[[#This Row],[Account Deposit Amount]]-Table334[[#This Row],[Account Withdrawl Amount]], )</f>
        <v>0</v>
      </c>
      <c r="J429" s="243">
        <f>IF(Table334[[#This Row],[Category]]="Cookies",Table334[[#This Row],[Account Deposit Amount]]-Table334[[#This Row],[Account Withdrawl Amount]], )</f>
        <v>0</v>
      </c>
      <c r="K429" s="243">
        <f>IF(Table334[[#This Row],[Category]]="Additional Money Earning Activities",Table334[[#This Row],[Account Deposit Amount]]-Table334[[#This Row],[Account Withdrawl Amount]], )</f>
        <v>0</v>
      </c>
      <c r="L429" s="243">
        <f>IF(Table334[[#This Row],[Category]]="Sponsorships",Table334[[#This Row],[Account Deposit Amount]]-Table334[[#This Row],[Account Withdrawl Amount]], )</f>
        <v>0</v>
      </c>
      <c r="M429" s="243">
        <f>IF(Table334[[#This Row],[Category]]="Troop Dues",Table334[[#This Row],[Account Deposit Amount]]-Table334[[#This Row],[Account Withdrawl Amount]], )</f>
        <v>0</v>
      </c>
      <c r="N429" s="243">
        <f>IF(Table334[[#This Row],[Category]]="Other Income",Table334[[#This Row],[Account Deposit Amount]]-Table334[[#This Row],[Account Withdrawl Amount]], )</f>
        <v>0</v>
      </c>
      <c r="O429" s="243">
        <f>IF(Table334[[#This Row],[Category]]="Registration",Table334[[#This Row],[Account Deposit Amount]]-Table334[[#This Row],[Account Withdrawl Amount]], )</f>
        <v>0</v>
      </c>
      <c r="P429" s="243">
        <f>IF(Table334[[#This Row],[Category]]="Insignia",Table334[[#This Row],[Account Deposit Amount]]-Table334[[#This Row],[Account Withdrawl Amount]], )</f>
        <v>0</v>
      </c>
      <c r="Q429" s="243">
        <f>IF(Table334[[#This Row],[Category]]="Activities/Program",Table334[[#This Row],[Account Deposit Amount]]-Table334[[#This Row],[Account Withdrawl Amount]], )</f>
        <v>0</v>
      </c>
      <c r="R429" s="243">
        <f>IF(Table334[[#This Row],[Category]]="Travel",Table334[[#This Row],[Account Deposit Amount]]-Table334[[#This Row],[Account Withdrawl Amount]], )</f>
        <v>0</v>
      </c>
      <c r="S429" s="243">
        <f>IF(Table334[[#This Row],[Category]]="Parties Food &amp; Beverages",Table334[[#This Row],[Account Deposit Amount]]-Table334[[#This Row],[Account Withdrawl Amount]], )</f>
        <v>0</v>
      </c>
      <c r="T429" s="243">
        <f>IF(Table334[[#This Row],[Category]]="Service Projects Donation",Table334[[#This Row],[Account Deposit Amount]]-Table334[[#This Row],[Account Withdrawl Amount]], )</f>
        <v>0</v>
      </c>
      <c r="U429" s="243">
        <f>IF(Table334[[#This Row],[Category]]="Cookie Debt",Table334[[#This Row],[Account Deposit Amount]]-Table334[[#This Row],[Account Withdrawl Amount]], )</f>
        <v>0</v>
      </c>
      <c r="V429" s="243">
        <f>IF(Table334[[#This Row],[Category]]="Other Expense",Table334[[#This Row],[Account Deposit Amount]]-Table334[[#This Row],[Account Withdrawl Amount]], )</f>
        <v>0</v>
      </c>
    </row>
    <row r="430" spans="1:22">
      <c r="A430" s="225"/>
      <c r="B430" s="241"/>
      <c r="C430" s="225"/>
      <c r="D430" s="225"/>
      <c r="E430" s="242"/>
      <c r="F430" s="242"/>
      <c r="G430" s="243">
        <f t="shared" si="9"/>
        <v>2518.9699999999939</v>
      </c>
      <c r="H430" s="225"/>
      <c r="I430" s="243">
        <f>IF(Table334[[#This Row],[Category]]="Fall Product",Table334[[#This Row],[Account Deposit Amount]]-Table334[[#This Row],[Account Withdrawl Amount]], )</f>
        <v>0</v>
      </c>
      <c r="J430" s="243">
        <f>IF(Table334[[#This Row],[Category]]="Cookies",Table334[[#This Row],[Account Deposit Amount]]-Table334[[#This Row],[Account Withdrawl Amount]], )</f>
        <v>0</v>
      </c>
      <c r="K430" s="243">
        <f>IF(Table334[[#This Row],[Category]]="Additional Money Earning Activities",Table334[[#This Row],[Account Deposit Amount]]-Table334[[#This Row],[Account Withdrawl Amount]], )</f>
        <v>0</v>
      </c>
      <c r="L430" s="243">
        <f>IF(Table334[[#This Row],[Category]]="Sponsorships",Table334[[#This Row],[Account Deposit Amount]]-Table334[[#This Row],[Account Withdrawl Amount]], )</f>
        <v>0</v>
      </c>
      <c r="M430" s="243">
        <f>IF(Table334[[#This Row],[Category]]="Troop Dues",Table334[[#This Row],[Account Deposit Amount]]-Table334[[#This Row],[Account Withdrawl Amount]], )</f>
        <v>0</v>
      </c>
      <c r="N430" s="243">
        <f>IF(Table334[[#This Row],[Category]]="Other Income",Table334[[#This Row],[Account Deposit Amount]]-Table334[[#This Row],[Account Withdrawl Amount]], )</f>
        <v>0</v>
      </c>
      <c r="O430" s="243">
        <f>IF(Table334[[#This Row],[Category]]="Registration",Table334[[#This Row],[Account Deposit Amount]]-Table334[[#This Row],[Account Withdrawl Amount]], )</f>
        <v>0</v>
      </c>
      <c r="P430" s="243">
        <f>IF(Table334[[#This Row],[Category]]="Insignia",Table334[[#This Row],[Account Deposit Amount]]-Table334[[#This Row],[Account Withdrawl Amount]], )</f>
        <v>0</v>
      </c>
      <c r="Q430" s="243">
        <f>IF(Table334[[#This Row],[Category]]="Activities/Program",Table334[[#This Row],[Account Deposit Amount]]-Table334[[#This Row],[Account Withdrawl Amount]], )</f>
        <v>0</v>
      </c>
      <c r="R430" s="243">
        <f>IF(Table334[[#This Row],[Category]]="Travel",Table334[[#This Row],[Account Deposit Amount]]-Table334[[#This Row],[Account Withdrawl Amount]], )</f>
        <v>0</v>
      </c>
      <c r="S430" s="243">
        <f>IF(Table334[[#This Row],[Category]]="Parties Food &amp; Beverages",Table334[[#This Row],[Account Deposit Amount]]-Table334[[#This Row],[Account Withdrawl Amount]], )</f>
        <v>0</v>
      </c>
      <c r="T430" s="243">
        <f>IF(Table334[[#This Row],[Category]]="Service Projects Donation",Table334[[#This Row],[Account Deposit Amount]]-Table334[[#This Row],[Account Withdrawl Amount]], )</f>
        <v>0</v>
      </c>
      <c r="U430" s="243">
        <f>IF(Table334[[#This Row],[Category]]="Cookie Debt",Table334[[#This Row],[Account Deposit Amount]]-Table334[[#This Row],[Account Withdrawl Amount]], )</f>
        <v>0</v>
      </c>
      <c r="V430" s="243">
        <f>IF(Table334[[#This Row],[Category]]="Other Expense",Table334[[#This Row],[Account Deposit Amount]]-Table334[[#This Row],[Account Withdrawl Amount]], )</f>
        <v>0</v>
      </c>
    </row>
    <row r="431" spans="1:22">
      <c r="A431" s="225"/>
      <c r="B431" s="241"/>
      <c r="C431" s="225"/>
      <c r="D431" s="225"/>
      <c r="E431" s="242"/>
      <c r="F431" s="242"/>
      <c r="G431" s="243">
        <f t="shared" si="9"/>
        <v>2518.9699999999939</v>
      </c>
      <c r="H431" s="225"/>
      <c r="I431" s="243">
        <f>IF(Table334[[#This Row],[Category]]="Fall Product",Table334[[#This Row],[Account Deposit Amount]]-Table334[[#This Row],[Account Withdrawl Amount]], )</f>
        <v>0</v>
      </c>
      <c r="J431" s="243">
        <f>IF(Table334[[#This Row],[Category]]="Cookies",Table334[[#This Row],[Account Deposit Amount]]-Table334[[#This Row],[Account Withdrawl Amount]], )</f>
        <v>0</v>
      </c>
      <c r="K431" s="243">
        <f>IF(Table334[[#This Row],[Category]]="Additional Money Earning Activities",Table334[[#This Row],[Account Deposit Amount]]-Table334[[#This Row],[Account Withdrawl Amount]], )</f>
        <v>0</v>
      </c>
      <c r="L431" s="243">
        <f>IF(Table334[[#This Row],[Category]]="Sponsorships",Table334[[#This Row],[Account Deposit Amount]]-Table334[[#This Row],[Account Withdrawl Amount]], )</f>
        <v>0</v>
      </c>
      <c r="M431" s="243">
        <f>IF(Table334[[#This Row],[Category]]="Troop Dues",Table334[[#This Row],[Account Deposit Amount]]-Table334[[#This Row],[Account Withdrawl Amount]], )</f>
        <v>0</v>
      </c>
      <c r="N431" s="243">
        <f>IF(Table334[[#This Row],[Category]]="Other Income",Table334[[#This Row],[Account Deposit Amount]]-Table334[[#This Row],[Account Withdrawl Amount]], )</f>
        <v>0</v>
      </c>
      <c r="O431" s="243">
        <f>IF(Table334[[#This Row],[Category]]="Registration",Table334[[#This Row],[Account Deposit Amount]]-Table334[[#This Row],[Account Withdrawl Amount]], )</f>
        <v>0</v>
      </c>
      <c r="P431" s="243">
        <f>IF(Table334[[#This Row],[Category]]="Insignia",Table334[[#This Row],[Account Deposit Amount]]-Table334[[#This Row],[Account Withdrawl Amount]], )</f>
        <v>0</v>
      </c>
      <c r="Q431" s="243">
        <f>IF(Table334[[#This Row],[Category]]="Activities/Program",Table334[[#This Row],[Account Deposit Amount]]-Table334[[#This Row],[Account Withdrawl Amount]], )</f>
        <v>0</v>
      </c>
      <c r="R431" s="243">
        <f>IF(Table334[[#This Row],[Category]]="Travel",Table334[[#This Row],[Account Deposit Amount]]-Table334[[#This Row],[Account Withdrawl Amount]], )</f>
        <v>0</v>
      </c>
      <c r="S431" s="243">
        <f>IF(Table334[[#This Row],[Category]]="Parties Food &amp; Beverages",Table334[[#This Row],[Account Deposit Amount]]-Table334[[#This Row],[Account Withdrawl Amount]], )</f>
        <v>0</v>
      </c>
      <c r="T431" s="243">
        <f>IF(Table334[[#This Row],[Category]]="Service Projects Donation",Table334[[#This Row],[Account Deposit Amount]]-Table334[[#This Row],[Account Withdrawl Amount]], )</f>
        <v>0</v>
      </c>
      <c r="U431" s="243">
        <f>IF(Table334[[#This Row],[Category]]="Cookie Debt",Table334[[#This Row],[Account Deposit Amount]]-Table334[[#This Row],[Account Withdrawl Amount]], )</f>
        <v>0</v>
      </c>
      <c r="V431" s="243">
        <f>IF(Table334[[#This Row],[Category]]="Other Expense",Table334[[#This Row],[Account Deposit Amount]]-Table334[[#This Row],[Account Withdrawl Amount]], )</f>
        <v>0</v>
      </c>
    </row>
    <row r="432" spans="1:22">
      <c r="A432" s="225"/>
      <c r="B432" s="241"/>
      <c r="C432" s="225"/>
      <c r="D432" s="225"/>
      <c r="E432" s="242"/>
      <c r="F432" s="242"/>
      <c r="G432" s="243">
        <f t="shared" si="9"/>
        <v>2518.9699999999939</v>
      </c>
      <c r="H432" s="225"/>
      <c r="I432" s="243">
        <f>IF(Table334[[#This Row],[Category]]="Fall Product",Table334[[#This Row],[Account Deposit Amount]]-Table334[[#This Row],[Account Withdrawl Amount]], )</f>
        <v>0</v>
      </c>
      <c r="J432" s="243">
        <f>IF(Table334[[#This Row],[Category]]="Cookies",Table334[[#This Row],[Account Deposit Amount]]-Table334[[#This Row],[Account Withdrawl Amount]], )</f>
        <v>0</v>
      </c>
      <c r="K432" s="243">
        <f>IF(Table334[[#This Row],[Category]]="Additional Money Earning Activities",Table334[[#This Row],[Account Deposit Amount]]-Table334[[#This Row],[Account Withdrawl Amount]], )</f>
        <v>0</v>
      </c>
      <c r="L432" s="243">
        <f>IF(Table334[[#This Row],[Category]]="Sponsorships",Table334[[#This Row],[Account Deposit Amount]]-Table334[[#This Row],[Account Withdrawl Amount]], )</f>
        <v>0</v>
      </c>
      <c r="M432" s="243">
        <f>IF(Table334[[#This Row],[Category]]="Troop Dues",Table334[[#This Row],[Account Deposit Amount]]-Table334[[#This Row],[Account Withdrawl Amount]], )</f>
        <v>0</v>
      </c>
      <c r="N432" s="243">
        <f>IF(Table334[[#This Row],[Category]]="Other Income",Table334[[#This Row],[Account Deposit Amount]]-Table334[[#This Row],[Account Withdrawl Amount]], )</f>
        <v>0</v>
      </c>
      <c r="O432" s="243">
        <f>IF(Table334[[#This Row],[Category]]="Registration",Table334[[#This Row],[Account Deposit Amount]]-Table334[[#This Row],[Account Withdrawl Amount]], )</f>
        <v>0</v>
      </c>
      <c r="P432" s="243">
        <f>IF(Table334[[#This Row],[Category]]="Insignia",Table334[[#This Row],[Account Deposit Amount]]-Table334[[#This Row],[Account Withdrawl Amount]], )</f>
        <v>0</v>
      </c>
      <c r="Q432" s="243">
        <f>IF(Table334[[#This Row],[Category]]="Activities/Program",Table334[[#This Row],[Account Deposit Amount]]-Table334[[#This Row],[Account Withdrawl Amount]], )</f>
        <v>0</v>
      </c>
      <c r="R432" s="243">
        <f>IF(Table334[[#This Row],[Category]]="Travel",Table334[[#This Row],[Account Deposit Amount]]-Table334[[#This Row],[Account Withdrawl Amount]], )</f>
        <v>0</v>
      </c>
      <c r="S432" s="243">
        <f>IF(Table334[[#This Row],[Category]]="Parties Food &amp; Beverages",Table334[[#This Row],[Account Deposit Amount]]-Table334[[#This Row],[Account Withdrawl Amount]], )</f>
        <v>0</v>
      </c>
      <c r="T432" s="243">
        <f>IF(Table334[[#This Row],[Category]]="Service Projects Donation",Table334[[#This Row],[Account Deposit Amount]]-Table334[[#This Row],[Account Withdrawl Amount]], )</f>
        <v>0</v>
      </c>
      <c r="U432" s="243">
        <f>IF(Table334[[#This Row],[Category]]="Cookie Debt",Table334[[#This Row],[Account Deposit Amount]]-Table334[[#This Row],[Account Withdrawl Amount]], )</f>
        <v>0</v>
      </c>
      <c r="V432" s="243">
        <f>IF(Table334[[#This Row],[Category]]="Other Expense",Table334[[#This Row],[Account Deposit Amount]]-Table334[[#This Row],[Account Withdrawl Amount]], )</f>
        <v>0</v>
      </c>
    </row>
    <row r="433" spans="1:22">
      <c r="A433" s="225"/>
      <c r="B433" s="241"/>
      <c r="C433" s="225"/>
      <c r="D433" s="225"/>
      <c r="E433" s="242"/>
      <c r="F433" s="242"/>
      <c r="G433" s="243">
        <f t="shared" si="9"/>
        <v>2518.9699999999939</v>
      </c>
      <c r="H433" s="225"/>
      <c r="I433" s="243">
        <f>IF(Table334[[#This Row],[Category]]="Fall Product",Table334[[#This Row],[Account Deposit Amount]]-Table334[[#This Row],[Account Withdrawl Amount]], )</f>
        <v>0</v>
      </c>
      <c r="J433" s="243">
        <f>IF(Table334[[#This Row],[Category]]="Cookies",Table334[[#This Row],[Account Deposit Amount]]-Table334[[#This Row],[Account Withdrawl Amount]], )</f>
        <v>0</v>
      </c>
      <c r="K433" s="243">
        <f>IF(Table334[[#This Row],[Category]]="Additional Money Earning Activities",Table334[[#This Row],[Account Deposit Amount]]-Table334[[#This Row],[Account Withdrawl Amount]], )</f>
        <v>0</v>
      </c>
      <c r="L433" s="243">
        <f>IF(Table334[[#This Row],[Category]]="Sponsorships",Table334[[#This Row],[Account Deposit Amount]]-Table334[[#This Row],[Account Withdrawl Amount]], )</f>
        <v>0</v>
      </c>
      <c r="M433" s="243">
        <f>IF(Table334[[#This Row],[Category]]="Troop Dues",Table334[[#This Row],[Account Deposit Amount]]-Table334[[#This Row],[Account Withdrawl Amount]], )</f>
        <v>0</v>
      </c>
      <c r="N433" s="243">
        <f>IF(Table334[[#This Row],[Category]]="Other Income",Table334[[#This Row],[Account Deposit Amount]]-Table334[[#This Row],[Account Withdrawl Amount]], )</f>
        <v>0</v>
      </c>
      <c r="O433" s="243">
        <f>IF(Table334[[#This Row],[Category]]="Registration",Table334[[#This Row],[Account Deposit Amount]]-Table334[[#This Row],[Account Withdrawl Amount]], )</f>
        <v>0</v>
      </c>
      <c r="P433" s="243">
        <f>IF(Table334[[#This Row],[Category]]="Insignia",Table334[[#This Row],[Account Deposit Amount]]-Table334[[#This Row],[Account Withdrawl Amount]], )</f>
        <v>0</v>
      </c>
      <c r="Q433" s="243">
        <f>IF(Table334[[#This Row],[Category]]="Activities/Program",Table334[[#This Row],[Account Deposit Amount]]-Table334[[#This Row],[Account Withdrawl Amount]], )</f>
        <v>0</v>
      </c>
      <c r="R433" s="243">
        <f>IF(Table334[[#This Row],[Category]]="Travel",Table334[[#This Row],[Account Deposit Amount]]-Table334[[#This Row],[Account Withdrawl Amount]], )</f>
        <v>0</v>
      </c>
      <c r="S433" s="243">
        <f>IF(Table334[[#This Row],[Category]]="Parties Food &amp; Beverages",Table334[[#This Row],[Account Deposit Amount]]-Table334[[#This Row],[Account Withdrawl Amount]], )</f>
        <v>0</v>
      </c>
      <c r="T433" s="243">
        <f>IF(Table334[[#This Row],[Category]]="Service Projects Donation",Table334[[#This Row],[Account Deposit Amount]]-Table334[[#This Row],[Account Withdrawl Amount]], )</f>
        <v>0</v>
      </c>
      <c r="U433" s="243">
        <f>IF(Table334[[#This Row],[Category]]="Cookie Debt",Table334[[#This Row],[Account Deposit Amount]]-Table334[[#This Row],[Account Withdrawl Amount]], )</f>
        <v>0</v>
      </c>
      <c r="V433" s="243">
        <f>IF(Table334[[#This Row],[Category]]="Other Expense",Table334[[#This Row],[Account Deposit Amount]]-Table334[[#This Row],[Account Withdrawl Amount]], )</f>
        <v>0</v>
      </c>
    </row>
    <row r="434" spans="1:22">
      <c r="A434" s="225"/>
      <c r="B434" s="241"/>
      <c r="C434" s="225"/>
      <c r="D434" s="225"/>
      <c r="E434" s="242"/>
      <c r="F434" s="242"/>
      <c r="G434" s="243">
        <f t="shared" si="9"/>
        <v>2518.9699999999939</v>
      </c>
      <c r="H434" s="225"/>
      <c r="I434" s="243">
        <f>IF(Table334[[#This Row],[Category]]="Fall Product",Table334[[#This Row],[Account Deposit Amount]]-Table334[[#This Row],[Account Withdrawl Amount]], )</f>
        <v>0</v>
      </c>
      <c r="J434" s="243">
        <f>IF(Table334[[#This Row],[Category]]="Cookies",Table334[[#This Row],[Account Deposit Amount]]-Table334[[#This Row],[Account Withdrawl Amount]], )</f>
        <v>0</v>
      </c>
      <c r="K434" s="243">
        <f>IF(Table334[[#This Row],[Category]]="Additional Money Earning Activities",Table334[[#This Row],[Account Deposit Amount]]-Table334[[#This Row],[Account Withdrawl Amount]], )</f>
        <v>0</v>
      </c>
      <c r="L434" s="243">
        <f>IF(Table334[[#This Row],[Category]]="Sponsorships",Table334[[#This Row],[Account Deposit Amount]]-Table334[[#This Row],[Account Withdrawl Amount]], )</f>
        <v>0</v>
      </c>
      <c r="M434" s="243">
        <f>IF(Table334[[#This Row],[Category]]="Troop Dues",Table334[[#This Row],[Account Deposit Amount]]-Table334[[#This Row],[Account Withdrawl Amount]], )</f>
        <v>0</v>
      </c>
      <c r="N434" s="243">
        <f>IF(Table334[[#This Row],[Category]]="Other Income",Table334[[#This Row],[Account Deposit Amount]]-Table334[[#This Row],[Account Withdrawl Amount]], )</f>
        <v>0</v>
      </c>
      <c r="O434" s="243">
        <f>IF(Table334[[#This Row],[Category]]="Registration",Table334[[#This Row],[Account Deposit Amount]]-Table334[[#This Row],[Account Withdrawl Amount]], )</f>
        <v>0</v>
      </c>
      <c r="P434" s="243">
        <f>IF(Table334[[#This Row],[Category]]="Insignia",Table334[[#This Row],[Account Deposit Amount]]-Table334[[#This Row],[Account Withdrawl Amount]], )</f>
        <v>0</v>
      </c>
      <c r="Q434" s="243">
        <f>IF(Table334[[#This Row],[Category]]="Activities/Program",Table334[[#This Row],[Account Deposit Amount]]-Table334[[#This Row],[Account Withdrawl Amount]], )</f>
        <v>0</v>
      </c>
      <c r="R434" s="243">
        <f>IF(Table334[[#This Row],[Category]]="Travel",Table334[[#This Row],[Account Deposit Amount]]-Table334[[#This Row],[Account Withdrawl Amount]], )</f>
        <v>0</v>
      </c>
      <c r="S434" s="243">
        <f>IF(Table334[[#This Row],[Category]]="Parties Food &amp; Beverages",Table334[[#This Row],[Account Deposit Amount]]-Table334[[#This Row],[Account Withdrawl Amount]], )</f>
        <v>0</v>
      </c>
      <c r="T434" s="243">
        <f>IF(Table334[[#This Row],[Category]]="Service Projects Donation",Table334[[#This Row],[Account Deposit Amount]]-Table334[[#This Row],[Account Withdrawl Amount]], )</f>
        <v>0</v>
      </c>
      <c r="U434" s="243">
        <f>IF(Table334[[#This Row],[Category]]="Cookie Debt",Table334[[#This Row],[Account Deposit Amount]]-Table334[[#This Row],[Account Withdrawl Amount]], )</f>
        <v>0</v>
      </c>
      <c r="V434" s="243">
        <f>IF(Table334[[#This Row],[Category]]="Other Expense",Table334[[#This Row],[Account Deposit Amount]]-Table334[[#This Row],[Account Withdrawl Amount]], )</f>
        <v>0</v>
      </c>
    </row>
    <row r="435" spans="1:22">
      <c r="A435" s="225"/>
      <c r="B435" s="241"/>
      <c r="C435" s="225"/>
      <c r="D435" s="225"/>
      <c r="E435" s="242"/>
      <c r="F435" s="242"/>
      <c r="G435" s="243">
        <f t="shared" si="9"/>
        <v>2518.9699999999939</v>
      </c>
      <c r="H435" s="225"/>
      <c r="I435" s="243">
        <f>IF(Table334[[#This Row],[Category]]="Fall Product",Table334[[#This Row],[Account Deposit Amount]]-Table334[[#This Row],[Account Withdrawl Amount]], )</f>
        <v>0</v>
      </c>
      <c r="J435" s="243">
        <f>IF(Table334[[#This Row],[Category]]="Cookies",Table334[[#This Row],[Account Deposit Amount]]-Table334[[#This Row],[Account Withdrawl Amount]], )</f>
        <v>0</v>
      </c>
      <c r="K435" s="243">
        <f>IF(Table334[[#This Row],[Category]]="Additional Money Earning Activities",Table334[[#This Row],[Account Deposit Amount]]-Table334[[#This Row],[Account Withdrawl Amount]], )</f>
        <v>0</v>
      </c>
      <c r="L435" s="243">
        <f>IF(Table334[[#This Row],[Category]]="Sponsorships",Table334[[#This Row],[Account Deposit Amount]]-Table334[[#This Row],[Account Withdrawl Amount]], )</f>
        <v>0</v>
      </c>
      <c r="M435" s="243">
        <f>IF(Table334[[#This Row],[Category]]="Troop Dues",Table334[[#This Row],[Account Deposit Amount]]-Table334[[#This Row],[Account Withdrawl Amount]], )</f>
        <v>0</v>
      </c>
      <c r="N435" s="243">
        <f>IF(Table334[[#This Row],[Category]]="Other Income",Table334[[#This Row],[Account Deposit Amount]]-Table334[[#This Row],[Account Withdrawl Amount]], )</f>
        <v>0</v>
      </c>
      <c r="O435" s="243">
        <f>IF(Table334[[#This Row],[Category]]="Registration",Table334[[#This Row],[Account Deposit Amount]]-Table334[[#This Row],[Account Withdrawl Amount]], )</f>
        <v>0</v>
      </c>
      <c r="P435" s="243">
        <f>IF(Table334[[#This Row],[Category]]="Insignia",Table334[[#This Row],[Account Deposit Amount]]-Table334[[#This Row],[Account Withdrawl Amount]], )</f>
        <v>0</v>
      </c>
      <c r="Q435" s="243">
        <f>IF(Table334[[#This Row],[Category]]="Activities/Program",Table334[[#This Row],[Account Deposit Amount]]-Table334[[#This Row],[Account Withdrawl Amount]], )</f>
        <v>0</v>
      </c>
      <c r="R435" s="243">
        <f>IF(Table334[[#This Row],[Category]]="Travel",Table334[[#This Row],[Account Deposit Amount]]-Table334[[#This Row],[Account Withdrawl Amount]], )</f>
        <v>0</v>
      </c>
      <c r="S435" s="243">
        <f>IF(Table334[[#This Row],[Category]]="Parties Food &amp; Beverages",Table334[[#This Row],[Account Deposit Amount]]-Table334[[#This Row],[Account Withdrawl Amount]], )</f>
        <v>0</v>
      </c>
      <c r="T435" s="243">
        <f>IF(Table334[[#This Row],[Category]]="Service Projects Donation",Table334[[#This Row],[Account Deposit Amount]]-Table334[[#This Row],[Account Withdrawl Amount]], )</f>
        <v>0</v>
      </c>
      <c r="U435" s="243">
        <f>IF(Table334[[#This Row],[Category]]="Cookie Debt",Table334[[#This Row],[Account Deposit Amount]]-Table334[[#This Row],[Account Withdrawl Amount]], )</f>
        <v>0</v>
      </c>
      <c r="V435" s="243">
        <f>IF(Table334[[#This Row],[Category]]="Other Expense",Table334[[#This Row],[Account Deposit Amount]]-Table334[[#This Row],[Account Withdrawl Amount]], )</f>
        <v>0</v>
      </c>
    </row>
    <row r="436" spans="1:22">
      <c r="A436" s="225"/>
      <c r="B436" s="241"/>
      <c r="C436" s="225"/>
      <c r="D436" s="225"/>
      <c r="E436" s="242"/>
      <c r="F436" s="242"/>
      <c r="G436" s="243">
        <f t="shared" si="9"/>
        <v>2518.9699999999939</v>
      </c>
      <c r="H436" s="225"/>
      <c r="I436" s="243">
        <f>IF(Table334[[#This Row],[Category]]="Fall Product",Table334[[#This Row],[Account Deposit Amount]]-Table334[[#This Row],[Account Withdrawl Amount]], )</f>
        <v>0</v>
      </c>
      <c r="J436" s="243">
        <f>IF(Table334[[#This Row],[Category]]="Cookies",Table334[[#This Row],[Account Deposit Amount]]-Table334[[#This Row],[Account Withdrawl Amount]], )</f>
        <v>0</v>
      </c>
      <c r="K436" s="243">
        <f>IF(Table334[[#This Row],[Category]]="Additional Money Earning Activities",Table334[[#This Row],[Account Deposit Amount]]-Table334[[#This Row],[Account Withdrawl Amount]], )</f>
        <v>0</v>
      </c>
      <c r="L436" s="243">
        <f>IF(Table334[[#This Row],[Category]]="Sponsorships",Table334[[#This Row],[Account Deposit Amount]]-Table334[[#This Row],[Account Withdrawl Amount]], )</f>
        <v>0</v>
      </c>
      <c r="M436" s="243">
        <f>IF(Table334[[#This Row],[Category]]="Troop Dues",Table334[[#This Row],[Account Deposit Amount]]-Table334[[#This Row],[Account Withdrawl Amount]], )</f>
        <v>0</v>
      </c>
      <c r="N436" s="243">
        <f>IF(Table334[[#This Row],[Category]]="Other Income",Table334[[#This Row],[Account Deposit Amount]]-Table334[[#This Row],[Account Withdrawl Amount]], )</f>
        <v>0</v>
      </c>
      <c r="O436" s="243">
        <f>IF(Table334[[#This Row],[Category]]="Registration",Table334[[#This Row],[Account Deposit Amount]]-Table334[[#This Row],[Account Withdrawl Amount]], )</f>
        <v>0</v>
      </c>
      <c r="P436" s="243">
        <f>IF(Table334[[#This Row],[Category]]="Insignia",Table334[[#This Row],[Account Deposit Amount]]-Table334[[#This Row],[Account Withdrawl Amount]], )</f>
        <v>0</v>
      </c>
      <c r="Q436" s="243">
        <f>IF(Table334[[#This Row],[Category]]="Activities/Program",Table334[[#This Row],[Account Deposit Amount]]-Table334[[#This Row],[Account Withdrawl Amount]], )</f>
        <v>0</v>
      </c>
      <c r="R436" s="243">
        <f>IF(Table334[[#This Row],[Category]]="Travel",Table334[[#This Row],[Account Deposit Amount]]-Table334[[#This Row],[Account Withdrawl Amount]], )</f>
        <v>0</v>
      </c>
      <c r="S436" s="243">
        <f>IF(Table334[[#This Row],[Category]]="Parties Food &amp; Beverages",Table334[[#This Row],[Account Deposit Amount]]-Table334[[#This Row],[Account Withdrawl Amount]], )</f>
        <v>0</v>
      </c>
      <c r="T436" s="243">
        <f>IF(Table334[[#This Row],[Category]]="Service Projects Donation",Table334[[#This Row],[Account Deposit Amount]]-Table334[[#This Row],[Account Withdrawl Amount]], )</f>
        <v>0</v>
      </c>
      <c r="U436" s="243">
        <f>IF(Table334[[#This Row],[Category]]="Cookie Debt",Table334[[#This Row],[Account Deposit Amount]]-Table334[[#This Row],[Account Withdrawl Amount]], )</f>
        <v>0</v>
      </c>
      <c r="V436" s="243">
        <f>IF(Table334[[#This Row],[Category]]="Other Expense",Table334[[#This Row],[Account Deposit Amount]]-Table334[[#This Row],[Account Withdrawl Amount]], )</f>
        <v>0</v>
      </c>
    </row>
    <row r="437" spans="1:22">
      <c r="A437" s="225"/>
      <c r="B437" s="241"/>
      <c r="C437" s="225"/>
      <c r="D437" s="225"/>
      <c r="E437" s="242"/>
      <c r="F437" s="242"/>
      <c r="G437" s="243">
        <f t="shared" ref="G437:G484" si="10">G436+E437-F437</f>
        <v>2518.9699999999939</v>
      </c>
      <c r="H437" s="225"/>
      <c r="I437" s="243">
        <f>IF(Table334[[#This Row],[Category]]="Fall Product",Table334[[#This Row],[Account Deposit Amount]]-Table334[[#This Row],[Account Withdrawl Amount]], )</f>
        <v>0</v>
      </c>
      <c r="J437" s="243">
        <f>IF(Table334[[#This Row],[Category]]="Cookies",Table334[[#This Row],[Account Deposit Amount]]-Table334[[#This Row],[Account Withdrawl Amount]], )</f>
        <v>0</v>
      </c>
      <c r="K437" s="243">
        <f>IF(Table334[[#This Row],[Category]]="Additional Money Earning Activities",Table334[[#This Row],[Account Deposit Amount]]-Table334[[#This Row],[Account Withdrawl Amount]], )</f>
        <v>0</v>
      </c>
      <c r="L437" s="243">
        <f>IF(Table334[[#This Row],[Category]]="Sponsorships",Table334[[#This Row],[Account Deposit Amount]]-Table334[[#This Row],[Account Withdrawl Amount]], )</f>
        <v>0</v>
      </c>
      <c r="M437" s="243">
        <f>IF(Table334[[#This Row],[Category]]="Troop Dues",Table334[[#This Row],[Account Deposit Amount]]-Table334[[#This Row],[Account Withdrawl Amount]], )</f>
        <v>0</v>
      </c>
      <c r="N437" s="243">
        <f>IF(Table334[[#This Row],[Category]]="Other Income",Table334[[#This Row],[Account Deposit Amount]]-Table334[[#This Row],[Account Withdrawl Amount]], )</f>
        <v>0</v>
      </c>
      <c r="O437" s="243">
        <f>IF(Table334[[#This Row],[Category]]="Registration",Table334[[#This Row],[Account Deposit Amount]]-Table334[[#This Row],[Account Withdrawl Amount]], )</f>
        <v>0</v>
      </c>
      <c r="P437" s="243">
        <f>IF(Table334[[#This Row],[Category]]="Insignia",Table334[[#This Row],[Account Deposit Amount]]-Table334[[#This Row],[Account Withdrawl Amount]], )</f>
        <v>0</v>
      </c>
      <c r="Q437" s="243">
        <f>IF(Table334[[#This Row],[Category]]="Activities/Program",Table334[[#This Row],[Account Deposit Amount]]-Table334[[#This Row],[Account Withdrawl Amount]], )</f>
        <v>0</v>
      </c>
      <c r="R437" s="243">
        <f>IF(Table334[[#This Row],[Category]]="Travel",Table334[[#This Row],[Account Deposit Amount]]-Table334[[#This Row],[Account Withdrawl Amount]], )</f>
        <v>0</v>
      </c>
      <c r="S437" s="243">
        <f>IF(Table334[[#This Row],[Category]]="Parties Food &amp; Beverages",Table334[[#This Row],[Account Deposit Amount]]-Table334[[#This Row],[Account Withdrawl Amount]], )</f>
        <v>0</v>
      </c>
      <c r="T437" s="243">
        <f>IF(Table334[[#This Row],[Category]]="Service Projects Donation",Table334[[#This Row],[Account Deposit Amount]]-Table334[[#This Row],[Account Withdrawl Amount]], )</f>
        <v>0</v>
      </c>
      <c r="U437" s="243">
        <f>IF(Table334[[#This Row],[Category]]="Cookie Debt",Table334[[#This Row],[Account Deposit Amount]]-Table334[[#This Row],[Account Withdrawl Amount]], )</f>
        <v>0</v>
      </c>
      <c r="V437" s="243">
        <f>IF(Table334[[#This Row],[Category]]="Other Expense",Table334[[#This Row],[Account Deposit Amount]]-Table334[[#This Row],[Account Withdrawl Amount]], )</f>
        <v>0</v>
      </c>
    </row>
    <row r="438" spans="1:22">
      <c r="A438" s="225"/>
      <c r="B438" s="241"/>
      <c r="C438" s="225"/>
      <c r="D438" s="225"/>
      <c r="E438" s="242"/>
      <c r="F438" s="242"/>
      <c r="G438" s="243">
        <f t="shared" si="10"/>
        <v>2518.9699999999939</v>
      </c>
      <c r="H438" s="225"/>
      <c r="I438" s="243">
        <f>IF(Table334[[#This Row],[Category]]="Fall Product",Table334[[#This Row],[Account Deposit Amount]]-Table334[[#This Row],[Account Withdrawl Amount]], )</f>
        <v>0</v>
      </c>
      <c r="J438" s="243">
        <f>IF(Table334[[#This Row],[Category]]="Cookies",Table334[[#This Row],[Account Deposit Amount]]-Table334[[#This Row],[Account Withdrawl Amount]], )</f>
        <v>0</v>
      </c>
      <c r="K438" s="243">
        <f>IF(Table334[[#This Row],[Category]]="Additional Money Earning Activities",Table334[[#This Row],[Account Deposit Amount]]-Table334[[#This Row],[Account Withdrawl Amount]], )</f>
        <v>0</v>
      </c>
      <c r="L438" s="243">
        <f>IF(Table334[[#This Row],[Category]]="Sponsorships",Table334[[#This Row],[Account Deposit Amount]]-Table334[[#This Row],[Account Withdrawl Amount]], )</f>
        <v>0</v>
      </c>
      <c r="M438" s="243">
        <f>IF(Table334[[#This Row],[Category]]="Troop Dues",Table334[[#This Row],[Account Deposit Amount]]-Table334[[#This Row],[Account Withdrawl Amount]], )</f>
        <v>0</v>
      </c>
      <c r="N438" s="243">
        <f>IF(Table334[[#This Row],[Category]]="Other Income",Table334[[#This Row],[Account Deposit Amount]]-Table334[[#This Row],[Account Withdrawl Amount]], )</f>
        <v>0</v>
      </c>
      <c r="O438" s="243">
        <f>IF(Table334[[#This Row],[Category]]="Registration",Table334[[#This Row],[Account Deposit Amount]]-Table334[[#This Row],[Account Withdrawl Amount]], )</f>
        <v>0</v>
      </c>
      <c r="P438" s="243">
        <f>IF(Table334[[#This Row],[Category]]="Insignia",Table334[[#This Row],[Account Deposit Amount]]-Table334[[#This Row],[Account Withdrawl Amount]], )</f>
        <v>0</v>
      </c>
      <c r="Q438" s="243">
        <f>IF(Table334[[#This Row],[Category]]="Activities/Program",Table334[[#This Row],[Account Deposit Amount]]-Table334[[#This Row],[Account Withdrawl Amount]], )</f>
        <v>0</v>
      </c>
      <c r="R438" s="243">
        <f>IF(Table334[[#This Row],[Category]]="Travel",Table334[[#This Row],[Account Deposit Amount]]-Table334[[#This Row],[Account Withdrawl Amount]], )</f>
        <v>0</v>
      </c>
      <c r="S438" s="243">
        <f>IF(Table334[[#This Row],[Category]]="Parties Food &amp; Beverages",Table334[[#This Row],[Account Deposit Amount]]-Table334[[#This Row],[Account Withdrawl Amount]], )</f>
        <v>0</v>
      </c>
      <c r="T438" s="243">
        <f>IF(Table334[[#This Row],[Category]]="Service Projects Donation",Table334[[#This Row],[Account Deposit Amount]]-Table334[[#This Row],[Account Withdrawl Amount]], )</f>
        <v>0</v>
      </c>
      <c r="U438" s="243">
        <f>IF(Table334[[#This Row],[Category]]="Cookie Debt",Table334[[#This Row],[Account Deposit Amount]]-Table334[[#This Row],[Account Withdrawl Amount]], )</f>
        <v>0</v>
      </c>
      <c r="V438" s="243">
        <f>IF(Table334[[#This Row],[Category]]="Other Expense",Table334[[#This Row],[Account Deposit Amount]]-Table334[[#This Row],[Account Withdrawl Amount]], )</f>
        <v>0</v>
      </c>
    </row>
    <row r="439" spans="1:22">
      <c r="A439" s="225"/>
      <c r="B439" s="241"/>
      <c r="C439" s="225"/>
      <c r="D439" s="225"/>
      <c r="E439" s="242"/>
      <c r="F439" s="242"/>
      <c r="G439" s="243">
        <f t="shared" si="10"/>
        <v>2518.9699999999939</v>
      </c>
      <c r="H439" s="225"/>
      <c r="I439" s="243">
        <f>IF(Table334[[#This Row],[Category]]="Fall Product",Table334[[#This Row],[Account Deposit Amount]]-Table334[[#This Row],[Account Withdrawl Amount]], )</f>
        <v>0</v>
      </c>
      <c r="J439" s="243">
        <f>IF(Table334[[#This Row],[Category]]="Cookies",Table334[[#This Row],[Account Deposit Amount]]-Table334[[#This Row],[Account Withdrawl Amount]], )</f>
        <v>0</v>
      </c>
      <c r="K439" s="243">
        <f>IF(Table334[[#This Row],[Category]]="Additional Money Earning Activities",Table334[[#This Row],[Account Deposit Amount]]-Table334[[#This Row],[Account Withdrawl Amount]], )</f>
        <v>0</v>
      </c>
      <c r="L439" s="243">
        <f>IF(Table334[[#This Row],[Category]]="Sponsorships",Table334[[#This Row],[Account Deposit Amount]]-Table334[[#This Row],[Account Withdrawl Amount]], )</f>
        <v>0</v>
      </c>
      <c r="M439" s="243">
        <f>IF(Table334[[#This Row],[Category]]="Troop Dues",Table334[[#This Row],[Account Deposit Amount]]-Table334[[#This Row],[Account Withdrawl Amount]], )</f>
        <v>0</v>
      </c>
      <c r="N439" s="243">
        <f>IF(Table334[[#This Row],[Category]]="Other Income",Table334[[#This Row],[Account Deposit Amount]]-Table334[[#This Row],[Account Withdrawl Amount]], )</f>
        <v>0</v>
      </c>
      <c r="O439" s="243">
        <f>IF(Table334[[#This Row],[Category]]="Registration",Table334[[#This Row],[Account Deposit Amount]]-Table334[[#This Row],[Account Withdrawl Amount]], )</f>
        <v>0</v>
      </c>
      <c r="P439" s="243">
        <f>IF(Table334[[#This Row],[Category]]="Insignia",Table334[[#This Row],[Account Deposit Amount]]-Table334[[#This Row],[Account Withdrawl Amount]], )</f>
        <v>0</v>
      </c>
      <c r="Q439" s="243">
        <f>IF(Table334[[#This Row],[Category]]="Activities/Program",Table334[[#This Row],[Account Deposit Amount]]-Table334[[#This Row],[Account Withdrawl Amount]], )</f>
        <v>0</v>
      </c>
      <c r="R439" s="243">
        <f>IF(Table334[[#This Row],[Category]]="Travel",Table334[[#This Row],[Account Deposit Amount]]-Table334[[#This Row],[Account Withdrawl Amount]], )</f>
        <v>0</v>
      </c>
      <c r="S439" s="243">
        <f>IF(Table334[[#This Row],[Category]]="Parties Food &amp; Beverages",Table334[[#This Row],[Account Deposit Amount]]-Table334[[#This Row],[Account Withdrawl Amount]], )</f>
        <v>0</v>
      </c>
      <c r="T439" s="243">
        <f>IF(Table334[[#This Row],[Category]]="Service Projects Donation",Table334[[#This Row],[Account Deposit Amount]]-Table334[[#This Row],[Account Withdrawl Amount]], )</f>
        <v>0</v>
      </c>
      <c r="U439" s="243">
        <f>IF(Table334[[#This Row],[Category]]="Cookie Debt",Table334[[#This Row],[Account Deposit Amount]]-Table334[[#This Row],[Account Withdrawl Amount]], )</f>
        <v>0</v>
      </c>
      <c r="V439" s="243">
        <f>IF(Table334[[#This Row],[Category]]="Other Expense",Table334[[#This Row],[Account Deposit Amount]]-Table334[[#This Row],[Account Withdrawl Amount]], )</f>
        <v>0</v>
      </c>
    </row>
    <row r="440" spans="1:22">
      <c r="A440" s="225"/>
      <c r="B440" s="241"/>
      <c r="C440" s="225"/>
      <c r="D440" s="225"/>
      <c r="E440" s="242"/>
      <c r="F440" s="242"/>
      <c r="G440" s="243">
        <f t="shared" si="10"/>
        <v>2518.9699999999939</v>
      </c>
      <c r="H440" s="225"/>
      <c r="I440" s="243">
        <f>IF(Table334[[#This Row],[Category]]="Fall Product",Table334[[#This Row],[Account Deposit Amount]]-Table334[[#This Row],[Account Withdrawl Amount]], )</f>
        <v>0</v>
      </c>
      <c r="J440" s="243">
        <f>IF(Table334[[#This Row],[Category]]="Cookies",Table334[[#This Row],[Account Deposit Amount]]-Table334[[#This Row],[Account Withdrawl Amount]], )</f>
        <v>0</v>
      </c>
      <c r="K440" s="243">
        <f>IF(Table334[[#This Row],[Category]]="Additional Money Earning Activities",Table334[[#This Row],[Account Deposit Amount]]-Table334[[#This Row],[Account Withdrawl Amount]], )</f>
        <v>0</v>
      </c>
      <c r="L440" s="243">
        <f>IF(Table334[[#This Row],[Category]]="Sponsorships",Table334[[#This Row],[Account Deposit Amount]]-Table334[[#This Row],[Account Withdrawl Amount]], )</f>
        <v>0</v>
      </c>
      <c r="M440" s="243">
        <f>IF(Table334[[#This Row],[Category]]="Troop Dues",Table334[[#This Row],[Account Deposit Amount]]-Table334[[#This Row],[Account Withdrawl Amount]], )</f>
        <v>0</v>
      </c>
      <c r="N440" s="243">
        <f>IF(Table334[[#This Row],[Category]]="Other Income",Table334[[#This Row],[Account Deposit Amount]]-Table334[[#This Row],[Account Withdrawl Amount]], )</f>
        <v>0</v>
      </c>
      <c r="O440" s="243">
        <f>IF(Table334[[#This Row],[Category]]="Registration",Table334[[#This Row],[Account Deposit Amount]]-Table334[[#This Row],[Account Withdrawl Amount]], )</f>
        <v>0</v>
      </c>
      <c r="P440" s="243">
        <f>IF(Table334[[#This Row],[Category]]="Insignia",Table334[[#This Row],[Account Deposit Amount]]-Table334[[#This Row],[Account Withdrawl Amount]], )</f>
        <v>0</v>
      </c>
      <c r="Q440" s="243">
        <f>IF(Table334[[#This Row],[Category]]="Activities/Program",Table334[[#This Row],[Account Deposit Amount]]-Table334[[#This Row],[Account Withdrawl Amount]], )</f>
        <v>0</v>
      </c>
      <c r="R440" s="243">
        <f>IF(Table334[[#This Row],[Category]]="Travel",Table334[[#This Row],[Account Deposit Amount]]-Table334[[#This Row],[Account Withdrawl Amount]], )</f>
        <v>0</v>
      </c>
      <c r="S440" s="243">
        <f>IF(Table334[[#This Row],[Category]]="Parties Food &amp; Beverages",Table334[[#This Row],[Account Deposit Amount]]-Table334[[#This Row],[Account Withdrawl Amount]], )</f>
        <v>0</v>
      </c>
      <c r="T440" s="243">
        <f>IF(Table334[[#This Row],[Category]]="Service Projects Donation",Table334[[#This Row],[Account Deposit Amount]]-Table334[[#This Row],[Account Withdrawl Amount]], )</f>
        <v>0</v>
      </c>
      <c r="U440" s="243">
        <f>IF(Table334[[#This Row],[Category]]="Cookie Debt",Table334[[#This Row],[Account Deposit Amount]]-Table334[[#This Row],[Account Withdrawl Amount]], )</f>
        <v>0</v>
      </c>
      <c r="V440" s="243">
        <f>IF(Table334[[#This Row],[Category]]="Other Expense",Table334[[#This Row],[Account Deposit Amount]]-Table334[[#This Row],[Account Withdrawl Amount]], )</f>
        <v>0</v>
      </c>
    </row>
    <row r="441" spans="1:22">
      <c r="A441" s="225"/>
      <c r="B441" s="241"/>
      <c r="C441" s="225"/>
      <c r="D441" s="225"/>
      <c r="E441" s="242"/>
      <c r="F441" s="242"/>
      <c r="G441" s="243">
        <f t="shared" si="10"/>
        <v>2518.9699999999939</v>
      </c>
      <c r="H441" s="225"/>
      <c r="I441" s="243">
        <f>IF(Table334[[#This Row],[Category]]="Fall Product",Table334[[#This Row],[Account Deposit Amount]]-Table334[[#This Row],[Account Withdrawl Amount]], )</f>
        <v>0</v>
      </c>
      <c r="J441" s="243">
        <f>IF(Table334[[#This Row],[Category]]="Cookies",Table334[[#This Row],[Account Deposit Amount]]-Table334[[#This Row],[Account Withdrawl Amount]], )</f>
        <v>0</v>
      </c>
      <c r="K441" s="243">
        <f>IF(Table334[[#This Row],[Category]]="Additional Money Earning Activities",Table334[[#This Row],[Account Deposit Amount]]-Table334[[#This Row],[Account Withdrawl Amount]], )</f>
        <v>0</v>
      </c>
      <c r="L441" s="243">
        <f>IF(Table334[[#This Row],[Category]]="Sponsorships",Table334[[#This Row],[Account Deposit Amount]]-Table334[[#This Row],[Account Withdrawl Amount]], )</f>
        <v>0</v>
      </c>
      <c r="M441" s="243">
        <f>IF(Table334[[#This Row],[Category]]="Troop Dues",Table334[[#This Row],[Account Deposit Amount]]-Table334[[#This Row],[Account Withdrawl Amount]], )</f>
        <v>0</v>
      </c>
      <c r="N441" s="243">
        <f>IF(Table334[[#This Row],[Category]]="Other Income",Table334[[#This Row],[Account Deposit Amount]]-Table334[[#This Row],[Account Withdrawl Amount]], )</f>
        <v>0</v>
      </c>
      <c r="O441" s="243">
        <f>IF(Table334[[#This Row],[Category]]="Registration",Table334[[#This Row],[Account Deposit Amount]]-Table334[[#This Row],[Account Withdrawl Amount]], )</f>
        <v>0</v>
      </c>
      <c r="P441" s="243">
        <f>IF(Table334[[#This Row],[Category]]="Insignia",Table334[[#This Row],[Account Deposit Amount]]-Table334[[#This Row],[Account Withdrawl Amount]], )</f>
        <v>0</v>
      </c>
      <c r="Q441" s="243">
        <f>IF(Table334[[#This Row],[Category]]="Activities/Program",Table334[[#This Row],[Account Deposit Amount]]-Table334[[#This Row],[Account Withdrawl Amount]], )</f>
        <v>0</v>
      </c>
      <c r="R441" s="243">
        <f>IF(Table334[[#This Row],[Category]]="Travel",Table334[[#This Row],[Account Deposit Amount]]-Table334[[#This Row],[Account Withdrawl Amount]], )</f>
        <v>0</v>
      </c>
      <c r="S441" s="243">
        <f>IF(Table334[[#This Row],[Category]]="Parties Food &amp; Beverages",Table334[[#This Row],[Account Deposit Amount]]-Table334[[#This Row],[Account Withdrawl Amount]], )</f>
        <v>0</v>
      </c>
      <c r="T441" s="243">
        <f>IF(Table334[[#This Row],[Category]]="Service Projects Donation",Table334[[#This Row],[Account Deposit Amount]]-Table334[[#This Row],[Account Withdrawl Amount]], )</f>
        <v>0</v>
      </c>
      <c r="U441" s="243">
        <f>IF(Table334[[#This Row],[Category]]="Cookie Debt",Table334[[#This Row],[Account Deposit Amount]]-Table334[[#This Row],[Account Withdrawl Amount]], )</f>
        <v>0</v>
      </c>
      <c r="V441" s="243">
        <f>IF(Table334[[#This Row],[Category]]="Other Expense",Table334[[#This Row],[Account Deposit Amount]]-Table334[[#This Row],[Account Withdrawl Amount]], )</f>
        <v>0</v>
      </c>
    </row>
    <row r="442" spans="1:22">
      <c r="A442" s="225"/>
      <c r="B442" s="241"/>
      <c r="C442" s="225"/>
      <c r="D442" s="225"/>
      <c r="E442" s="242"/>
      <c r="F442" s="242"/>
      <c r="G442" s="243">
        <f t="shared" si="10"/>
        <v>2518.9699999999939</v>
      </c>
      <c r="H442" s="225"/>
      <c r="I442" s="243">
        <f>IF(Table334[[#This Row],[Category]]="Fall Product",Table334[[#This Row],[Account Deposit Amount]]-Table334[[#This Row],[Account Withdrawl Amount]], )</f>
        <v>0</v>
      </c>
      <c r="J442" s="243">
        <f>IF(Table334[[#This Row],[Category]]="Cookies",Table334[[#This Row],[Account Deposit Amount]]-Table334[[#This Row],[Account Withdrawl Amount]], )</f>
        <v>0</v>
      </c>
      <c r="K442" s="243">
        <f>IF(Table334[[#This Row],[Category]]="Additional Money Earning Activities",Table334[[#This Row],[Account Deposit Amount]]-Table334[[#This Row],[Account Withdrawl Amount]], )</f>
        <v>0</v>
      </c>
      <c r="L442" s="243">
        <f>IF(Table334[[#This Row],[Category]]="Sponsorships",Table334[[#This Row],[Account Deposit Amount]]-Table334[[#This Row],[Account Withdrawl Amount]], )</f>
        <v>0</v>
      </c>
      <c r="M442" s="243">
        <f>IF(Table334[[#This Row],[Category]]="Troop Dues",Table334[[#This Row],[Account Deposit Amount]]-Table334[[#This Row],[Account Withdrawl Amount]], )</f>
        <v>0</v>
      </c>
      <c r="N442" s="243">
        <f>IF(Table334[[#This Row],[Category]]="Other Income",Table334[[#This Row],[Account Deposit Amount]]-Table334[[#This Row],[Account Withdrawl Amount]], )</f>
        <v>0</v>
      </c>
      <c r="O442" s="243">
        <f>IF(Table334[[#This Row],[Category]]="Registration",Table334[[#This Row],[Account Deposit Amount]]-Table334[[#This Row],[Account Withdrawl Amount]], )</f>
        <v>0</v>
      </c>
      <c r="P442" s="243">
        <f>IF(Table334[[#This Row],[Category]]="Insignia",Table334[[#This Row],[Account Deposit Amount]]-Table334[[#This Row],[Account Withdrawl Amount]], )</f>
        <v>0</v>
      </c>
      <c r="Q442" s="243">
        <f>IF(Table334[[#This Row],[Category]]="Activities/Program",Table334[[#This Row],[Account Deposit Amount]]-Table334[[#This Row],[Account Withdrawl Amount]], )</f>
        <v>0</v>
      </c>
      <c r="R442" s="243">
        <f>IF(Table334[[#This Row],[Category]]="Travel",Table334[[#This Row],[Account Deposit Amount]]-Table334[[#This Row],[Account Withdrawl Amount]], )</f>
        <v>0</v>
      </c>
      <c r="S442" s="243">
        <f>IF(Table334[[#This Row],[Category]]="Parties Food &amp; Beverages",Table334[[#This Row],[Account Deposit Amount]]-Table334[[#This Row],[Account Withdrawl Amount]], )</f>
        <v>0</v>
      </c>
      <c r="T442" s="243">
        <f>IF(Table334[[#This Row],[Category]]="Service Projects Donation",Table334[[#This Row],[Account Deposit Amount]]-Table334[[#This Row],[Account Withdrawl Amount]], )</f>
        <v>0</v>
      </c>
      <c r="U442" s="243">
        <f>IF(Table334[[#This Row],[Category]]="Cookie Debt",Table334[[#This Row],[Account Deposit Amount]]-Table334[[#This Row],[Account Withdrawl Amount]], )</f>
        <v>0</v>
      </c>
      <c r="V442" s="243">
        <f>IF(Table334[[#This Row],[Category]]="Other Expense",Table334[[#This Row],[Account Deposit Amount]]-Table334[[#This Row],[Account Withdrawl Amount]], )</f>
        <v>0</v>
      </c>
    </row>
    <row r="443" spans="1:22">
      <c r="A443" s="225"/>
      <c r="B443" s="241"/>
      <c r="C443" s="225"/>
      <c r="D443" s="225"/>
      <c r="E443" s="242"/>
      <c r="F443" s="242"/>
      <c r="G443" s="243">
        <f t="shared" si="10"/>
        <v>2518.9699999999939</v>
      </c>
      <c r="H443" s="225"/>
      <c r="I443" s="243">
        <f>IF(Table334[[#This Row],[Category]]="Fall Product",Table334[[#This Row],[Account Deposit Amount]]-Table334[[#This Row],[Account Withdrawl Amount]], )</f>
        <v>0</v>
      </c>
      <c r="J443" s="243">
        <f>IF(Table334[[#This Row],[Category]]="Cookies",Table334[[#This Row],[Account Deposit Amount]]-Table334[[#This Row],[Account Withdrawl Amount]], )</f>
        <v>0</v>
      </c>
      <c r="K443" s="243">
        <f>IF(Table334[[#This Row],[Category]]="Additional Money Earning Activities",Table334[[#This Row],[Account Deposit Amount]]-Table334[[#This Row],[Account Withdrawl Amount]], )</f>
        <v>0</v>
      </c>
      <c r="L443" s="243">
        <f>IF(Table334[[#This Row],[Category]]="Sponsorships",Table334[[#This Row],[Account Deposit Amount]]-Table334[[#This Row],[Account Withdrawl Amount]], )</f>
        <v>0</v>
      </c>
      <c r="M443" s="243">
        <f>IF(Table334[[#This Row],[Category]]="Troop Dues",Table334[[#This Row],[Account Deposit Amount]]-Table334[[#This Row],[Account Withdrawl Amount]], )</f>
        <v>0</v>
      </c>
      <c r="N443" s="243">
        <f>IF(Table334[[#This Row],[Category]]="Other Income",Table334[[#This Row],[Account Deposit Amount]]-Table334[[#This Row],[Account Withdrawl Amount]], )</f>
        <v>0</v>
      </c>
      <c r="O443" s="243">
        <f>IF(Table334[[#This Row],[Category]]="Registration",Table334[[#This Row],[Account Deposit Amount]]-Table334[[#This Row],[Account Withdrawl Amount]], )</f>
        <v>0</v>
      </c>
      <c r="P443" s="243">
        <f>IF(Table334[[#This Row],[Category]]="Insignia",Table334[[#This Row],[Account Deposit Amount]]-Table334[[#This Row],[Account Withdrawl Amount]], )</f>
        <v>0</v>
      </c>
      <c r="Q443" s="243">
        <f>IF(Table334[[#This Row],[Category]]="Activities/Program",Table334[[#This Row],[Account Deposit Amount]]-Table334[[#This Row],[Account Withdrawl Amount]], )</f>
        <v>0</v>
      </c>
      <c r="R443" s="243">
        <f>IF(Table334[[#This Row],[Category]]="Travel",Table334[[#This Row],[Account Deposit Amount]]-Table334[[#This Row],[Account Withdrawl Amount]], )</f>
        <v>0</v>
      </c>
      <c r="S443" s="243">
        <f>IF(Table334[[#This Row],[Category]]="Parties Food &amp; Beverages",Table334[[#This Row],[Account Deposit Amount]]-Table334[[#This Row],[Account Withdrawl Amount]], )</f>
        <v>0</v>
      </c>
      <c r="T443" s="243">
        <f>IF(Table334[[#This Row],[Category]]="Service Projects Donation",Table334[[#This Row],[Account Deposit Amount]]-Table334[[#This Row],[Account Withdrawl Amount]], )</f>
        <v>0</v>
      </c>
      <c r="U443" s="243">
        <f>IF(Table334[[#This Row],[Category]]="Cookie Debt",Table334[[#This Row],[Account Deposit Amount]]-Table334[[#This Row],[Account Withdrawl Amount]], )</f>
        <v>0</v>
      </c>
      <c r="V443" s="243">
        <f>IF(Table334[[#This Row],[Category]]="Other Expense",Table334[[#This Row],[Account Deposit Amount]]-Table334[[#This Row],[Account Withdrawl Amount]], )</f>
        <v>0</v>
      </c>
    </row>
    <row r="444" spans="1:22">
      <c r="A444" s="225"/>
      <c r="B444" s="241"/>
      <c r="C444" s="225"/>
      <c r="D444" s="225"/>
      <c r="E444" s="242"/>
      <c r="F444" s="242"/>
      <c r="G444" s="243">
        <f t="shared" si="10"/>
        <v>2518.9699999999939</v>
      </c>
      <c r="H444" s="225"/>
      <c r="I444" s="243">
        <f>IF(Table334[[#This Row],[Category]]="Fall Product",Table334[[#This Row],[Account Deposit Amount]]-Table334[[#This Row],[Account Withdrawl Amount]], )</f>
        <v>0</v>
      </c>
      <c r="J444" s="243">
        <f>IF(Table334[[#This Row],[Category]]="Cookies",Table334[[#This Row],[Account Deposit Amount]]-Table334[[#This Row],[Account Withdrawl Amount]], )</f>
        <v>0</v>
      </c>
      <c r="K444" s="243">
        <f>IF(Table334[[#This Row],[Category]]="Additional Money Earning Activities",Table334[[#This Row],[Account Deposit Amount]]-Table334[[#This Row],[Account Withdrawl Amount]], )</f>
        <v>0</v>
      </c>
      <c r="L444" s="243">
        <f>IF(Table334[[#This Row],[Category]]="Sponsorships",Table334[[#This Row],[Account Deposit Amount]]-Table334[[#This Row],[Account Withdrawl Amount]], )</f>
        <v>0</v>
      </c>
      <c r="M444" s="243">
        <f>IF(Table334[[#This Row],[Category]]="Troop Dues",Table334[[#This Row],[Account Deposit Amount]]-Table334[[#This Row],[Account Withdrawl Amount]], )</f>
        <v>0</v>
      </c>
      <c r="N444" s="243">
        <f>IF(Table334[[#This Row],[Category]]="Other Income",Table334[[#This Row],[Account Deposit Amount]]-Table334[[#This Row],[Account Withdrawl Amount]], )</f>
        <v>0</v>
      </c>
      <c r="O444" s="243">
        <f>IF(Table334[[#This Row],[Category]]="Registration",Table334[[#This Row],[Account Deposit Amount]]-Table334[[#This Row],[Account Withdrawl Amount]], )</f>
        <v>0</v>
      </c>
      <c r="P444" s="243">
        <f>IF(Table334[[#This Row],[Category]]="Insignia",Table334[[#This Row],[Account Deposit Amount]]-Table334[[#This Row],[Account Withdrawl Amount]], )</f>
        <v>0</v>
      </c>
      <c r="Q444" s="243">
        <f>IF(Table334[[#This Row],[Category]]="Activities/Program",Table334[[#This Row],[Account Deposit Amount]]-Table334[[#This Row],[Account Withdrawl Amount]], )</f>
        <v>0</v>
      </c>
      <c r="R444" s="243">
        <f>IF(Table334[[#This Row],[Category]]="Travel",Table334[[#This Row],[Account Deposit Amount]]-Table334[[#This Row],[Account Withdrawl Amount]], )</f>
        <v>0</v>
      </c>
      <c r="S444" s="243">
        <f>IF(Table334[[#This Row],[Category]]="Parties Food &amp; Beverages",Table334[[#This Row],[Account Deposit Amount]]-Table334[[#This Row],[Account Withdrawl Amount]], )</f>
        <v>0</v>
      </c>
      <c r="T444" s="243">
        <f>IF(Table334[[#This Row],[Category]]="Service Projects Donation",Table334[[#This Row],[Account Deposit Amount]]-Table334[[#This Row],[Account Withdrawl Amount]], )</f>
        <v>0</v>
      </c>
      <c r="U444" s="243">
        <f>IF(Table334[[#This Row],[Category]]="Cookie Debt",Table334[[#This Row],[Account Deposit Amount]]-Table334[[#This Row],[Account Withdrawl Amount]], )</f>
        <v>0</v>
      </c>
      <c r="V444" s="243">
        <f>IF(Table334[[#This Row],[Category]]="Other Expense",Table334[[#This Row],[Account Deposit Amount]]-Table334[[#This Row],[Account Withdrawl Amount]], )</f>
        <v>0</v>
      </c>
    </row>
    <row r="445" spans="1:22">
      <c r="A445" s="225"/>
      <c r="B445" s="241"/>
      <c r="C445" s="225"/>
      <c r="D445" s="225"/>
      <c r="E445" s="242"/>
      <c r="F445" s="242"/>
      <c r="G445" s="243">
        <f t="shared" si="10"/>
        <v>2518.9699999999939</v>
      </c>
      <c r="H445" s="225"/>
      <c r="I445" s="243">
        <f>IF(Table334[[#This Row],[Category]]="Fall Product",Table334[[#This Row],[Account Deposit Amount]]-Table334[[#This Row],[Account Withdrawl Amount]], )</f>
        <v>0</v>
      </c>
      <c r="J445" s="243">
        <f>IF(Table334[[#This Row],[Category]]="Cookies",Table334[[#This Row],[Account Deposit Amount]]-Table334[[#This Row],[Account Withdrawl Amount]], )</f>
        <v>0</v>
      </c>
      <c r="K445" s="243">
        <f>IF(Table334[[#This Row],[Category]]="Additional Money Earning Activities",Table334[[#This Row],[Account Deposit Amount]]-Table334[[#This Row],[Account Withdrawl Amount]], )</f>
        <v>0</v>
      </c>
      <c r="L445" s="243">
        <f>IF(Table334[[#This Row],[Category]]="Sponsorships",Table334[[#This Row],[Account Deposit Amount]]-Table334[[#This Row],[Account Withdrawl Amount]], )</f>
        <v>0</v>
      </c>
      <c r="M445" s="243">
        <f>IF(Table334[[#This Row],[Category]]="Troop Dues",Table334[[#This Row],[Account Deposit Amount]]-Table334[[#This Row],[Account Withdrawl Amount]], )</f>
        <v>0</v>
      </c>
      <c r="N445" s="243">
        <f>IF(Table334[[#This Row],[Category]]="Other Income",Table334[[#This Row],[Account Deposit Amount]]-Table334[[#This Row],[Account Withdrawl Amount]], )</f>
        <v>0</v>
      </c>
      <c r="O445" s="243">
        <f>IF(Table334[[#This Row],[Category]]="Registration",Table334[[#This Row],[Account Deposit Amount]]-Table334[[#This Row],[Account Withdrawl Amount]], )</f>
        <v>0</v>
      </c>
      <c r="P445" s="243">
        <f>IF(Table334[[#This Row],[Category]]="Insignia",Table334[[#This Row],[Account Deposit Amount]]-Table334[[#This Row],[Account Withdrawl Amount]], )</f>
        <v>0</v>
      </c>
      <c r="Q445" s="243">
        <f>IF(Table334[[#This Row],[Category]]="Activities/Program",Table334[[#This Row],[Account Deposit Amount]]-Table334[[#This Row],[Account Withdrawl Amount]], )</f>
        <v>0</v>
      </c>
      <c r="R445" s="243">
        <f>IF(Table334[[#This Row],[Category]]="Travel",Table334[[#This Row],[Account Deposit Amount]]-Table334[[#This Row],[Account Withdrawl Amount]], )</f>
        <v>0</v>
      </c>
      <c r="S445" s="243">
        <f>IF(Table334[[#This Row],[Category]]="Parties Food &amp; Beverages",Table334[[#This Row],[Account Deposit Amount]]-Table334[[#This Row],[Account Withdrawl Amount]], )</f>
        <v>0</v>
      </c>
      <c r="T445" s="243">
        <f>IF(Table334[[#This Row],[Category]]="Service Projects Donation",Table334[[#This Row],[Account Deposit Amount]]-Table334[[#This Row],[Account Withdrawl Amount]], )</f>
        <v>0</v>
      </c>
      <c r="U445" s="243">
        <f>IF(Table334[[#This Row],[Category]]="Cookie Debt",Table334[[#This Row],[Account Deposit Amount]]-Table334[[#This Row],[Account Withdrawl Amount]], )</f>
        <v>0</v>
      </c>
      <c r="V445" s="243">
        <f>IF(Table334[[#This Row],[Category]]="Other Expense",Table334[[#This Row],[Account Deposit Amount]]-Table334[[#This Row],[Account Withdrawl Amount]], )</f>
        <v>0</v>
      </c>
    </row>
    <row r="446" spans="1:22">
      <c r="A446" s="225"/>
      <c r="B446" s="241"/>
      <c r="C446" s="225"/>
      <c r="D446" s="225"/>
      <c r="E446" s="242"/>
      <c r="F446" s="242"/>
      <c r="G446" s="243">
        <f t="shared" si="10"/>
        <v>2518.9699999999939</v>
      </c>
      <c r="H446" s="225"/>
      <c r="I446" s="243">
        <f>IF(Table334[[#This Row],[Category]]="Fall Product",Table334[[#This Row],[Account Deposit Amount]]-Table334[[#This Row],[Account Withdrawl Amount]], )</f>
        <v>0</v>
      </c>
      <c r="J446" s="243">
        <f>IF(Table334[[#This Row],[Category]]="Cookies",Table334[[#This Row],[Account Deposit Amount]]-Table334[[#This Row],[Account Withdrawl Amount]], )</f>
        <v>0</v>
      </c>
      <c r="K446" s="243">
        <f>IF(Table334[[#This Row],[Category]]="Additional Money Earning Activities",Table334[[#This Row],[Account Deposit Amount]]-Table334[[#This Row],[Account Withdrawl Amount]], )</f>
        <v>0</v>
      </c>
      <c r="L446" s="243">
        <f>IF(Table334[[#This Row],[Category]]="Sponsorships",Table334[[#This Row],[Account Deposit Amount]]-Table334[[#This Row],[Account Withdrawl Amount]], )</f>
        <v>0</v>
      </c>
      <c r="M446" s="243">
        <f>IF(Table334[[#This Row],[Category]]="Troop Dues",Table334[[#This Row],[Account Deposit Amount]]-Table334[[#This Row],[Account Withdrawl Amount]], )</f>
        <v>0</v>
      </c>
      <c r="N446" s="243">
        <f>IF(Table334[[#This Row],[Category]]="Other Income",Table334[[#This Row],[Account Deposit Amount]]-Table334[[#This Row],[Account Withdrawl Amount]], )</f>
        <v>0</v>
      </c>
      <c r="O446" s="243">
        <f>IF(Table334[[#This Row],[Category]]="Registration",Table334[[#This Row],[Account Deposit Amount]]-Table334[[#This Row],[Account Withdrawl Amount]], )</f>
        <v>0</v>
      </c>
      <c r="P446" s="243">
        <f>IF(Table334[[#This Row],[Category]]="Insignia",Table334[[#This Row],[Account Deposit Amount]]-Table334[[#This Row],[Account Withdrawl Amount]], )</f>
        <v>0</v>
      </c>
      <c r="Q446" s="243">
        <f>IF(Table334[[#This Row],[Category]]="Activities/Program",Table334[[#This Row],[Account Deposit Amount]]-Table334[[#This Row],[Account Withdrawl Amount]], )</f>
        <v>0</v>
      </c>
      <c r="R446" s="243">
        <f>IF(Table334[[#This Row],[Category]]="Travel",Table334[[#This Row],[Account Deposit Amount]]-Table334[[#This Row],[Account Withdrawl Amount]], )</f>
        <v>0</v>
      </c>
      <c r="S446" s="243">
        <f>IF(Table334[[#This Row],[Category]]="Parties Food &amp; Beverages",Table334[[#This Row],[Account Deposit Amount]]-Table334[[#This Row],[Account Withdrawl Amount]], )</f>
        <v>0</v>
      </c>
      <c r="T446" s="243">
        <f>IF(Table334[[#This Row],[Category]]="Service Projects Donation",Table334[[#This Row],[Account Deposit Amount]]-Table334[[#This Row],[Account Withdrawl Amount]], )</f>
        <v>0</v>
      </c>
      <c r="U446" s="243">
        <f>IF(Table334[[#This Row],[Category]]="Cookie Debt",Table334[[#This Row],[Account Deposit Amount]]-Table334[[#This Row],[Account Withdrawl Amount]], )</f>
        <v>0</v>
      </c>
      <c r="V446" s="243">
        <f>IF(Table334[[#This Row],[Category]]="Other Expense",Table334[[#This Row],[Account Deposit Amount]]-Table334[[#This Row],[Account Withdrawl Amount]], )</f>
        <v>0</v>
      </c>
    </row>
    <row r="447" spans="1:22">
      <c r="A447" s="225"/>
      <c r="B447" s="241"/>
      <c r="C447" s="225"/>
      <c r="D447" s="225"/>
      <c r="E447" s="242"/>
      <c r="F447" s="242"/>
      <c r="G447" s="243">
        <f t="shared" si="10"/>
        <v>2518.9699999999939</v>
      </c>
      <c r="H447" s="225"/>
      <c r="I447" s="243">
        <f>IF(Table334[[#This Row],[Category]]="Fall Product",Table334[[#This Row],[Account Deposit Amount]]-Table334[[#This Row],[Account Withdrawl Amount]], )</f>
        <v>0</v>
      </c>
      <c r="J447" s="243">
        <f>IF(Table334[[#This Row],[Category]]="Cookies",Table334[[#This Row],[Account Deposit Amount]]-Table334[[#This Row],[Account Withdrawl Amount]], )</f>
        <v>0</v>
      </c>
      <c r="K447" s="243">
        <f>IF(Table334[[#This Row],[Category]]="Additional Money Earning Activities",Table334[[#This Row],[Account Deposit Amount]]-Table334[[#This Row],[Account Withdrawl Amount]], )</f>
        <v>0</v>
      </c>
      <c r="L447" s="243">
        <f>IF(Table334[[#This Row],[Category]]="Sponsorships",Table334[[#This Row],[Account Deposit Amount]]-Table334[[#This Row],[Account Withdrawl Amount]], )</f>
        <v>0</v>
      </c>
      <c r="M447" s="243">
        <f>IF(Table334[[#This Row],[Category]]="Troop Dues",Table334[[#This Row],[Account Deposit Amount]]-Table334[[#This Row],[Account Withdrawl Amount]], )</f>
        <v>0</v>
      </c>
      <c r="N447" s="243">
        <f>IF(Table334[[#This Row],[Category]]="Other Income",Table334[[#This Row],[Account Deposit Amount]]-Table334[[#This Row],[Account Withdrawl Amount]], )</f>
        <v>0</v>
      </c>
      <c r="O447" s="243">
        <f>IF(Table334[[#This Row],[Category]]="Registration",Table334[[#This Row],[Account Deposit Amount]]-Table334[[#This Row],[Account Withdrawl Amount]], )</f>
        <v>0</v>
      </c>
      <c r="P447" s="243">
        <f>IF(Table334[[#This Row],[Category]]="Insignia",Table334[[#This Row],[Account Deposit Amount]]-Table334[[#This Row],[Account Withdrawl Amount]], )</f>
        <v>0</v>
      </c>
      <c r="Q447" s="243">
        <f>IF(Table334[[#This Row],[Category]]="Activities/Program",Table334[[#This Row],[Account Deposit Amount]]-Table334[[#This Row],[Account Withdrawl Amount]], )</f>
        <v>0</v>
      </c>
      <c r="R447" s="243">
        <f>IF(Table334[[#This Row],[Category]]="Travel",Table334[[#This Row],[Account Deposit Amount]]-Table334[[#This Row],[Account Withdrawl Amount]], )</f>
        <v>0</v>
      </c>
      <c r="S447" s="243">
        <f>IF(Table334[[#This Row],[Category]]="Parties Food &amp; Beverages",Table334[[#This Row],[Account Deposit Amount]]-Table334[[#This Row],[Account Withdrawl Amount]], )</f>
        <v>0</v>
      </c>
      <c r="T447" s="243">
        <f>IF(Table334[[#This Row],[Category]]="Service Projects Donation",Table334[[#This Row],[Account Deposit Amount]]-Table334[[#This Row],[Account Withdrawl Amount]], )</f>
        <v>0</v>
      </c>
      <c r="U447" s="243">
        <f>IF(Table334[[#This Row],[Category]]="Cookie Debt",Table334[[#This Row],[Account Deposit Amount]]-Table334[[#This Row],[Account Withdrawl Amount]], )</f>
        <v>0</v>
      </c>
      <c r="V447" s="243">
        <f>IF(Table334[[#This Row],[Category]]="Other Expense",Table334[[#This Row],[Account Deposit Amount]]-Table334[[#This Row],[Account Withdrawl Amount]], )</f>
        <v>0</v>
      </c>
    </row>
    <row r="448" spans="1:22">
      <c r="A448" s="225"/>
      <c r="B448" s="241"/>
      <c r="C448" s="225"/>
      <c r="D448" s="225"/>
      <c r="E448" s="242"/>
      <c r="F448" s="242"/>
      <c r="G448" s="243">
        <f t="shared" si="10"/>
        <v>2518.9699999999939</v>
      </c>
      <c r="H448" s="225"/>
      <c r="I448" s="243">
        <f>IF(Table334[[#This Row],[Category]]="Fall Product",Table334[[#This Row],[Account Deposit Amount]]-Table334[[#This Row],[Account Withdrawl Amount]], )</f>
        <v>0</v>
      </c>
      <c r="J448" s="243">
        <f>IF(Table334[[#This Row],[Category]]="Cookies",Table334[[#This Row],[Account Deposit Amount]]-Table334[[#This Row],[Account Withdrawl Amount]], )</f>
        <v>0</v>
      </c>
      <c r="K448" s="243">
        <f>IF(Table334[[#This Row],[Category]]="Additional Money Earning Activities",Table334[[#This Row],[Account Deposit Amount]]-Table334[[#This Row],[Account Withdrawl Amount]], )</f>
        <v>0</v>
      </c>
      <c r="L448" s="243">
        <f>IF(Table334[[#This Row],[Category]]="Sponsorships",Table334[[#This Row],[Account Deposit Amount]]-Table334[[#This Row],[Account Withdrawl Amount]], )</f>
        <v>0</v>
      </c>
      <c r="M448" s="243">
        <f>IF(Table334[[#This Row],[Category]]="Troop Dues",Table334[[#This Row],[Account Deposit Amount]]-Table334[[#This Row],[Account Withdrawl Amount]], )</f>
        <v>0</v>
      </c>
      <c r="N448" s="243">
        <f>IF(Table334[[#This Row],[Category]]="Other Income",Table334[[#This Row],[Account Deposit Amount]]-Table334[[#This Row],[Account Withdrawl Amount]], )</f>
        <v>0</v>
      </c>
      <c r="O448" s="243">
        <f>IF(Table334[[#This Row],[Category]]="Registration",Table334[[#This Row],[Account Deposit Amount]]-Table334[[#This Row],[Account Withdrawl Amount]], )</f>
        <v>0</v>
      </c>
      <c r="P448" s="243">
        <f>IF(Table334[[#This Row],[Category]]="Insignia",Table334[[#This Row],[Account Deposit Amount]]-Table334[[#This Row],[Account Withdrawl Amount]], )</f>
        <v>0</v>
      </c>
      <c r="Q448" s="243">
        <f>IF(Table334[[#This Row],[Category]]="Activities/Program",Table334[[#This Row],[Account Deposit Amount]]-Table334[[#This Row],[Account Withdrawl Amount]], )</f>
        <v>0</v>
      </c>
      <c r="R448" s="243">
        <f>IF(Table334[[#This Row],[Category]]="Travel",Table334[[#This Row],[Account Deposit Amount]]-Table334[[#This Row],[Account Withdrawl Amount]], )</f>
        <v>0</v>
      </c>
      <c r="S448" s="243">
        <f>IF(Table334[[#This Row],[Category]]="Parties Food &amp; Beverages",Table334[[#This Row],[Account Deposit Amount]]-Table334[[#This Row],[Account Withdrawl Amount]], )</f>
        <v>0</v>
      </c>
      <c r="T448" s="243">
        <f>IF(Table334[[#This Row],[Category]]="Service Projects Donation",Table334[[#This Row],[Account Deposit Amount]]-Table334[[#This Row],[Account Withdrawl Amount]], )</f>
        <v>0</v>
      </c>
      <c r="U448" s="243">
        <f>IF(Table334[[#This Row],[Category]]="Cookie Debt",Table334[[#This Row],[Account Deposit Amount]]-Table334[[#This Row],[Account Withdrawl Amount]], )</f>
        <v>0</v>
      </c>
      <c r="V448" s="243">
        <f>IF(Table334[[#This Row],[Category]]="Other Expense",Table334[[#This Row],[Account Deposit Amount]]-Table334[[#This Row],[Account Withdrawl Amount]], )</f>
        <v>0</v>
      </c>
    </row>
    <row r="449" spans="1:22">
      <c r="A449" s="225"/>
      <c r="B449" s="241"/>
      <c r="C449" s="225"/>
      <c r="D449" s="225"/>
      <c r="E449" s="242"/>
      <c r="F449" s="242"/>
      <c r="G449" s="243">
        <f t="shared" si="10"/>
        <v>2518.9699999999939</v>
      </c>
      <c r="H449" s="225"/>
      <c r="I449" s="243">
        <f>IF(Table334[[#This Row],[Category]]="Fall Product",Table334[[#This Row],[Account Deposit Amount]]-Table334[[#This Row],[Account Withdrawl Amount]], )</f>
        <v>0</v>
      </c>
      <c r="J449" s="243">
        <f>IF(Table334[[#This Row],[Category]]="Cookies",Table334[[#This Row],[Account Deposit Amount]]-Table334[[#This Row],[Account Withdrawl Amount]], )</f>
        <v>0</v>
      </c>
      <c r="K449" s="243">
        <f>IF(Table334[[#This Row],[Category]]="Additional Money Earning Activities",Table334[[#This Row],[Account Deposit Amount]]-Table334[[#This Row],[Account Withdrawl Amount]], )</f>
        <v>0</v>
      </c>
      <c r="L449" s="243">
        <f>IF(Table334[[#This Row],[Category]]="Sponsorships",Table334[[#This Row],[Account Deposit Amount]]-Table334[[#This Row],[Account Withdrawl Amount]], )</f>
        <v>0</v>
      </c>
      <c r="M449" s="243">
        <f>IF(Table334[[#This Row],[Category]]="Troop Dues",Table334[[#This Row],[Account Deposit Amount]]-Table334[[#This Row],[Account Withdrawl Amount]], )</f>
        <v>0</v>
      </c>
      <c r="N449" s="243">
        <f>IF(Table334[[#This Row],[Category]]="Other Income",Table334[[#This Row],[Account Deposit Amount]]-Table334[[#This Row],[Account Withdrawl Amount]], )</f>
        <v>0</v>
      </c>
      <c r="O449" s="243">
        <f>IF(Table334[[#This Row],[Category]]="Registration",Table334[[#This Row],[Account Deposit Amount]]-Table334[[#This Row],[Account Withdrawl Amount]], )</f>
        <v>0</v>
      </c>
      <c r="P449" s="243">
        <f>IF(Table334[[#This Row],[Category]]="Insignia",Table334[[#This Row],[Account Deposit Amount]]-Table334[[#This Row],[Account Withdrawl Amount]], )</f>
        <v>0</v>
      </c>
      <c r="Q449" s="243">
        <f>IF(Table334[[#This Row],[Category]]="Activities/Program",Table334[[#This Row],[Account Deposit Amount]]-Table334[[#This Row],[Account Withdrawl Amount]], )</f>
        <v>0</v>
      </c>
      <c r="R449" s="243">
        <f>IF(Table334[[#This Row],[Category]]="Travel",Table334[[#This Row],[Account Deposit Amount]]-Table334[[#This Row],[Account Withdrawl Amount]], )</f>
        <v>0</v>
      </c>
      <c r="S449" s="243">
        <f>IF(Table334[[#This Row],[Category]]="Parties Food &amp; Beverages",Table334[[#This Row],[Account Deposit Amount]]-Table334[[#This Row],[Account Withdrawl Amount]], )</f>
        <v>0</v>
      </c>
      <c r="T449" s="243">
        <f>IF(Table334[[#This Row],[Category]]="Service Projects Donation",Table334[[#This Row],[Account Deposit Amount]]-Table334[[#This Row],[Account Withdrawl Amount]], )</f>
        <v>0</v>
      </c>
      <c r="U449" s="243">
        <f>IF(Table334[[#This Row],[Category]]="Cookie Debt",Table334[[#This Row],[Account Deposit Amount]]-Table334[[#This Row],[Account Withdrawl Amount]], )</f>
        <v>0</v>
      </c>
      <c r="V449" s="243">
        <f>IF(Table334[[#This Row],[Category]]="Other Expense",Table334[[#This Row],[Account Deposit Amount]]-Table334[[#This Row],[Account Withdrawl Amount]], )</f>
        <v>0</v>
      </c>
    </row>
    <row r="450" spans="1:22">
      <c r="A450" s="225"/>
      <c r="B450" s="241"/>
      <c r="C450" s="225"/>
      <c r="D450" s="225"/>
      <c r="E450" s="242"/>
      <c r="F450" s="242"/>
      <c r="G450" s="243">
        <f t="shared" si="10"/>
        <v>2518.9699999999939</v>
      </c>
      <c r="H450" s="225"/>
      <c r="I450" s="243">
        <f>IF(Table334[[#This Row],[Category]]="Fall Product",Table334[[#This Row],[Account Deposit Amount]]-Table334[[#This Row],[Account Withdrawl Amount]], )</f>
        <v>0</v>
      </c>
      <c r="J450" s="243">
        <f>IF(Table334[[#This Row],[Category]]="Cookies",Table334[[#This Row],[Account Deposit Amount]]-Table334[[#This Row],[Account Withdrawl Amount]], )</f>
        <v>0</v>
      </c>
      <c r="K450" s="243">
        <f>IF(Table334[[#This Row],[Category]]="Additional Money Earning Activities",Table334[[#This Row],[Account Deposit Amount]]-Table334[[#This Row],[Account Withdrawl Amount]], )</f>
        <v>0</v>
      </c>
      <c r="L450" s="243">
        <f>IF(Table334[[#This Row],[Category]]="Sponsorships",Table334[[#This Row],[Account Deposit Amount]]-Table334[[#This Row],[Account Withdrawl Amount]], )</f>
        <v>0</v>
      </c>
      <c r="M450" s="243">
        <f>IF(Table334[[#This Row],[Category]]="Troop Dues",Table334[[#This Row],[Account Deposit Amount]]-Table334[[#This Row],[Account Withdrawl Amount]], )</f>
        <v>0</v>
      </c>
      <c r="N450" s="243">
        <f>IF(Table334[[#This Row],[Category]]="Other Income",Table334[[#This Row],[Account Deposit Amount]]-Table334[[#This Row],[Account Withdrawl Amount]], )</f>
        <v>0</v>
      </c>
      <c r="O450" s="243">
        <f>IF(Table334[[#This Row],[Category]]="Registration",Table334[[#This Row],[Account Deposit Amount]]-Table334[[#This Row],[Account Withdrawl Amount]], )</f>
        <v>0</v>
      </c>
      <c r="P450" s="243">
        <f>IF(Table334[[#This Row],[Category]]="Insignia",Table334[[#This Row],[Account Deposit Amount]]-Table334[[#This Row],[Account Withdrawl Amount]], )</f>
        <v>0</v>
      </c>
      <c r="Q450" s="243">
        <f>IF(Table334[[#This Row],[Category]]="Activities/Program",Table334[[#This Row],[Account Deposit Amount]]-Table334[[#This Row],[Account Withdrawl Amount]], )</f>
        <v>0</v>
      </c>
      <c r="R450" s="243">
        <f>IF(Table334[[#This Row],[Category]]="Travel",Table334[[#This Row],[Account Deposit Amount]]-Table334[[#This Row],[Account Withdrawl Amount]], )</f>
        <v>0</v>
      </c>
      <c r="S450" s="243">
        <f>IF(Table334[[#This Row],[Category]]="Parties Food &amp; Beverages",Table334[[#This Row],[Account Deposit Amount]]-Table334[[#This Row],[Account Withdrawl Amount]], )</f>
        <v>0</v>
      </c>
      <c r="T450" s="243">
        <f>IF(Table334[[#This Row],[Category]]="Service Projects Donation",Table334[[#This Row],[Account Deposit Amount]]-Table334[[#This Row],[Account Withdrawl Amount]], )</f>
        <v>0</v>
      </c>
      <c r="U450" s="243">
        <f>IF(Table334[[#This Row],[Category]]="Cookie Debt",Table334[[#This Row],[Account Deposit Amount]]-Table334[[#This Row],[Account Withdrawl Amount]], )</f>
        <v>0</v>
      </c>
      <c r="V450" s="243">
        <f>IF(Table334[[#This Row],[Category]]="Other Expense",Table334[[#This Row],[Account Deposit Amount]]-Table334[[#This Row],[Account Withdrawl Amount]], )</f>
        <v>0</v>
      </c>
    </row>
    <row r="451" spans="1:22">
      <c r="A451" s="225"/>
      <c r="B451" s="241"/>
      <c r="C451" s="225"/>
      <c r="D451" s="225"/>
      <c r="E451" s="242"/>
      <c r="F451" s="242"/>
      <c r="G451" s="243">
        <f t="shared" si="10"/>
        <v>2518.9699999999939</v>
      </c>
      <c r="H451" s="225"/>
      <c r="I451" s="243">
        <f>IF(Table334[[#This Row],[Category]]="Fall Product",Table334[[#This Row],[Account Deposit Amount]]-Table334[[#This Row],[Account Withdrawl Amount]], )</f>
        <v>0</v>
      </c>
      <c r="J451" s="243">
        <f>IF(Table334[[#This Row],[Category]]="Cookies",Table334[[#This Row],[Account Deposit Amount]]-Table334[[#This Row],[Account Withdrawl Amount]], )</f>
        <v>0</v>
      </c>
      <c r="K451" s="243">
        <f>IF(Table334[[#This Row],[Category]]="Additional Money Earning Activities",Table334[[#This Row],[Account Deposit Amount]]-Table334[[#This Row],[Account Withdrawl Amount]], )</f>
        <v>0</v>
      </c>
      <c r="L451" s="243">
        <f>IF(Table334[[#This Row],[Category]]="Sponsorships",Table334[[#This Row],[Account Deposit Amount]]-Table334[[#This Row],[Account Withdrawl Amount]], )</f>
        <v>0</v>
      </c>
      <c r="M451" s="243">
        <f>IF(Table334[[#This Row],[Category]]="Troop Dues",Table334[[#This Row],[Account Deposit Amount]]-Table334[[#This Row],[Account Withdrawl Amount]], )</f>
        <v>0</v>
      </c>
      <c r="N451" s="243">
        <f>IF(Table334[[#This Row],[Category]]="Other Income",Table334[[#This Row],[Account Deposit Amount]]-Table334[[#This Row],[Account Withdrawl Amount]], )</f>
        <v>0</v>
      </c>
      <c r="O451" s="243">
        <f>IF(Table334[[#This Row],[Category]]="Registration",Table334[[#This Row],[Account Deposit Amount]]-Table334[[#This Row],[Account Withdrawl Amount]], )</f>
        <v>0</v>
      </c>
      <c r="P451" s="243">
        <f>IF(Table334[[#This Row],[Category]]="Insignia",Table334[[#This Row],[Account Deposit Amount]]-Table334[[#This Row],[Account Withdrawl Amount]], )</f>
        <v>0</v>
      </c>
      <c r="Q451" s="243">
        <f>IF(Table334[[#This Row],[Category]]="Activities/Program",Table334[[#This Row],[Account Deposit Amount]]-Table334[[#This Row],[Account Withdrawl Amount]], )</f>
        <v>0</v>
      </c>
      <c r="R451" s="243">
        <f>IF(Table334[[#This Row],[Category]]="Travel",Table334[[#This Row],[Account Deposit Amount]]-Table334[[#This Row],[Account Withdrawl Amount]], )</f>
        <v>0</v>
      </c>
      <c r="S451" s="243">
        <f>IF(Table334[[#This Row],[Category]]="Parties Food &amp; Beverages",Table334[[#This Row],[Account Deposit Amount]]-Table334[[#This Row],[Account Withdrawl Amount]], )</f>
        <v>0</v>
      </c>
      <c r="T451" s="243">
        <f>IF(Table334[[#This Row],[Category]]="Service Projects Donation",Table334[[#This Row],[Account Deposit Amount]]-Table334[[#This Row],[Account Withdrawl Amount]], )</f>
        <v>0</v>
      </c>
      <c r="U451" s="243">
        <f>IF(Table334[[#This Row],[Category]]="Cookie Debt",Table334[[#This Row],[Account Deposit Amount]]-Table334[[#This Row],[Account Withdrawl Amount]], )</f>
        <v>0</v>
      </c>
      <c r="V451" s="243">
        <f>IF(Table334[[#This Row],[Category]]="Other Expense",Table334[[#This Row],[Account Deposit Amount]]-Table334[[#This Row],[Account Withdrawl Amount]], )</f>
        <v>0</v>
      </c>
    </row>
    <row r="452" spans="1:22">
      <c r="A452" s="225"/>
      <c r="B452" s="241"/>
      <c r="C452" s="225"/>
      <c r="D452" s="225"/>
      <c r="E452" s="242"/>
      <c r="F452" s="242"/>
      <c r="G452" s="243">
        <f t="shared" si="10"/>
        <v>2518.9699999999939</v>
      </c>
      <c r="H452" s="225"/>
      <c r="I452" s="243">
        <f>IF(Table334[[#This Row],[Category]]="Fall Product",Table334[[#This Row],[Account Deposit Amount]]-Table334[[#This Row],[Account Withdrawl Amount]], )</f>
        <v>0</v>
      </c>
      <c r="J452" s="243">
        <f>IF(Table334[[#This Row],[Category]]="Cookies",Table334[[#This Row],[Account Deposit Amount]]-Table334[[#This Row],[Account Withdrawl Amount]], )</f>
        <v>0</v>
      </c>
      <c r="K452" s="243">
        <f>IF(Table334[[#This Row],[Category]]="Additional Money Earning Activities",Table334[[#This Row],[Account Deposit Amount]]-Table334[[#This Row],[Account Withdrawl Amount]], )</f>
        <v>0</v>
      </c>
      <c r="L452" s="243">
        <f>IF(Table334[[#This Row],[Category]]="Sponsorships",Table334[[#This Row],[Account Deposit Amount]]-Table334[[#This Row],[Account Withdrawl Amount]], )</f>
        <v>0</v>
      </c>
      <c r="M452" s="243">
        <f>IF(Table334[[#This Row],[Category]]="Troop Dues",Table334[[#This Row],[Account Deposit Amount]]-Table334[[#This Row],[Account Withdrawl Amount]], )</f>
        <v>0</v>
      </c>
      <c r="N452" s="243">
        <f>IF(Table334[[#This Row],[Category]]="Other Income",Table334[[#This Row],[Account Deposit Amount]]-Table334[[#This Row],[Account Withdrawl Amount]], )</f>
        <v>0</v>
      </c>
      <c r="O452" s="243">
        <f>IF(Table334[[#This Row],[Category]]="Registration",Table334[[#This Row],[Account Deposit Amount]]-Table334[[#This Row],[Account Withdrawl Amount]], )</f>
        <v>0</v>
      </c>
      <c r="P452" s="243">
        <f>IF(Table334[[#This Row],[Category]]="Insignia",Table334[[#This Row],[Account Deposit Amount]]-Table334[[#This Row],[Account Withdrawl Amount]], )</f>
        <v>0</v>
      </c>
      <c r="Q452" s="243">
        <f>IF(Table334[[#This Row],[Category]]="Activities/Program",Table334[[#This Row],[Account Deposit Amount]]-Table334[[#This Row],[Account Withdrawl Amount]], )</f>
        <v>0</v>
      </c>
      <c r="R452" s="243">
        <f>IF(Table334[[#This Row],[Category]]="Travel",Table334[[#This Row],[Account Deposit Amount]]-Table334[[#This Row],[Account Withdrawl Amount]], )</f>
        <v>0</v>
      </c>
      <c r="S452" s="243">
        <f>IF(Table334[[#This Row],[Category]]="Parties Food &amp; Beverages",Table334[[#This Row],[Account Deposit Amount]]-Table334[[#This Row],[Account Withdrawl Amount]], )</f>
        <v>0</v>
      </c>
      <c r="T452" s="243">
        <f>IF(Table334[[#This Row],[Category]]="Service Projects Donation",Table334[[#This Row],[Account Deposit Amount]]-Table334[[#This Row],[Account Withdrawl Amount]], )</f>
        <v>0</v>
      </c>
      <c r="U452" s="243">
        <f>IF(Table334[[#This Row],[Category]]="Cookie Debt",Table334[[#This Row],[Account Deposit Amount]]-Table334[[#This Row],[Account Withdrawl Amount]], )</f>
        <v>0</v>
      </c>
      <c r="V452" s="243">
        <f>IF(Table334[[#This Row],[Category]]="Other Expense",Table334[[#This Row],[Account Deposit Amount]]-Table334[[#This Row],[Account Withdrawl Amount]], )</f>
        <v>0</v>
      </c>
    </row>
    <row r="453" spans="1:22">
      <c r="A453" s="225"/>
      <c r="B453" s="241"/>
      <c r="C453" s="225"/>
      <c r="D453" s="225"/>
      <c r="E453" s="242"/>
      <c r="F453" s="242"/>
      <c r="G453" s="243">
        <f t="shared" si="10"/>
        <v>2518.9699999999939</v>
      </c>
      <c r="H453" s="225"/>
      <c r="I453" s="243">
        <f>IF(Table334[[#This Row],[Category]]="Fall Product",Table334[[#This Row],[Account Deposit Amount]]-Table334[[#This Row],[Account Withdrawl Amount]], )</f>
        <v>0</v>
      </c>
      <c r="J453" s="243">
        <f>IF(Table334[[#This Row],[Category]]="Cookies",Table334[[#This Row],[Account Deposit Amount]]-Table334[[#This Row],[Account Withdrawl Amount]], )</f>
        <v>0</v>
      </c>
      <c r="K453" s="243">
        <f>IF(Table334[[#This Row],[Category]]="Additional Money Earning Activities",Table334[[#This Row],[Account Deposit Amount]]-Table334[[#This Row],[Account Withdrawl Amount]], )</f>
        <v>0</v>
      </c>
      <c r="L453" s="243">
        <f>IF(Table334[[#This Row],[Category]]="Sponsorships",Table334[[#This Row],[Account Deposit Amount]]-Table334[[#This Row],[Account Withdrawl Amount]], )</f>
        <v>0</v>
      </c>
      <c r="M453" s="243">
        <f>IF(Table334[[#This Row],[Category]]="Troop Dues",Table334[[#This Row],[Account Deposit Amount]]-Table334[[#This Row],[Account Withdrawl Amount]], )</f>
        <v>0</v>
      </c>
      <c r="N453" s="243">
        <f>IF(Table334[[#This Row],[Category]]="Other Income",Table334[[#This Row],[Account Deposit Amount]]-Table334[[#This Row],[Account Withdrawl Amount]], )</f>
        <v>0</v>
      </c>
      <c r="O453" s="243">
        <f>IF(Table334[[#This Row],[Category]]="Registration",Table334[[#This Row],[Account Deposit Amount]]-Table334[[#This Row],[Account Withdrawl Amount]], )</f>
        <v>0</v>
      </c>
      <c r="P453" s="243">
        <f>IF(Table334[[#This Row],[Category]]="Insignia",Table334[[#This Row],[Account Deposit Amount]]-Table334[[#This Row],[Account Withdrawl Amount]], )</f>
        <v>0</v>
      </c>
      <c r="Q453" s="243">
        <f>IF(Table334[[#This Row],[Category]]="Activities/Program",Table334[[#This Row],[Account Deposit Amount]]-Table334[[#This Row],[Account Withdrawl Amount]], )</f>
        <v>0</v>
      </c>
      <c r="R453" s="243">
        <f>IF(Table334[[#This Row],[Category]]="Travel",Table334[[#This Row],[Account Deposit Amount]]-Table334[[#This Row],[Account Withdrawl Amount]], )</f>
        <v>0</v>
      </c>
      <c r="S453" s="243">
        <f>IF(Table334[[#This Row],[Category]]="Parties Food &amp; Beverages",Table334[[#This Row],[Account Deposit Amount]]-Table334[[#This Row],[Account Withdrawl Amount]], )</f>
        <v>0</v>
      </c>
      <c r="T453" s="243">
        <f>IF(Table334[[#This Row],[Category]]="Service Projects Donation",Table334[[#This Row],[Account Deposit Amount]]-Table334[[#This Row],[Account Withdrawl Amount]], )</f>
        <v>0</v>
      </c>
      <c r="U453" s="243">
        <f>IF(Table334[[#This Row],[Category]]="Cookie Debt",Table334[[#This Row],[Account Deposit Amount]]-Table334[[#This Row],[Account Withdrawl Amount]], )</f>
        <v>0</v>
      </c>
      <c r="V453" s="243">
        <f>IF(Table334[[#This Row],[Category]]="Other Expense",Table334[[#This Row],[Account Deposit Amount]]-Table334[[#This Row],[Account Withdrawl Amount]], )</f>
        <v>0</v>
      </c>
    </row>
    <row r="454" spans="1:22">
      <c r="A454" s="225"/>
      <c r="B454" s="241"/>
      <c r="C454" s="225"/>
      <c r="D454" s="225"/>
      <c r="E454" s="242"/>
      <c r="F454" s="242"/>
      <c r="G454" s="243">
        <f t="shared" si="10"/>
        <v>2518.9699999999939</v>
      </c>
      <c r="H454" s="225"/>
      <c r="I454" s="243">
        <f>IF(Table334[[#This Row],[Category]]="Fall Product",Table334[[#This Row],[Account Deposit Amount]]-Table334[[#This Row],[Account Withdrawl Amount]], )</f>
        <v>0</v>
      </c>
      <c r="J454" s="243">
        <f>IF(Table334[[#This Row],[Category]]="Cookies",Table334[[#This Row],[Account Deposit Amount]]-Table334[[#This Row],[Account Withdrawl Amount]], )</f>
        <v>0</v>
      </c>
      <c r="K454" s="243">
        <f>IF(Table334[[#This Row],[Category]]="Additional Money Earning Activities",Table334[[#This Row],[Account Deposit Amount]]-Table334[[#This Row],[Account Withdrawl Amount]], )</f>
        <v>0</v>
      </c>
      <c r="L454" s="243">
        <f>IF(Table334[[#This Row],[Category]]="Sponsorships",Table334[[#This Row],[Account Deposit Amount]]-Table334[[#This Row],[Account Withdrawl Amount]], )</f>
        <v>0</v>
      </c>
      <c r="M454" s="243">
        <f>IF(Table334[[#This Row],[Category]]="Troop Dues",Table334[[#This Row],[Account Deposit Amount]]-Table334[[#This Row],[Account Withdrawl Amount]], )</f>
        <v>0</v>
      </c>
      <c r="N454" s="243">
        <f>IF(Table334[[#This Row],[Category]]="Other Income",Table334[[#This Row],[Account Deposit Amount]]-Table334[[#This Row],[Account Withdrawl Amount]], )</f>
        <v>0</v>
      </c>
      <c r="O454" s="243">
        <f>IF(Table334[[#This Row],[Category]]="Registration",Table334[[#This Row],[Account Deposit Amount]]-Table334[[#This Row],[Account Withdrawl Amount]], )</f>
        <v>0</v>
      </c>
      <c r="P454" s="243">
        <f>IF(Table334[[#This Row],[Category]]="Insignia",Table334[[#This Row],[Account Deposit Amount]]-Table334[[#This Row],[Account Withdrawl Amount]], )</f>
        <v>0</v>
      </c>
      <c r="Q454" s="243">
        <f>IF(Table334[[#This Row],[Category]]="Activities/Program",Table334[[#This Row],[Account Deposit Amount]]-Table334[[#This Row],[Account Withdrawl Amount]], )</f>
        <v>0</v>
      </c>
      <c r="R454" s="243">
        <f>IF(Table334[[#This Row],[Category]]="Travel",Table334[[#This Row],[Account Deposit Amount]]-Table334[[#This Row],[Account Withdrawl Amount]], )</f>
        <v>0</v>
      </c>
      <c r="S454" s="243">
        <f>IF(Table334[[#This Row],[Category]]="Parties Food &amp; Beverages",Table334[[#This Row],[Account Deposit Amount]]-Table334[[#This Row],[Account Withdrawl Amount]], )</f>
        <v>0</v>
      </c>
      <c r="T454" s="243">
        <f>IF(Table334[[#This Row],[Category]]="Service Projects Donation",Table334[[#This Row],[Account Deposit Amount]]-Table334[[#This Row],[Account Withdrawl Amount]], )</f>
        <v>0</v>
      </c>
      <c r="U454" s="243">
        <f>IF(Table334[[#This Row],[Category]]="Cookie Debt",Table334[[#This Row],[Account Deposit Amount]]-Table334[[#This Row],[Account Withdrawl Amount]], )</f>
        <v>0</v>
      </c>
      <c r="V454" s="243">
        <f>IF(Table334[[#This Row],[Category]]="Other Expense",Table334[[#This Row],[Account Deposit Amount]]-Table334[[#This Row],[Account Withdrawl Amount]], )</f>
        <v>0</v>
      </c>
    </row>
    <row r="455" spans="1:22">
      <c r="A455" s="225"/>
      <c r="B455" s="241"/>
      <c r="C455" s="225"/>
      <c r="D455" s="225"/>
      <c r="E455" s="242"/>
      <c r="F455" s="242"/>
      <c r="G455" s="243">
        <f t="shared" si="10"/>
        <v>2518.9699999999939</v>
      </c>
      <c r="H455" s="225"/>
      <c r="I455" s="243">
        <f>IF(Table334[[#This Row],[Category]]="Fall Product",Table334[[#This Row],[Account Deposit Amount]]-Table334[[#This Row],[Account Withdrawl Amount]], )</f>
        <v>0</v>
      </c>
      <c r="J455" s="243">
        <f>IF(Table334[[#This Row],[Category]]="Cookies",Table334[[#This Row],[Account Deposit Amount]]-Table334[[#This Row],[Account Withdrawl Amount]], )</f>
        <v>0</v>
      </c>
      <c r="K455" s="243">
        <f>IF(Table334[[#This Row],[Category]]="Additional Money Earning Activities",Table334[[#This Row],[Account Deposit Amount]]-Table334[[#This Row],[Account Withdrawl Amount]], )</f>
        <v>0</v>
      </c>
      <c r="L455" s="243">
        <f>IF(Table334[[#This Row],[Category]]="Sponsorships",Table334[[#This Row],[Account Deposit Amount]]-Table334[[#This Row],[Account Withdrawl Amount]], )</f>
        <v>0</v>
      </c>
      <c r="M455" s="243">
        <f>IF(Table334[[#This Row],[Category]]="Troop Dues",Table334[[#This Row],[Account Deposit Amount]]-Table334[[#This Row],[Account Withdrawl Amount]], )</f>
        <v>0</v>
      </c>
      <c r="N455" s="243">
        <f>IF(Table334[[#This Row],[Category]]="Other Income",Table334[[#This Row],[Account Deposit Amount]]-Table334[[#This Row],[Account Withdrawl Amount]], )</f>
        <v>0</v>
      </c>
      <c r="O455" s="243">
        <f>IF(Table334[[#This Row],[Category]]="Registration",Table334[[#This Row],[Account Deposit Amount]]-Table334[[#This Row],[Account Withdrawl Amount]], )</f>
        <v>0</v>
      </c>
      <c r="P455" s="243">
        <f>IF(Table334[[#This Row],[Category]]="Insignia",Table334[[#This Row],[Account Deposit Amount]]-Table334[[#This Row],[Account Withdrawl Amount]], )</f>
        <v>0</v>
      </c>
      <c r="Q455" s="243">
        <f>IF(Table334[[#This Row],[Category]]="Activities/Program",Table334[[#This Row],[Account Deposit Amount]]-Table334[[#This Row],[Account Withdrawl Amount]], )</f>
        <v>0</v>
      </c>
      <c r="R455" s="243">
        <f>IF(Table334[[#This Row],[Category]]="Travel",Table334[[#This Row],[Account Deposit Amount]]-Table334[[#This Row],[Account Withdrawl Amount]], )</f>
        <v>0</v>
      </c>
      <c r="S455" s="243">
        <f>IF(Table334[[#This Row],[Category]]="Parties Food &amp; Beverages",Table334[[#This Row],[Account Deposit Amount]]-Table334[[#This Row],[Account Withdrawl Amount]], )</f>
        <v>0</v>
      </c>
      <c r="T455" s="243">
        <f>IF(Table334[[#This Row],[Category]]="Service Projects Donation",Table334[[#This Row],[Account Deposit Amount]]-Table334[[#This Row],[Account Withdrawl Amount]], )</f>
        <v>0</v>
      </c>
      <c r="U455" s="243">
        <f>IF(Table334[[#This Row],[Category]]="Cookie Debt",Table334[[#This Row],[Account Deposit Amount]]-Table334[[#This Row],[Account Withdrawl Amount]], )</f>
        <v>0</v>
      </c>
      <c r="V455" s="243">
        <f>IF(Table334[[#This Row],[Category]]="Other Expense",Table334[[#This Row],[Account Deposit Amount]]-Table334[[#This Row],[Account Withdrawl Amount]], )</f>
        <v>0</v>
      </c>
    </row>
    <row r="456" spans="1:22">
      <c r="A456" s="225"/>
      <c r="B456" s="241"/>
      <c r="C456" s="225"/>
      <c r="D456" s="225"/>
      <c r="E456" s="242"/>
      <c r="F456" s="242"/>
      <c r="G456" s="243">
        <f t="shared" si="10"/>
        <v>2518.9699999999939</v>
      </c>
      <c r="H456" s="225"/>
      <c r="I456" s="243">
        <f>IF(Table334[[#This Row],[Category]]="Fall Product",Table334[[#This Row],[Account Deposit Amount]]-Table334[[#This Row],[Account Withdrawl Amount]], )</f>
        <v>0</v>
      </c>
      <c r="J456" s="243">
        <f>IF(Table334[[#This Row],[Category]]="Cookies",Table334[[#This Row],[Account Deposit Amount]]-Table334[[#This Row],[Account Withdrawl Amount]], )</f>
        <v>0</v>
      </c>
      <c r="K456" s="243">
        <f>IF(Table334[[#This Row],[Category]]="Additional Money Earning Activities",Table334[[#This Row],[Account Deposit Amount]]-Table334[[#This Row],[Account Withdrawl Amount]], )</f>
        <v>0</v>
      </c>
      <c r="L456" s="243">
        <f>IF(Table334[[#This Row],[Category]]="Sponsorships",Table334[[#This Row],[Account Deposit Amount]]-Table334[[#This Row],[Account Withdrawl Amount]], )</f>
        <v>0</v>
      </c>
      <c r="M456" s="243">
        <f>IF(Table334[[#This Row],[Category]]="Troop Dues",Table334[[#This Row],[Account Deposit Amount]]-Table334[[#This Row],[Account Withdrawl Amount]], )</f>
        <v>0</v>
      </c>
      <c r="N456" s="243">
        <f>IF(Table334[[#This Row],[Category]]="Other Income",Table334[[#This Row],[Account Deposit Amount]]-Table334[[#This Row],[Account Withdrawl Amount]], )</f>
        <v>0</v>
      </c>
      <c r="O456" s="243">
        <f>IF(Table334[[#This Row],[Category]]="Registration",Table334[[#This Row],[Account Deposit Amount]]-Table334[[#This Row],[Account Withdrawl Amount]], )</f>
        <v>0</v>
      </c>
      <c r="P456" s="243">
        <f>IF(Table334[[#This Row],[Category]]="Insignia",Table334[[#This Row],[Account Deposit Amount]]-Table334[[#This Row],[Account Withdrawl Amount]], )</f>
        <v>0</v>
      </c>
      <c r="Q456" s="243">
        <f>IF(Table334[[#This Row],[Category]]="Activities/Program",Table334[[#This Row],[Account Deposit Amount]]-Table334[[#This Row],[Account Withdrawl Amount]], )</f>
        <v>0</v>
      </c>
      <c r="R456" s="243">
        <f>IF(Table334[[#This Row],[Category]]="Travel",Table334[[#This Row],[Account Deposit Amount]]-Table334[[#This Row],[Account Withdrawl Amount]], )</f>
        <v>0</v>
      </c>
      <c r="S456" s="243">
        <f>IF(Table334[[#This Row],[Category]]="Parties Food &amp; Beverages",Table334[[#This Row],[Account Deposit Amount]]-Table334[[#This Row],[Account Withdrawl Amount]], )</f>
        <v>0</v>
      </c>
      <c r="T456" s="243">
        <f>IF(Table334[[#This Row],[Category]]="Service Projects Donation",Table334[[#This Row],[Account Deposit Amount]]-Table334[[#This Row],[Account Withdrawl Amount]], )</f>
        <v>0</v>
      </c>
      <c r="U456" s="243">
        <f>IF(Table334[[#This Row],[Category]]="Cookie Debt",Table334[[#This Row],[Account Deposit Amount]]-Table334[[#This Row],[Account Withdrawl Amount]], )</f>
        <v>0</v>
      </c>
      <c r="V456" s="243">
        <f>IF(Table334[[#This Row],[Category]]="Other Expense",Table334[[#This Row],[Account Deposit Amount]]-Table334[[#This Row],[Account Withdrawl Amount]], )</f>
        <v>0</v>
      </c>
    </row>
    <row r="457" spans="1:22">
      <c r="A457" s="225"/>
      <c r="B457" s="241"/>
      <c r="C457" s="225"/>
      <c r="D457" s="225"/>
      <c r="E457" s="242"/>
      <c r="F457" s="242"/>
      <c r="G457" s="243">
        <f t="shared" si="10"/>
        <v>2518.9699999999939</v>
      </c>
      <c r="H457" s="225"/>
      <c r="I457" s="243">
        <f>IF(Table334[[#This Row],[Category]]="Fall Product",Table334[[#This Row],[Account Deposit Amount]]-Table334[[#This Row],[Account Withdrawl Amount]], )</f>
        <v>0</v>
      </c>
      <c r="J457" s="243">
        <f>IF(Table334[[#This Row],[Category]]="Cookies",Table334[[#This Row],[Account Deposit Amount]]-Table334[[#This Row],[Account Withdrawl Amount]], )</f>
        <v>0</v>
      </c>
      <c r="K457" s="243">
        <f>IF(Table334[[#This Row],[Category]]="Additional Money Earning Activities",Table334[[#This Row],[Account Deposit Amount]]-Table334[[#This Row],[Account Withdrawl Amount]], )</f>
        <v>0</v>
      </c>
      <c r="L457" s="243">
        <f>IF(Table334[[#This Row],[Category]]="Sponsorships",Table334[[#This Row],[Account Deposit Amount]]-Table334[[#This Row],[Account Withdrawl Amount]], )</f>
        <v>0</v>
      </c>
      <c r="M457" s="243">
        <f>IF(Table334[[#This Row],[Category]]="Troop Dues",Table334[[#This Row],[Account Deposit Amount]]-Table334[[#This Row],[Account Withdrawl Amount]], )</f>
        <v>0</v>
      </c>
      <c r="N457" s="243">
        <f>IF(Table334[[#This Row],[Category]]="Other Income",Table334[[#This Row],[Account Deposit Amount]]-Table334[[#This Row],[Account Withdrawl Amount]], )</f>
        <v>0</v>
      </c>
      <c r="O457" s="243">
        <f>IF(Table334[[#This Row],[Category]]="Registration",Table334[[#This Row],[Account Deposit Amount]]-Table334[[#This Row],[Account Withdrawl Amount]], )</f>
        <v>0</v>
      </c>
      <c r="P457" s="243">
        <f>IF(Table334[[#This Row],[Category]]="Insignia",Table334[[#This Row],[Account Deposit Amount]]-Table334[[#This Row],[Account Withdrawl Amount]], )</f>
        <v>0</v>
      </c>
      <c r="Q457" s="243">
        <f>IF(Table334[[#This Row],[Category]]="Activities/Program",Table334[[#This Row],[Account Deposit Amount]]-Table334[[#This Row],[Account Withdrawl Amount]], )</f>
        <v>0</v>
      </c>
      <c r="R457" s="243">
        <f>IF(Table334[[#This Row],[Category]]="Travel",Table334[[#This Row],[Account Deposit Amount]]-Table334[[#This Row],[Account Withdrawl Amount]], )</f>
        <v>0</v>
      </c>
      <c r="S457" s="243">
        <f>IF(Table334[[#This Row],[Category]]="Parties Food &amp; Beverages",Table334[[#This Row],[Account Deposit Amount]]-Table334[[#This Row],[Account Withdrawl Amount]], )</f>
        <v>0</v>
      </c>
      <c r="T457" s="243">
        <f>IF(Table334[[#This Row],[Category]]="Service Projects Donation",Table334[[#This Row],[Account Deposit Amount]]-Table334[[#This Row],[Account Withdrawl Amount]], )</f>
        <v>0</v>
      </c>
      <c r="U457" s="243">
        <f>IF(Table334[[#This Row],[Category]]="Cookie Debt",Table334[[#This Row],[Account Deposit Amount]]-Table334[[#This Row],[Account Withdrawl Amount]], )</f>
        <v>0</v>
      </c>
      <c r="V457" s="243">
        <f>IF(Table334[[#This Row],[Category]]="Other Expense",Table334[[#This Row],[Account Deposit Amount]]-Table334[[#This Row],[Account Withdrawl Amount]], )</f>
        <v>0</v>
      </c>
    </row>
    <row r="458" spans="1:22">
      <c r="A458" s="225"/>
      <c r="B458" s="241"/>
      <c r="C458" s="225"/>
      <c r="D458" s="225"/>
      <c r="E458" s="242"/>
      <c r="F458" s="242"/>
      <c r="G458" s="243">
        <f t="shared" si="10"/>
        <v>2518.9699999999939</v>
      </c>
      <c r="H458" s="225"/>
      <c r="I458" s="243">
        <f>IF(Table334[[#This Row],[Category]]="Fall Product",Table334[[#This Row],[Account Deposit Amount]]-Table334[[#This Row],[Account Withdrawl Amount]], )</f>
        <v>0</v>
      </c>
      <c r="J458" s="243">
        <f>IF(Table334[[#This Row],[Category]]="Cookies",Table334[[#This Row],[Account Deposit Amount]]-Table334[[#This Row],[Account Withdrawl Amount]], )</f>
        <v>0</v>
      </c>
      <c r="K458" s="243">
        <f>IF(Table334[[#This Row],[Category]]="Additional Money Earning Activities",Table334[[#This Row],[Account Deposit Amount]]-Table334[[#This Row],[Account Withdrawl Amount]], )</f>
        <v>0</v>
      </c>
      <c r="L458" s="243">
        <f>IF(Table334[[#This Row],[Category]]="Sponsorships",Table334[[#This Row],[Account Deposit Amount]]-Table334[[#This Row],[Account Withdrawl Amount]], )</f>
        <v>0</v>
      </c>
      <c r="M458" s="243">
        <f>IF(Table334[[#This Row],[Category]]="Troop Dues",Table334[[#This Row],[Account Deposit Amount]]-Table334[[#This Row],[Account Withdrawl Amount]], )</f>
        <v>0</v>
      </c>
      <c r="N458" s="243">
        <f>IF(Table334[[#This Row],[Category]]="Other Income",Table334[[#This Row],[Account Deposit Amount]]-Table334[[#This Row],[Account Withdrawl Amount]], )</f>
        <v>0</v>
      </c>
      <c r="O458" s="243">
        <f>IF(Table334[[#This Row],[Category]]="Registration",Table334[[#This Row],[Account Deposit Amount]]-Table334[[#This Row],[Account Withdrawl Amount]], )</f>
        <v>0</v>
      </c>
      <c r="P458" s="243">
        <f>IF(Table334[[#This Row],[Category]]="Insignia",Table334[[#This Row],[Account Deposit Amount]]-Table334[[#This Row],[Account Withdrawl Amount]], )</f>
        <v>0</v>
      </c>
      <c r="Q458" s="243">
        <f>IF(Table334[[#This Row],[Category]]="Activities/Program",Table334[[#This Row],[Account Deposit Amount]]-Table334[[#This Row],[Account Withdrawl Amount]], )</f>
        <v>0</v>
      </c>
      <c r="R458" s="243">
        <f>IF(Table334[[#This Row],[Category]]="Travel",Table334[[#This Row],[Account Deposit Amount]]-Table334[[#This Row],[Account Withdrawl Amount]], )</f>
        <v>0</v>
      </c>
      <c r="S458" s="243">
        <f>IF(Table334[[#This Row],[Category]]="Parties Food &amp; Beverages",Table334[[#This Row],[Account Deposit Amount]]-Table334[[#This Row],[Account Withdrawl Amount]], )</f>
        <v>0</v>
      </c>
      <c r="T458" s="243">
        <f>IF(Table334[[#This Row],[Category]]="Service Projects Donation",Table334[[#This Row],[Account Deposit Amount]]-Table334[[#This Row],[Account Withdrawl Amount]], )</f>
        <v>0</v>
      </c>
      <c r="U458" s="243">
        <f>IF(Table334[[#This Row],[Category]]="Cookie Debt",Table334[[#This Row],[Account Deposit Amount]]-Table334[[#This Row],[Account Withdrawl Amount]], )</f>
        <v>0</v>
      </c>
      <c r="V458" s="243">
        <f>IF(Table334[[#This Row],[Category]]="Other Expense",Table334[[#This Row],[Account Deposit Amount]]-Table334[[#This Row],[Account Withdrawl Amount]], )</f>
        <v>0</v>
      </c>
    </row>
    <row r="459" spans="1:22">
      <c r="A459" s="225"/>
      <c r="B459" s="241"/>
      <c r="C459" s="225"/>
      <c r="D459" s="225"/>
      <c r="E459" s="242"/>
      <c r="F459" s="242"/>
      <c r="G459" s="243">
        <f t="shared" si="10"/>
        <v>2518.9699999999939</v>
      </c>
      <c r="H459" s="225"/>
      <c r="I459" s="243">
        <f>IF(Table334[[#This Row],[Category]]="Fall Product",Table334[[#This Row],[Account Deposit Amount]]-Table334[[#This Row],[Account Withdrawl Amount]], )</f>
        <v>0</v>
      </c>
      <c r="J459" s="243">
        <f>IF(Table334[[#This Row],[Category]]="Cookies",Table334[[#This Row],[Account Deposit Amount]]-Table334[[#This Row],[Account Withdrawl Amount]], )</f>
        <v>0</v>
      </c>
      <c r="K459" s="243">
        <f>IF(Table334[[#This Row],[Category]]="Additional Money Earning Activities",Table334[[#This Row],[Account Deposit Amount]]-Table334[[#This Row],[Account Withdrawl Amount]], )</f>
        <v>0</v>
      </c>
      <c r="L459" s="243">
        <f>IF(Table334[[#This Row],[Category]]="Sponsorships",Table334[[#This Row],[Account Deposit Amount]]-Table334[[#This Row],[Account Withdrawl Amount]], )</f>
        <v>0</v>
      </c>
      <c r="M459" s="243">
        <f>IF(Table334[[#This Row],[Category]]="Troop Dues",Table334[[#This Row],[Account Deposit Amount]]-Table334[[#This Row],[Account Withdrawl Amount]], )</f>
        <v>0</v>
      </c>
      <c r="N459" s="243">
        <f>IF(Table334[[#This Row],[Category]]="Other Income",Table334[[#This Row],[Account Deposit Amount]]-Table334[[#This Row],[Account Withdrawl Amount]], )</f>
        <v>0</v>
      </c>
      <c r="O459" s="243">
        <f>IF(Table334[[#This Row],[Category]]="Registration",Table334[[#This Row],[Account Deposit Amount]]-Table334[[#This Row],[Account Withdrawl Amount]], )</f>
        <v>0</v>
      </c>
      <c r="P459" s="243">
        <f>IF(Table334[[#This Row],[Category]]="Insignia",Table334[[#This Row],[Account Deposit Amount]]-Table334[[#This Row],[Account Withdrawl Amount]], )</f>
        <v>0</v>
      </c>
      <c r="Q459" s="243">
        <f>IF(Table334[[#This Row],[Category]]="Activities/Program",Table334[[#This Row],[Account Deposit Amount]]-Table334[[#This Row],[Account Withdrawl Amount]], )</f>
        <v>0</v>
      </c>
      <c r="R459" s="243">
        <f>IF(Table334[[#This Row],[Category]]="Travel",Table334[[#This Row],[Account Deposit Amount]]-Table334[[#This Row],[Account Withdrawl Amount]], )</f>
        <v>0</v>
      </c>
      <c r="S459" s="243">
        <f>IF(Table334[[#This Row],[Category]]="Parties Food &amp; Beverages",Table334[[#This Row],[Account Deposit Amount]]-Table334[[#This Row],[Account Withdrawl Amount]], )</f>
        <v>0</v>
      </c>
      <c r="T459" s="243">
        <f>IF(Table334[[#This Row],[Category]]="Service Projects Donation",Table334[[#This Row],[Account Deposit Amount]]-Table334[[#This Row],[Account Withdrawl Amount]], )</f>
        <v>0</v>
      </c>
      <c r="U459" s="243">
        <f>IF(Table334[[#This Row],[Category]]="Cookie Debt",Table334[[#This Row],[Account Deposit Amount]]-Table334[[#This Row],[Account Withdrawl Amount]], )</f>
        <v>0</v>
      </c>
      <c r="V459" s="243">
        <f>IF(Table334[[#This Row],[Category]]="Other Expense",Table334[[#This Row],[Account Deposit Amount]]-Table334[[#This Row],[Account Withdrawl Amount]], )</f>
        <v>0</v>
      </c>
    </row>
    <row r="460" spans="1:22">
      <c r="A460" s="225"/>
      <c r="B460" s="241"/>
      <c r="C460" s="225"/>
      <c r="D460" s="225"/>
      <c r="E460" s="242"/>
      <c r="F460" s="242"/>
      <c r="G460" s="243">
        <f t="shared" si="10"/>
        <v>2518.9699999999939</v>
      </c>
      <c r="H460" s="225"/>
      <c r="I460" s="243">
        <f>IF(Table334[[#This Row],[Category]]="Fall Product",Table334[[#This Row],[Account Deposit Amount]]-Table334[[#This Row],[Account Withdrawl Amount]], )</f>
        <v>0</v>
      </c>
      <c r="J460" s="243">
        <f>IF(Table334[[#This Row],[Category]]="Cookies",Table334[[#This Row],[Account Deposit Amount]]-Table334[[#This Row],[Account Withdrawl Amount]], )</f>
        <v>0</v>
      </c>
      <c r="K460" s="243">
        <f>IF(Table334[[#This Row],[Category]]="Additional Money Earning Activities",Table334[[#This Row],[Account Deposit Amount]]-Table334[[#This Row],[Account Withdrawl Amount]], )</f>
        <v>0</v>
      </c>
      <c r="L460" s="243">
        <f>IF(Table334[[#This Row],[Category]]="Sponsorships",Table334[[#This Row],[Account Deposit Amount]]-Table334[[#This Row],[Account Withdrawl Amount]], )</f>
        <v>0</v>
      </c>
      <c r="M460" s="243">
        <f>IF(Table334[[#This Row],[Category]]="Troop Dues",Table334[[#This Row],[Account Deposit Amount]]-Table334[[#This Row],[Account Withdrawl Amount]], )</f>
        <v>0</v>
      </c>
      <c r="N460" s="243">
        <f>IF(Table334[[#This Row],[Category]]="Other Income",Table334[[#This Row],[Account Deposit Amount]]-Table334[[#This Row],[Account Withdrawl Amount]], )</f>
        <v>0</v>
      </c>
      <c r="O460" s="243">
        <f>IF(Table334[[#This Row],[Category]]="Registration",Table334[[#This Row],[Account Deposit Amount]]-Table334[[#This Row],[Account Withdrawl Amount]], )</f>
        <v>0</v>
      </c>
      <c r="P460" s="243">
        <f>IF(Table334[[#This Row],[Category]]="Insignia",Table334[[#This Row],[Account Deposit Amount]]-Table334[[#This Row],[Account Withdrawl Amount]], )</f>
        <v>0</v>
      </c>
      <c r="Q460" s="243">
        <f>IF(Table334[[#This Row],[Category]]="Activities/Program",Table334[[#This Row],[Account Deposit Amount]]-Table334[[#This Row],[Account Withdrawl Amount]], )</f>
        <v>0</v>
      </c>
      <c r="R460" s="243">
        <f>IF(Table334[[#This Row],[Category]]="Travel",Table334[[#This Row],[Account Deposit Amount]]-Table334[[#This Row],[Account Withdrawl Amount]], )</f>
        <v>0</v>
      </c>
      <c r="S460" s="243">
        <f>IF(Table334[[#This Row],[Category]]="Parties Food &amp; Beverages",Table334[[#This Row],[Account Deposit Amount]]-Table334[[#This Row],[Account Withdrawl Amount]], )</f>
        <v>0</v>
      </c>
      <c r="T460" s="243">
        <f>IF(Table334[[#This Row],[Category]]="Service Projects Donation",Table334[[#This Row],[Account Deposit Amount]]-Table334[[#This Row],[Account Withdrawl Amount]], )</f>
        <v>0</v>
      </c>
      <c r="U460" s="243">
        <f>IF(Table334[[#This Row],[Category]]="Cookie Debt",Table334[[#This Row],[Account Deposit Amount]]-Table334[[#This Row],[Account Withdrawl Amount]], )</f>
        <v>0</v>
      </c>
      <c r="V460" s="243">
        <f>IF(Table334[[#This Row],[Category]]="Other Expense",Table334[[#This Row],[Account Deposit Amount]]-Table334[[#This Row],[Account Withdrawl Amount]], )</f>
        <v>0</v>
      </c>
    </row>
    <row r="461" spans="1:22">
      <c r="A461" s="225"/>
      <c r="B461" s="241"/>
      <c r="C461" s="225"/>
      <c r="D461" s="225"/>
      <c r="E461" s="242"/>
      <c r="F461" s="242"/>
      <c r="G461" s="243">
        <f t="shared" si="10"/>
        <v>2518.9699999999939</v>
      </c>
      <c r="H461" s="225"/>
      <c r="I461" s="243">
        <f>IF(Table334[[#This Row],[Category]]="Fall Product",Table334[[#This Row],[Account Deposit Amount]]-Table334[[#This Row],[Account Withdrawl Amount]], )</f>
        <v>0</v>
      </c>
      <c r="J461" s="243">
        <f>IF(Table334[[#This Row],[Category]]="Cookies",Table334[[#This Row],[Account Deposit Amount]]-Table334[[#This Row],[Account Withdrawl Amount]], )</f>
        <v>0</v>
      </c>
      <c r="K461" s="243">
        <f>IF(Table334[[#This Row],[Category]]="Additional Money Earning Activities",Table334[[#This Row],[Account Deposit Amount]]-Table334[[#This Row],[Account Withdrawl Amount]], )</f>
        <v>0</v>
      </c>
      <c r="L461" s="243">
        <f>IF(Table334[[#This Row],[Category]]="Sponsorships",Table334[[#This Row],[Account Deposit Amount]]-Table334[[#This Row],[Account Withdrawl Amount]], )</f>
        <v>0</v>
      </c>
      <c r="M461" s="243">
        <f>IF(Table334[[#This Row],[Category]]="Troop Dues",Table334[[#This Row],[Account Deposit Amount]]-Table334[[#This Row],[Account Withdrawl Amount]], )</f>
        <v>0</v>
      </c>
      <c r="N461" s="243">
        <f>IF(Table334[[#This Row],[Category]]="Other Income",Table334[[#This Row],[Account Deposit Amount]]-Table334[[#This Row],[Account Withdrawl Amount]], )</f>
        <v>0</v>
      </c>
      <c r="O461" s="243">
        <f>IF(Table334[[#This Row],[Category]]="Registration",Table334[[#This Row],[Account Deposit Amount]]-Table334[[#This Row],[Account Withdrawl Amount]], )</f>
        <v>0</v>
      </c>
      <c r="P461" s="243">
        <f>IF(Table334[[#This Row],[Category]]="Insignia",Table334[[#This Row],[Account Deposit Amount]]-Table334[[#This Row],[Account Withdrawl Amount]], )</f>
        <v>0</v>
      </c>
      <c r="Q461" s="243">
        <f>IF(Table334[[#This Row],[Category]]="Activities/Program",Table334[[#This Row],[Account Deposit Amount]]-Table334[[#This Row],[Account Withdrawl Amount]], )</f>
        <v>0</v>
      </c>
      <c r="R461" s="243">
        <f>IF(Table334[[#This Row],[Category]]="Travel",Table334[[#This Row],[Account Deposit Amount]]-Table334[[#This Row],[Account Withdrawl Amount]], )</f>
        <v>0</v>
      </c>
      <c r="S461" s="243">
        <f>IF(Table334[[#This Row],[Category]]="Parties Food &amp; Beverages",Table334[[#This Row],[Account Deposit Amount]]-Table334[[#This Row],[Account Withdrawl Amount]], )</f>
        <v>0</v>
      </c>
      <c r="T461" s="243">
        <f>IF(Table334[[#This Row],[Category]]="Service Projects Donation",Table334[[#This Row],[Account Deposit Amount]]-Table334[[#This Row],[Account Withdrawl Amount]], )</f>
        <v>0</v>
      </c>
      <c r="U461" s="243">
        <f>IF(Table334[[#This Row],[Category]]="Cookie Debt",Table334[[#This Row],[Account Deposit Amount]]-Table334[[#This Row],[Account Withdrawl Amount]], )</f>
        <v>0</v>
      </c>
      <c r="V461" s="243">
        <f>IF(Table334[[#This Row],[Category]]="Other Expense",Table334[[#This Row],[Account Deposit Amount]]-Table334[[#This Row],[Account Withdrawl Amount]], )</f>
        <v>0</v>
      </c>
    </row>
    <row r="462" spans="1:22">
      <c r="A462" s="225"/>
      <c r="B462" s="241"/>
      <c r="C462" s="225"/>
      <c r="D462" s="225"/>
      <c r="E462" s="242"/>
      <c r="F462" s="242"/>
      <c r="G462" s="243">
        <f t="shared" si="10"/>
        <v>2518.9699999999939</v>
      </c>
      <c r="H462" s="225"/>
      <c r="I462" s="243">
        <f>IF(Table334[[#This Row],[Category]]="Fall Product",Table334[[#This Row],[Account Deposit Amount]]-Table334[[#This Row],[Account Withdrawl Amount]], )</f>
        <v>0</v>
      </c>
      <c r="J462" s="243">
        <f>IF(Table334[[#This Row],[Category]]="Cookies",Table334[[#This Row],[Account Deposit Amount]]-Table334[[#This Row],[Account Withdrawl Amount]], )</f>
        <v>0</v>
      </c>
      <c r="K462" s="243">
        <f>IF(Table334[[#This Row],[Category]]="Additional Money Earning Activities",Table334[[#This Row],[Account Deposit Amount]]-Table334[[#This Row],[Account Withdrawl Amount]], )</f>
        <v>0</v>
      </c>
      <c r="L462" s="243">
        <f>IF(Table334[[#This Row],[Category]]="Sponsorships",Table334[[#This Row],[Account Deposit Amount]]-Table334[[#This Row],[Account Withdrawl Amount]], )</f>
        <v>0</v>
      </c>
      <c r="M462" s="243">
        <f>IF(Table334[[#This Row],[Category]]="Troop Dues",Table334[[#This Row],[Account Deposit Amount]]-Table334[[#This Row],[Account Withdrawl Amount]], )</f>
        <v>0</v>
      </c>
      <c r="N462" s="243">
        <f>IF(Table334[[#This Row],[Category]]="Other Income",Table334[[#This Row],[Account Deposit Amount]]-Table334[[#This Row],[Account Withdrawl Amount]], )</f>
        <v>0</v>
      </c>
      <c r="O462" s="243">
        <f>IF(Table334[[#This Row],[Category]]="Registration",Table334[[#This Row],[Account Deposit Amount]]-Table334[[#This Row],[Account Withdrawl Amount]], )</f>
        <v>0</v>
      </c>
      <c r="P462" s="243">
        <f>IF(Table334[[#This Row],[Category]]="Insignia",Table334[[#This Row],[Account Deposit Amount]]-Table334[[#This Row],[Account Withdrawl Amount]], )</f>
        <v>0</v>
      </c>
      <c r="Q462" s="243">
        <f>IF(Table334[[#This Row],[Category]]="Activities/Program",Table334[[#This Row],[Account Deposit Amount]]-Table334[[#This Row],[Account Withdrawl Amount]], )</f>
        <v>0</v>
      </c>
      <c r="R462" s="243">
        <f>IF(Table334[[#This Row],[Category]]="Travel",Table334[[#This Row],[Account Deposit Amount]]-Table334[[#This Row],[Account Withdrawl Amount]], )</f>
        <v>0</v>
      </c>
      <c r="S462" s="243">
        <f>IF(Table334[[#This Row],[Category]]="Parties Food &amp; Beverages",Table334[[#This Row],[Account Deposit Amount]]-Table334[[#This Row],[Account Withdrawl Amount]], )</f>
        <v>0</v>
      </c>
      <c r="T462" s="243">
        <f>IF(Table334[[#This Row],[Category]]="Service Projects Donation",Table334[[#This Row],[Account Deposit Amount]]-Table334[[#This Row],[Account Withdrawl Amount]], )</f>
        <v>0</v>
      </c>
      <c r="U462" s="243">
        <f>IF(Table334[[#This Row],[Category]]="Cookie Debt",Table334[[#This Row],[Account Deposit Amount]]-Table334[[#This Row],[Account Withdrawl Amount]], )</f>
        <v>0</v>
      </c>
      <c r="V462" s="243">
        <f>IF(Table334[[#This Row],[Category]]="Other Expense",Table334[[#This Row],[Account Deposit Amount]]-Table334[[#This Row],[Account Withdrawl Amount]], )</f>
        <v>0</v>
      </c>
    </row>
    <row r="463" spans="1:22">
      <c r="A463" s="225"/>
      <c r="B463" s="241"/>
      <c r="C463" s="225"/>
      <c r="D463" s="225"/>
      <c r="E463" s="242"/>
      <c r="F463" s="242"/>
      <c r="G463" s="243">
        <f t="shared" si="10"/>
        <v>2518.9699999999939</v>
      </c>
      <c r="H463" s="225"/>
      <c r="I463" s="243">
        <f>IF(Table334[[#This Row],[Category]]="Fall Product",Table334[[#This Row],[Account Deposit Amount]]-Table334[[#This Row],[Account Withdrawl Amount]], )</f>
        <v>0</v>
      </c>
      <c r="J463" s="243">
        <f>IF(Table334[[#This Row],[Category]]="Cookies",Table334[[#This Row],[Account Deposit Amount]]-Table334[[#This Row],[Account Withdrawl Amount]], )</f>
        <v>0</v>
      </c>
      <c r="K463" s="243">
        <f>IF(Table334[[#This Row],[Category]]="Additional Money Earning Activities",Table334[[#This Row],[Account Deposit Amount]]-Table334[[#This Row],[Account Withdrawl Amount]], )</f>
        <v>0</v>
      </c>
      <c r="L463" s="243">
        <f>IF(Table334[[#This Row],[Category]]="Sponsorships",Table334[[#This Row],[Account Deposit Amount]]-Table334[[#This Row],[Account Withdrawl Amount]], )</f>
        <v>0</v>
      </c>
      <c r="M463" s="243">
        <f>IF(Table334[[#This Row],[Category]]="Troop Dues",Table334[[#This Row],[Account Deposit Amount]]-Table334[[#This Row],[Account Withdrawl Amount]], )</f>
        <v>0</v>
      </c>
      <c r="N463" s="243">
        <f>IF(Table334[[#This Row],[Category]]="Other Income",Table334[[#This Row],[Account Deposit Amount]]-Table334[[#This Row],[Account Withdrawl Amount]], )</f>
        <v>0</v>
      </c>
      <c r="O463" s="243">
        <f>IF(Table334[[#This Row],[Category]]="Registration",Table334[[#This Row],[Account Deposit Amount]]-Table334[[#This Row],[Account Withdrawl Amount]], )</f>
        <v>0</v>
      </c>
      <c r="P463" s="243">
        <f>IF(Table334[[#This Row],[Category]]="Insignia",Table334[[#This Row],[Account Deposit Amount]]-Table334[[#This Row],[Account Withdrawl Amount]], )</f>
        <v>0</v>
      </c>
      <c r="Q463" s="243">
        <f>IF(Table334[[#This Row],[Category]]="Activities/Program",Table334[[#This Row],[Account Deposit Amount]]-Table334[[#This Row],[Account Withdrawl Amount]], )</f>
        <v>0</v>
      </c>
      <c r="R463" s="243">
        <f>IF(Table334[[#This Row],[Category]]="Travel",Table334[[#This Row],[Account Deposit Amount]]-Table334[[#This Row],[Account Withdrawl Amount]], )</f>
        <v>0</v>
      </c>
      <c r="S463" s="243">
        <f>IF(Table334[[#This Row],[Category]]="Parties Food &amp; Beverages",Table334[[#This Row],[Account Deposit Amount]]-Table334[[#This Row],[Account Withdrawl Amount]], )</f>
        <v>0</v>
      </c>
      <c r="T463" s="243">
        <f>IF(Table334[[#This Row],[Category]]="Service Projects Donation",Table334[[#This Row],[Account Deposit Amount]]-Table334[[#This Row],[Account Withdrawl Amount]], )</f>
        <v>0</v>
      </c>
      <c r="U463" s="243">
        <f>IF(Table334[[#This Row],[Category]]="Cookie Debt",Table334[[#This Row],[Account Deposit Amount]]-Table334[[#This Row],[Account Withdrawl Amount]], )</f>
        <v>0</v>
      </c>
      <c r="V463" s="243">
        <f>IF(Table334[[#This Row],[Category]]="Other Expense",Table334[[#This Row],[Account Deposit Amount]]-Table334[[#This Row],[Account Withdrawl Amount]], )</f>
        <v>0</v>
      </c>
    </row>
    <row r="464" spans="1:22">
      <c r="A464" s="225"/>
      <c r="B464" s="241"/>
      <c r="C464" s="225"/>
      <c r="D464" s="225"/>
      <c r="E464" s="242"/>
      <c r="F464" s="242"/>
      <c r="G464" s="243">
        <f t="shared" si="10"/>
        <v>2518.9699999999939</v>
      </c>
      <c r="H464" s="225"/>
      <c r="I464" s="243">
        <f>IF(Table334[[#This Row],[Category]]="Fall Product",Table334[[#This Row],[Account Deposit Amount]]-Table334[[#This Row],[Account Withdrawl Amount]], )</f>
        <v>0</v>
      </c>
      <c r="J464" s="243">
        <f>IF(Table334[[#This Row],[Category]]="Cookies",Table334[[#This Row],[Account Deposit Amount]]-Table334[[#This Row],[Account Withdrawl Amount]], )</f>
        <v>0</v>
      </c>
      <c r="K464" s="243">
        <f>IF(Table334[[#This Row],[Category]]="Additional Money Earning Activities",Table334[[#This Row],[Account Deposit Amount]]-Table334[[#This Row],[Account Withdrawl Amount]], )</f>
        <v>0</v>
      </c>
      <c r="L464" s="243">
        <f>IF(Table334[[#This Row],[Category]]="Sponsorships",Table334[[#This Row],[Account Deposit Amount]]-Table334[[#This Row],[Account Withdrawl Amount]], )</f>
        <v>0</v>
      </c>
      <c r="M464" s="243">
        <f>IF(Table334[[#This Row],[Category]]="Troop Dues",Table334[[#This Row],[Account Deposit Amount]]-Table334[[#This Row],[Account Withdrawl Amount]], )</f>
        <v>0</v>
      </c>
      <c r="N464" s="243">
        <f>IF(Table334[[#This Row],[Category]]="Other Income",Table334[[#This Row],[Account Deposit Amount]]-Table334[[#This Row],[Account Withdrawl Amount]], )</f>
        <v>0</v>
      </c>
      <c r="O464" s="243">
        <f>IF(Table334[[#This Row],[Category]]="Registration",Table334[[#This Row],[Account Deposit Amount]]-Table334[[#This Row],[Account Withdrawl Amount]], )</f>
        <v>0</v>
      </c>
      <c r="P464" s="243">
        <f>IF(Table334[[#This Row],[Category]]="Insignia",Table334[[#This Row],[Account Deposit Amount]]-Table334[[#This Row],[Account Withdrawl Amount]], )</f>
        <v>0</v>
      </c>
      <c r="Q464" s="243">
        <f>IF(Table334[[#This Row],[Category]]="Activities/Program",Table334[[#This Row],[Account Deposit Amount]]-Table334[[#This Row],[Account Withdrawl Amount]], )</f>
        <v>0</v>
      </c>
      <c r="R464" s="243">
        <f>IF(Table334[[#This Row],[Category]]="Travel",Table334[[#This Row],[Account Deposit Amount]]-Table334[[#This Row],[Account Withdrawl Amount]], )</f>
        <v>0</v>
      </c>
      <c r="S464" s="243">
        <f>IF(Table334[[#This Row],[Category]]="Parties Food &amp; Beverages",Table334[[#This Row],[Account Deposit Amount]]-Table334[[#This Row],[Account Withdrawl Amount]], )</f>
        <v>0</v>
      </c>
      <c r="T464" s="243">
        <f>IF(Table334[[#This Row],[Category]]="Service Projects Donation",Table334[[#This Row],[Account Deposit Amount]]-Table334[[#This Row],[Account Withdrawl Amount]], )</f>
        <v>0</v>
      </c>
      <c r="U464" s="243">
        <f>IF(Table334[[#This Row],[Category]]="Cookie Debt",Table334[[#This Row],[Account Deposit Amount]]-Table334[[#This Row],[Account Withdrawl Amount]], )</f>
        <v>0</v>
      </c>
      <c r="V464" s="243">
        <f>IF(Table334[[#This Row],[Category]]="Other Expense",Table334[[#This Row],[Account Deposit Amount]]-Table334[[#This Row],[Account Withdrawl Amount]], )</f>
        <v>0</v>
      </c>
    </row>
    <row r="465" spans="1:22">
      <c r="A465" s="225"/>
      <c r="B465" s="241"/>
      <c r="C465" s="225"/>
      <c r="D465" s="225"/>
      <c r="E465" s="242"/>
      <c r="F465" s="242"/>
      <c r="G465" s="243">
        <f t="shared" si="10"/>
        <v>2518.9699999999939</v>
      </c>
      <c r="H465" s="225"/>
      <c r="I465" s="243">
        <f>IF(Table334[[#This Row],[Category]]="Fall Product",Table334[[#This Row],[Account Deposit Amount]]-Table334[[#This Row],[Account Withdrawl Amount]], )</f>
        <v>0</v>
      </c>
      <c r="J465" s="243">
        <f>IF(Table334[[#This Row],[Category]]="Cookies",Table334[[#This Row],[Account Deposit Amount]]-Table334[[#This Row],[Account Withdrawl Amount]], )</f>
        <v>0</v>
      </c>
      <c r="K465" s="243">
        <f>IF(Table334[[#This Row],[Category]]="Additional Money Earning Activities",Table334[[#This Row],[Account Deposit Amount]]-Table334[[#This Row],[Account Withdrawl Amount]], )</f>
        <v>0</v>
      </c>
      <c r="L465" s="243">
        <f>IF(Table334[[#This Row],[Category]]="Sponsorships",Table334[[#This Row],[Account Deposit Amount]]-Table334[[#This Row],[Account Withdrawl Amount]], )</f>
        <v>0</v>
      </c>
      <c r="M465" s="243">
        <f>IF(Table334[[#This Row],[Category]]="Troop Dues",Table334[[#This Row],[Account Deposit Amount]]-Table334[[#This Row],[Account Withdrawl Amount]], )</f>
        <v>0</v>
      </c>
      <c r="N465" s="243">
        <f>IF(Table334[[#This Row],[Category]]="Other Income",Table334[[#This Row],[Account Deposit Amount]]-Table334[[#This Row],[Account Withdrawl Amount]], )</f>
        <v>0</v>
      </c>
      <c r="O465" s="243">
        <f>IF(Table334[[#This Row],[Category]]="Registration",Table334[[#This Row],[Account Deposit Amount]]-Table334[[#This Row],[Account Withdrawl Amount]], )</f>
        <v>0</v>
      </c>
      <c r="P465" s="243">
        <f>IF(Table334[[#This Row],[Category]]="Insignia",Table334[[#This Row],[Account Deposit Amount]]-Table334[[#This Row],[Account Withdrawl Amount]], )</f>
        <v>0</v>
      </c>
      <c r="Q465" s="243">
        <f>IF(Table334[[#This Row],[Category]]="Activities/Program",Table334[[#This Row],[Account Deposit Amount]]-Table334[[#This Row],[Account Withdrawl Amount]], )</f>
        <v>0</v>
      </c>
      <c r="R465" s="243">
        <f>IF(Table334[[#This Row],[Category]]="Travel",Table334[[#This Row],[Account Deposit Amount]]-Table334[[#This Row],[Account Withdrawl Amount]], )</f>
        <v>0</v>
      </c>
      <c r="S465" s="243">
        <f>IF(Table334[[#This Row],[Category]]="Parties Food &amp; Beverages",Table334[[#This Row],[Account Deposit Amount]]-Table334[[#This Row],[Account Withdrawl Amount]], )</f>
        <v>0</v>
      </c>
      <c r="T465" s="243">
        <f>IF(Table334[[#This Row],[Category]]="Service Projects Donation",Table334[[#This Row],[Account Deposit Amount]]-Table334[[#This Row],[Account Withdrawl Amount]], )</f>
        <v>0</v>
      </c>
      <c r="U465" s="243">
        <f>IF(Table334[[#This Row],[Category]]="Cookie Debt",Table334[[#This Row],[Account Deposit Amount]]-Table334[[#This Row],[Account Withdrawl Amount]], )</f>
        <v>0</v>
      </c>
      <c r="V465" s="243">
        <f>IF(Table334[[#This Row],[Category]]="Other Expense",Table334[[#This Row],[Account Deposit Amount]]-Table334[[#This Row],[Account Withdrawl Amount]], )</f>
        <v>0</v>
      </c>
    </row>
    <row r="466" spans="1:22">
      <c r="A466" s="225"/>
      <c r="B466" s="241"/>
      <c r="C466" s="225"/>
      <c r="D466" s="225"/>
      <c r="E466" s="242"/>
      <c r="F466" s="242"/>
      <c r="G466" s="243">
        <f t="shared" si="10"/>
        <v>2518.9699999999939</v>
      </c>
      <c r="H466" s="225"/>
      <c r="I466" s="243">
        <f>IF(Table334[[#This Row],[Category]]="Fall Product",Table334[[#This Row],[Account Deposit Amount]]-Table334[[#This Row],[Account Withdrawl Amount]], )</f>
        <v>0</v>
      </c>
      <c r="J466" s="243">
        <f>IF(Table334[[#This Row],[Category]]="Cookies",Table334[[#This Row],[Account Deposit Amount]]-Table334[[#This Row],[Account Withdrawl Amount]], )</f>
        <v>0</v>
      </c>
      <c r="K466" s="243">
        <f>IF(Table334[[#This Row],[Category]]="Additional Money Earning Activities",Table334[[#This Row],[Account Deposit Amount]]-Table334[[#This Row],[Account Withdrawl Amount]], )</f>
        <v>0</v>
      </c>
      <c r="L466" s="243">
        <f>IF(Table334[[#This Row],[Category]]="Sponsorships",Table334[[#This Row],[Account Deposit Amount]]-Table334[[#This Row],[Account Withdrawl Amount]], )</f>
        <v>0</v>
      </c>
      <c r="M466" s="243">
        <f>IF(Table334[[#This Row],[Category]]="Troop Dues",Table334[[#This Row],[Account Deposit Amount]]-Table334[[#This Row],[Account Withdrawl Amount]], )</f>
        <v>0</v>
      </c>
      <c r="N466" s="243">
        <f>IF(Table334[[#This Row],[Category]]="Other Income",Table334[[#This Row],[Account Deposit Amount]]-Table334[[#This Row],[Account Withdrawl Amount]], )</f>
        <v>0</v>
      </c>
      <c r="O466" s="243">
        <f>IF(Table334[[#This Row],[Category]]="Registration",Table334[[#This Row],[Account Deposit Amount]]-Table334[[#This Row],[Account Withdrawl Amount]], )</f>
        <v>0</v>
      </c>
      <c r="P466" s="243">
        <f>IF(Table334[[#This Row],[Category]]="Insignia",Table334[[#This Row],[Account Deposit Amount]]-Table334[[#This Row],[Account Withdrawl Amount]], )</f>
        <v>0</v>
      </c>
      <c r="Q466" s="243">
        <f>IF(Table334[[#This Row],[Category]]="Activities/Program",Table334[[#This Row],[Account Deposit Amount]]-Table334[[#This Row],[Account Withdrawl Amount]], )</f>
        <v>0</v>
      </c>
      <c r="R466" s="243">
        <f>IF(Table334[[#This Row],[Category]]="Travel",Table334[[#This Row],[Account Deposit Amount]]-Table334[[#This Row],[Account Withdrawl Amount]], )</f>
        <v>0</v>
      </c>
      <c r="S466" s="243">
        <f>IF(Table334[[#This Row],[Category]]="Parties Food &amp; Beverages",Table334[[#This Row],[Account Deposit Amount]]-Table334[[#This Row],[Account Withdrawl Amount]], )</f>
        <v>0</v>
      </c>
      <c r="T466" s="243">
        <f>IF(Table334[[#This Row],[Category]]="Service Projects Donation",Table334[[#This Row],[Account Deposit Amount]]-Table334[[#This Row],[Account Withdrawl Amount]], )</f>
        <v>0</v>
      </c>
      <c r="U466" s="243">
        <f>IF(Table334[[#This Row],[Category]]="Cookie Debt",Table334[[#This Row],[Account Deposit Amount]]-Table334[[#This Row],[Account Withdrawl Amount]], )</f>
        <v>0</v>
      </c>
      <c r="V466" s="243">
        <f>IF(Table334[[#This Row],[Category]]="Other Expense",Table334[[#This Row],[Account Deposit Amount]]-Table334[[#This Row],[Account Withdrawl Amount]], )</f>
        <v>0</v>
      </c>
    </row>
    <row r="467" spans="1:22">
      <c r="A467" s="225"/>
      <c r="B467" s="241"/>
      <c r="C467" s="225"/>
      <c r="D467" s="225"/>
      <c r="E467" s="242"/>
      <c r="F467" s="242"/>
      <c r="G467" s="243">
        <f t="shared" si="10"/>
        <v>2518.9699999999939</v>
      </c>
      <c r="H467" s="225"/>
      <c r="I467" s="243">
        <f>IF(Table334[[#This Row],[Category]]="Fall Product",Table334[[#This Row],[Account Deposit Amount]]-Table334[[#This Row],[Account Withdrawl Amount]], )</f>
        <v>0</v>
      </c>
      <c r="J467" s="243">
        <f>IF(Table334[[#This Row],[Category]]="Cookies",Table334[[#This Row],[Account Deposit Amount]]-Table334[[#This Row],[Account Withdrawl Amount]], )</f>
        <v>0</v>
      </c>
      <c r="K467" s="243">
        <f>IF(Table334[[#This Row],[Category]]="Additional Money Earning Activities",Table334[[#This Row],[Account Deposit Amount]]-Table334[[#This Row],[Account Withdrawl Amount]], )</f>
        <v>0</v>
      </c>
      <c r="L467" s="243">
        <f>IF(Table334[[#This Row],[Category]]="Sponsorships",Table334[[#This Row],[Account Deposit Amount]]-Table334[[#This Row],[Account Withdrawl Amount]], )</f>
        <v>0</v>
      </c>
      <c r="M467" s="243">
        <f>IF(Table334[[#This Row],[Category]]="Troop Dues",Table334[[#This Row],[Account Deposit Amount]]-Table334[[#This Row],[Account Withdrawl Amount]], )</f>
        <v>0</v>
      </c>
      <c r="N467" s="243">
        <f>IF(Table334[[#This Row],[Category]]="Other Income",Table334[[#This Row],[Account Deposit Amount]]-Table334[[#This Row],[Account Withdrawl Amount]], )</f>
        <v>0</v>
      </c>
      <c r="O467" s="243">
        <f>IF(Table334[[#This Row],[Category]]="Registration",Table334[[#This Row],[Account Deposit Amount]]-Table334[[#This Row],[Account Withdrawl Amount]], )</f>
        <v>0</v>
      </c>
      <c r="P467" s="243">
        <f>IF(Table334[[#This Row],[Category]]="Insignia",Table334[[#This Row],[Account Deposit Amount]]-Table334[[#This Row],[Account Withdrawl Amount]], )</f>
        <v>0</v>
      </c>
      <c r="Q467" s="243">
        <f>IF(Table334[[#This Row],[Category]]="Activities/Program",Table334[[#This Row],[Account Deposit Amount]]-Table334[[#This Row],[Account Withdrawl Amount]], )</f>
        <v>0</v>
      </c>
      <c r="R467" s="243">
        <f>IF(Table334[[#This Row],[Category]]="Travel",Table334[[#This Row],[Account Deposit Amount]]-Table334[[#This Row],[Account Withdrawl Amount]], )</f>
        <v>0</v>
      </c>
      <c r="S467" s="243">
        <f>IF(Table334[[#This Row],[Category]]="Parties Food &amp; Beverages",Table334[[#This Row],[Account Deposit Amount]]-Table334[[#This Row],[Account Withdrawl Amount]], )</f>
        <v>0</v>
      </c>
      <c r="T467" s="243">
        <f>IF(Table334[[#This Row],[Category]]="Service Projects Donation",Table334[[#This Row],[Account Deposit Amount]]-Table334[[#This Row],[Account Withdrawl Amount]], )</f>
        <v>0</v>
      </c>
      <c r="U467" s="243">
        <f>IF(Table334[[#This Row],[Category]]="Cookie Debt",Table334[[#This Row],[Account Deposit Amount]]-Table334[[#This Row],[Account Withdrawl Amount]], )</f>
        <v>0</v>
      </c>
      <c r="V467" s="243">
        <f>IF(Table334[[#This Row],[Category]]="Other Expense",Table334[[#This Row],[Account Deposit Amount]]-Table334[[#This Row],[Account Withdrawl Amount]], )</f>
        <v>0</v>
      </c>
    </row>
    <row r="468" spans="1:22">
      <c r="A468" s="225"/>
      <c r="B468" s="241"/>
      <c r="C468" s="225"/>
      <c r="D468" s="225"/>
      <c r="E468" s="242"/>
      <c r="F468" s="242"/>
      <c r="G468" s="243">
        <f t="shared" si="10"/>
        <v>2518.9699999999939</v>
      </c>
      <c r="H468" s="225"/>
      <c r="I468" s="243">
        <f>IF(Table334[[#This Row],[Category]]="Fall Product",Table334[[#This Row],[Account Deposit Amount]]-Table334[[#This Row],[Account Withdrawl Amount]], )</f>
        <v>0</v>
      </c>
      <c r="J468" s="243">
        <f>IF(Table334[[#This Row],[Category]]="Cookies",Table334[[#This Row],[Account Deposit Amount]]-Table334[[#This Row],[Account Withdrawl Amount]], )</f>
        <v>0</v>
      </c>
      <c r="K468" s="243">
        <f>IF(Table334[[#This Row],[Category]]="Additional Money Earning Activities",Table334[[#This Row],[Account Deposit Amount]]-Table334[[#This Row],[Account Withdrawl Amount]], )</f>
        <v>0</v>
      </c>
      <c r="L468" s="243">
        <f>IF(Table334[[#This Row],[Category]]="Sponsorships",Table334[[#This Row],[Account Deposit Amount]]-Table334[[#This Row],[Account Withdrawl Amount]], )</f>
        <v>0</v>
      </c>
      <c r="M468" s="243">
        <f>IF(Table334[[#This Row],[Category]]="Troop Dues",Table334[[#This Row],[Account Deposit Amount]]-Table334[[#This Row],[Account Withdrawl Amount]], )</f>
        <v>0</v>
      </c>
      <c r="N468" s="243">
        <f>IF(Table334[[#This Row],[Category]]="Other Income",Table334[[#This Row],[Account Deposit Amount]]-Table334[[#This Row],[Account Withdrawl Amount]], )</f>
        <v>0</v>
      </c>
      <c r="O468" s="243">
        <f>IF(Table334[[#This Row],[Category]]="Registration",Table334[[#This Row],[Account Deposit Amount]]-Table334[[#This Row],[Account Withdrawl Amount]], )</f>
        <v>0</v>
      </c>
      <c r="P468" s="243">
        <f>IF(Table334[[#This Row],[Category]]="Insignia",Table334[[#This Row],[Account Deposit Amount]]-Table334[[#This Row],[Account Withdrawl Amount]], )</f>
        <v>0</v>
      </c>
      <c r="Q468" s="243">
        <f>IF(Table334[[#This Row],[Category]]="Activities/Program",Table334[[#This Row],[Account Deposit Amount]]-Table334[[#This Row],[Account Withdrawl Amount]], )</f>
        <v>0</v>
      </c>
      <c r="R468" s="243">
        <f>IF(Table334[[#This Row],[Category]]="Travel",Table334[[#This Row],[Account Deposit Amount]]-Table334[[#This Row],[Account Withdrawl Amount]], )</f>
        <v>0</v>
      </c>
      <c r="S468" s="243">
        <f>IF(Table334[[#This Row],[Category]]="Parties Food &amp; Beverages",Table334[[#This Row],[Account Deposit Amount]]-Table334[[#This Row],[Account Withdrawl Amount]], )</f>
        <v>0</v>
      </c>
      <c r="T468" s="243">
        <f>IF(Table334[[#This Row],[Category]]="Service Projects Donation",Table334[[#This Row],[Account Deposit Amount]]-Table334[[#This Row],[Account Withdrawl Amount]], )</f>
        <v>0</v>
      </c>
      <c r="U468" s="243">
        <f>IF(Table334[[#This Row],[Category]]="Cookie Debt",Table334[[#This Row],[Account Deposit Amount]]-Table334[[#This Row],[Account Withdrawl Amount]], )</f>
        <v>0</v>
      </c>
      <c r="V468" s="243">
        <f>IF(Table334[[#This Row],[Category]]="Other Expense",Table334[[#This Row],[Account Deposit Amount]]-Table334[[#This Row],[Account Withdrawl Amount]], )</f>
        <v>0</v>
      </c>
    </row>
    <row r="469" spans="1:22">
      <c r="A469" s="225"/>
      <c r="B469" s="241"/>
      <c r="C469" s="225"/>
      <c r="D469" s="225"/>
      <c r="E469" s="242"/>
      <c r="F469" s="242"/>
      <c r="G469" s="243">
        <f t="shared" si="10"/>
        <v>2518.9699999999939</v>
      </c>
      <c r="H469" s="225"/>
      <c r="I469" s="243">
        <f>IF(Table334[[#This Row],[Category]]="Fall Product",Table334[[#This Row],[Account Deposit Amount]]-Table334[[#This Row],[Account Withdrawl Amount]], )</f>
        <v>0</v>
      </c>
      <c r="J469" s="243">
        <f>IF(Table334[[#This Row],[Category]]="Cookies",Table334[[#This Row],[Account Deposit Amount]]-Table334[[#This Row],[Account Withdrawl Amount]], )</f>
        <v>0</v>
      </c>
      <c r="K469" s="243">
        <f>IF(Table334[[#This Row],[Category]]="Additional Money Earning Activities",Table334[[#This Row],[Account Deposit Amount]]-Table334[[#This Row],[Account Withdrawl Amount]], )</f>
        <v>0</v>
      </c>
      <c r="L469" s="243">
        <f>IF(Table334[[#This Row],[Category]]="Sponsorships",Table334[[#This Row],[Account Deposit Amount]]-Table334[[#This Row],[Account Withdrawl Amount]], )</f>
        <v>0</v>
      </c>
      <c r="M469" s="243">
        <f>IF(Table334[[#This Row],[Category]]="Troop Dues",Table334[[#This Row],[Account Deposit Amount]]-Table334[[#This Row],[Account Withdrawl Amount]], )</f>
        <v>0</v>
      </c>
      <c r="N469" s="243">
        <f>IF(Table334[[#This Row],[Category]]="Other Income",Table334[[#This Row],[Account Deposit Amount]]-Table334[[#This Row],[Account Withdrawl Amount]], )</f>
        <v>0</v>
      </c>
      <c r="O469" s="243">
        <f>IF(Table334[[#This Row],[Category]]="Registration",Table334[[#This Row],[Account Deposit Amount]]-Table334[[#This Row],[Account Withdrawl Amount]], )</f>
        <v>0</v>
      </c>
      <c r="P469" s="243">
        <f>IF(Table334[[#This Row],[Category]]="Insignia",Table334[[#This Row],[Account Deposit Amount]]-Table334[[#This Row],[Account Withdrawl Amount]], )</f>
        <v>0</v>
      </c>
      <c r="Q469" s="243">
        <f>IF(Table334[[#This Row],[Category]]="Activities/Program",Table334[[#This Row],[Account Deposit Amount]]-Table334[[#This Row],[Account Withdrawl Amount]], )</f>
        <v>0</v>
      </c>
      <c r="R469" s="243">
        <f>IF(Table334[[#This Row],[Category]]="Travel",Table334[[#This Row],[Account Deposit Amount]]-Table334[[#This Row],[Account Withdrawl Amount]], )</f>
        <v>0</v>
      </c>
      <c r="S469" s="243">
        <f>IF(Table334[[#This Row],[Category]]="Parties Food &amp; Beverages",Table334[[#This Row],[Account Deposit Amount]]-Table334[[#This Row],[Account Withdrawl Amount]], )</f>
        <v>0</v>
      </c>
      <c r="T469" s="243">
        <f>IF(Table334[[#This Row],[Category]]="Service Projects Donation",Table334[[#This Row],[Account Deposit Amount]]-Table334[[#This Row],[Account Withdrawl Amount]], )</f>
        <v>0</v>
      </c>
      <c r="U469" s="243">
        <f>IF(Table334[[#This Row],[Category]]="Cookie Debt",Table334[[#This Row],[Account Deposit Amount]]-Table334[[#This Row],[Account Withdrawl Amount]], )</f>
        <v>0</v>
      </c>
      <c r="V469" s="243">
        <f>IF(Table334[[#This Row],[Category]]="Other Expense",Table334[[#This Row],[Account Deposit Amount]]-Table334[[#This Row],[Account Withdrawl Amount]], )</f>
        <v>0</v>
      </c>
    </row>
    <row r="470" spans="1:22">
      <c r="A470" s="225"/>
      <c r="B470" s="241"/>
      <c r="C470" s="225"/>
      <c r="D470" s="225"/>
      <c r="E470" s="242"/>
      <c r="F470" s="242"/>
      <c r="G470" s="243">
        <f t="shared" si="10"/>
        <v>2518.9699999999939</v>
      </c>
      <c r="H470" s="225"/>
      <c r="I470" s="243">
        <f>IF(Table334[[#This Row],[Category]]="Fall Product",Table334[[#This Row],[Account Deposit Amount]]-Table334[[#This Row],[Account Withdrawl Amount]], )</f>
        <v>0</v>
      </c>
      <c r="J470" s="243">
        <f>IF(Table334[[#This Row],[Category]]="Cookies",Table334[[#This Row],[Account Deposit Amount]]-Table334[[#This Row],[Account Withdrawl Amount]], )</f>
        <v>0</v>
      </c>
      <c r="K470" s="243">
        <f>IF(Table334[[#This Row],[Category]]="Additional Money Earning Activities",Table334[[#This Row],[Account Deposit Amount]]-Table334[[#This Row],[Account Withdrawl Amount]], )</f>
        <v>0</v>
      </c>
      <c r="L470" s="243">
        <f>IF(Table334[[#This Row],[Category]]="Sponsorships",Table334[[#This Row],[Account Deposit Amount]]-Table334[[#This Row],[Account Withdrawl Amount]], )</f>
        <v>0</v>
      </c>
      <c r="M470" s="243">
        <f>IF(Table334[[#This Row],[Category]]="Troop Dues",Table334[[#This Row],[Account Deposit Amount]]-Table334[[#This Row],[Account Withdrawl Amount]], )</f>
        <v>0</v>
      </c>
      <c r="N470" s="243">
        <f>IF(Table334[[#This Row],[Category]]="Other Income",Table334[[#This Row],[Account Deposit Amount]]-Table334[[#This Row],[Account Withdrawl Amount]], )</f>
        <v>0</v>
      </c>
      <c r="O470" s="243">
        <f>IF(Table334[[#This Row],[Category]]="Registration",Table334[[#This Row],[Account Deposit Amount]]-Table334[[#This Row],[Account Withdrawl Amount]], )</f>
        <v>0</v>
      </c>
      <c r="P470" s="243">
        <f>IF(Table334[[#This Row],[Category]]="Insignia",Table334[[#This Row],[Account Deposit Amount]]-Table334[[#This Row],[Account Withdrawl Amount]], )</f>
        <v>0</v>
      </c>
      <c r="Q470" s="243">
        <f>IF(Table334[[#This Row],[Category]]="Activities/Program",Table334[[#This Row],[Account Deposit Amount]]-Table334[[#This Row],[Account Withdrawl Amount]], )</f>
        <v>0</v>
      </c>
      <c r="R470" s="243">
        <f>IF(Table334[[#This Row],[Category]]="Travel",Table334[[#This Row],[Account Deposit Amount]]-Table334[[#This Row],[Account Withdrawl Amount]], )</f>
        <v>0</v>
      </c>
      <c r="S470" s="243">
        <f>IF(Table334[[#This Row],[Category]]="Parties Food &amp; Beverages",Table334[[#This Row],[Account Deposit Amount]]-Table334[[#This Row],[Account Withdrawl Amount]], )</f>
        <v>0</v>
      </c>
      <c r="T470" s="243">
        <f>IF(Table334[[#This Row],[Category]]="Service Projects Donation",Table334[[#This Row],[Account Deposit Amount]]-Table334[[#This Row],[Account Withdrawl Amount]], )</f>
        <v>0</v>
      </c>
      <c r="U470" s="243">
        <f>IF(Table334[[#This Row],[Category]]="Cookie Debt",Table334[[#This Row],[Account Deposit Amount]]-Table334[[#This Row],[Account Withdrawl Amount]], )</f>
        <v>0</v>
      </c>
      <c r="V470" s="243">
        <f>IF(Table334[[#This Row],[Category]]="Other Expense",Table334[[#This Row],[Account Deposit Amount]]-Table334[[#This Row],[Account Withdrawl Amount]], )</f>
        <v>0</v>
      </c>
    </row>
    <row r="471" spans="1:22">
      <c r="A471" s="225"/>
      <c r="B471" s="241"/>
      <c r="C471" s="225"/>
      <c r="D471" s="225"/>
      <c r="E471" s="242"/>
      <c r="F471" s="242"/>
      <c r="G471" s="243">
        <f t="shared" si="10"/>
        <v>2518.9699999999939</v>
      </c>
      <c r="H471" s="225"/>
      <c r="I471" s="243">
        <f>IF(Table334[[#This Row],[Category]]="Fall Product",Table334[[#This Row],[Account Deposit Amount]]-Table334[[#This Row],[Account Withdrawl Amount]], )</f>
        <v>0</v>
      </c>
      <c r="J471" s="243">
        <f>IF(Table334[[#This Row],[Category]]="Cookies",Table334[[#This Row],[Account Deposit Amount]]-Table334[[#This Row],[Account Withdrawl Amount]], )</f>
        <v>0</v>
      </c>
      <c r="K471" s="243">
        <f>IF(Table334[[#This Row],[Category]]="Additional Money Earning Activities",Table334[[#This Row],[Account Deposit Amount]]-Table334[[#This Row],[Account Withdrawl Amount]], )</f>
        <v>0</v>
      </c>
      <c r="L471" s="243">
        <f>IF(Table334[[#This Row],[Category]]="Sponsorships",Table334[[#This Row],[Account Deposit Amount]]-Table334[[#This Row],[Account Withdrawl Amount]], )</f>
        <v>0</v>
      </c>
      <c r="M471" s="243">
        <f>IF(Table334[[#This Row],[Category]]="Troop Dues",Table334[[#This Row],[Account Deposit Amount]]-Table334[[#This Row],[Account Withdrawl Amount]], )</f>
        <v>0</v>
      </c>
      <c r="N471" s="243">
        <f>IF(Table334[[#This Row],[Category]]="Other Income",Table334[[#This Row],[Account Deposit Amount]]-Table334[[#This Row],[Account Withdrawl Amount]], )</f>
        <v>0</v>
      </c>
      <c r="O471" s="243">
        <f>IF(Table334[[#This Row],[Category]]="Registration",Table334[[#This Row],[Account Deposit Amount]]-Table334[[#This Row],[Account Withdrawl Amount]], )</f>
        <v>0</v>
      </c>
      <c r="P471" s="243">
        <f>IF(Table334[[#This Row],[Category]]="Insignia",Table334[[#This Row],[Account Deposit Amount]]-Table334[[#This Row],[Account Withdrawl Amount]], )</f>
        <v>0</v>
      </c>
      <c r="Q471" s="243">
        <f>IF(Table334[[#This Row],[Category]]="Activities/Program",Table334[[#This Row],[Account Deposit Amount]]-Table334[[#This Row],[Account Withdrawl Amount]], )</f>
        <v>0</v>
      </c>
      <c r="R471" s="243">
        <f>IF(Table334[[#This Row],[Category]]="Travel",Table334[[#This Row],[Account Deposit Amount]]-Table334[[#This Row],[Account Withdrawl Amount]], )</f>
        <v>0</v>
      </c>
      <c r="S471" s="243">
        <f>IF(Table334[[#This Row],[Category]]="Parties Food &amp; Beverages",Table334[[#This Row],[Account Deposit Amount]]-Table334[[#This Row],[Account Withdrawl Amount]], )</f>
        <v>0</v>
      </c>
      <c r="T471" s="243">
        <f>IF(Table334[[#This Row],[Category]]="Service Projects Donation",Table334[[#This Row],[Account Deposit Amount]]-Table334[[#This Row],[Account Withdrawl Amount]], )</f>
        <v>0</v>
      </c>
      <c r="U471" s="243">
        <f>IF(Table334[[#This Row],[Category]]="Cookie Debt",Table334[[#This Row],[Account Deposit Amount]]-Table334[[#This Row],[Account Withdrawl Amount]], )</f>
        <v>0</v>
      </c>
      <c r="V471" s="243">
        <f>IF(Table334[[#This Row],[Category]]="Other Expense",Table334[[#This Row],[Account Deposit Amount]]-Table334[[#This Row],[Account Withdrawl Amount]], )</f>
        <v>0</v>
      </c>
    </row>
    <row r="472" spans="1:22">
      <c r="A472" s="225"/>
      <c r="B472" s="241"/>
      <c r="C472" s="225"/>
      <c r="D472" s="225"/>
      <c r="E472" s="242"/>
      <c r="F472" s="242"/>
      <c r="G472" s="243">
        <f t="shared" si="10"/>
        <v>2518.9699999999939</v>
      </c>
      <c r="H472" s="225"/>
      <c r="I472" s="243">
        <f>IF(Table334[[#This Row],[Category]]="Fall Product",Table334[[#This Row],[Account Deposit Amount]]-Table334[[#This Row],[Account Withdrawl Amount]], )</f>
        <v>0</v>
      </c>
      <c r="J472" s="243">
        <f>IF(Table334[[#This Row],[Category]]="Cookies",Table334[[#This Row],[Account Deposit Amount]]-Table334[[#This Row],[Account Withdrawl Amount]], )</f>
        <v>0</v>
      </c>
      <c r="K472" s="243">
        <f>IF(Table334[[#This Row],[Category]]="Additional Money Earning Activities",Table334[[#This Row],[Account Deposit Amount]]-Table334[[#This Row],[Account Withdrawl Amount]], )</f>
        <v>0</v>
      </c>
      <c r="L472" s="243">
        <f>IF(Table334[[#This Row],[Category]]="Sponsorships",Table334[[#This Row],[Account Deposit Amount]]-Table334[[#This Row],[Account Withdrawl Amount]], )</f>
        <v>0</v>
      </c>
      <c r="M472" s="243">
        <f>IF(Table334[[#This Row],[Category]]="Troop Dues",Table334[[#This Row],[Account Deposit Amount]]-Table334[[#This Row],[Account Withdrawl Amount]], )</f>
        <v>0</v>
      </c>
      <c r="N472" s="243">
        <f>IF(Table334[[#This Row],[Category]]="Other Income",Table334[[#This Row],[Account Deposit Amount]]-Table334[[#This Row],[Account Withdrawl Amount]], )</f>
        <v>0</v>
      </c>
      <c r="O472" s="243">
        <f>IF(Table334[[#This Row],[Category]]="Registration",Table334[[#This Row],[Account Deposit Amount]]-Table334[[#This Row],[Account Withdrawl Amount]], )</f>
        <v>0</v>
      </c>
      <c r="P472" s="243">
        <f>IF(Table334[[#This Row],[Category]]="Insignia",Table334[[#This Row],[Account Deposit Amount]]-Table334[[#This Row],[Account Withdrawl Amount]], )</f>
        <v>0</v>
      </c>
      <c r="Q472" s="243">
        <f>IF(Table334[[#This Row],[Category]]="Activities/Program",Table334[[#This Row],[Account Deposit Amount]]-Table334[[#This Row],[Account Withdrawl Amount]], )</f>
        <v>0</v>
      </c>
      <c r="R472" s="243">
        <f>IF(Table334[[#This Row],[Category]]="Travel",Table334[[#This Row],[Account Deposit Amount]]-Table334[[#This Row],[Account Withdrawl Amount]], )</f>
        <v>0</v>
      </c>
      <c r="S472" s="243">
        <f>IF(Table334[[#This Row],[Category]]="Parties Food &amp; Beverages",Table334[[#This Row],[Account Deposit Amount]]-Table334[[#This Row],[Account Withdrawl Amount]], )</f>
        <v>0</v>
      </c>
      <c r="T472" s="243">
        <f>IF(Table334[[#This Row],[Category]]="Service Projects Donation",Table334[[#This Row],[Account Deposit Amount]]-Table334[[#This Row],[Account Withdrawl Amount]], )</f>
        <v>0</v>
      </c>
      <c r="U472" s="243">
        <f>IF(Table334[[#This Row],[Category]]="Cookie Debt",Table334[[#This Row],[Account Deposit Amount]]-Table334[[#This Row],[Account Withdrawl Amount]], )</f>
        <v>0</v>
      </c>
      <c r="V472" s="243">
        <f>IF(Table334[[#This Row],[Category]]="Other Expense",Table334[[#This Row],[Account Deposit Amount]]-Table334[[#This Row],[Account Withdrawl Amount]], )</f>
        <v>0</v>
      </c>
    </row>
    <row r="473" spans="1:22">
      <c r="A473" s="225"/>
      <c r="B473" s="241"/>
      <c r="C473" s="225"/>
      <c r="D473" s="225"/>
      <c r="E473" s="242"/>
      <c r="F473" s="242"/>
      <c r="G473" s="243">
        <f t="shared" si="10"/>
        <v>2518.9699999999939</v>
      </c>
      <c r="H473" s="225"/>
      <c r="I473" s="243">
        <f>IF(Table334[[#This Row],[Category]]="Fall Product",Table334[[#This Row],[Account Deposit Amount]]-Table334[[#This Row],[Account Withdrawl Amount]], )</f>
        <v>0</v>
      </c>
      <c r="J473" s="243">
        <f>IF(Table334[[#This Row],[Category]]="Cookies",Table334[[#This Row],[Account Deposit Amount]]-Table334[[#This Row],[Account Withdrawl Amount]], )</f>
        <v>0</v>
      </c>
      <c r="K473" s="243">
        <f>IF(Table334[[#This Row],[Category]]="Additional Money Earning Activities",Table334[[#This Row],[Account Deposit Amount]]-Table334[[#This Row],[Account Withdrawl Amount]], )</f>
        <v>0</v>
      </c>
      <c r="L473" s="243">
        <f>IF(Table334[[#This Row],[Category]]="Sponsorships",Table334[[#This Row],[Account Deposit Amount]]-Table334[[#This Row],[Account Withdrawl Amount]], )</f>
        <v>0</v>
      </c>
      <c r="M473" s="243">
        <f>IF(Table334[[#This Row],[Category]]="Troop Dues",Table334[[#This Row],[Account Deposit Amount]]-Table334[[#This Row],[Account Withdrawl Amount]], )</f>
        <v>0</v>
      </c>
      <c r="N473" s="243">
        <f>IF(Table334[[#This Row],[Category]]="Other Income",Table334[[#This Row],[Account Deposit Amount]]-Table334[[#This Row],[Account Withdrawl Amount]], )</f>
        <v>0</v>
      </c>
      <c r="O473" s="243">
        <f>IF(Table334[[#This Row],[Category]]="Registration",Table334[[#This Row],[Account Deposit Amount]]-Table334[[#This Row],[Account Withdrawl Amount]], )</f>
        <v>0</v>
      </c>
      <c r="P473" s="243">
        <f>IF(Table334[[#This Row],[Category]]="Insignia",Table334[[#This Row],[Account Deposit Amount]]-Table334[[#This Row],[Account Withdrawl Amount]], )</f>
        <v>0</v>
      </c>
      <c r="Q473" s="243">
        <f>IF(Table334[[#This Row],[Category]]="Activities/Program",Table334[[#This Row],[Account Deposit Amount]]-Table334[[#This Row],[Account Withdrawl Amount]], )</f>
        <v>0</v>
      </c>
      <c r="R473" s="243">
        <f>IF(Table334[[#This Row],[Category]]="Travel",Table334[[#This Row],[Account Deposit Amount]]-Table334[[#This Row],[Account Withdrawl Amount]], )</f>
        <v>0</v>
      </c>
      <c r="S473" s="243">
        <f>IF(Table334[[#This Row],[Category]]="Parties Food &amp; Beverages",Table334[[#This Row],[Account Deposit Amount]]-Table334[[#This Row],[Account Withdrawl Amount]], )</f>
        <v>0</v>
      </c>
      <c r="T473" s="243">
        <f>IF(Table334[[#This Row],[Category]]="Service Projects Donation",Table334[[#This Row],[Account Deposit Amount]]-Table334[[#This Row],[Account Withdrawl Amount]], )</f>
        <v>0</v>
      </c>
      <c r="U473" s="243">
        <f>IF(Table334[[#This Row],[Category]]="Cookie Debt",Table334[[#This Row],[Account Deposit Amount]]-Table334[[#This Row],[Account Withdrawl Amount]], )</f>
        <v>0</v>
      </c>
      <c r="V473" s="243">
        <f>IF(Table334[[#This Row],[Category]]="Other Expense",Table334[[#This Row],[Account Deposit Amount]]-Table334[[#This Row],[Account Withdrawl Amount]], )</f>
        <v>0</v>
      </c>
    </row>
    <row r="474" spans="1:22">
      <c r="A474" s="225"/>
      <c r="B474" s="241"/>
      <c r="C474" s="225"/>
      <c r="D474" s="225"/>
      <c r="E474" s="242"/>
      <c r="F474" s="242"/>
      <c r="G474" s="243">
        <f t="shared" si="10"/>
        <v>2518.9699999999939</v>
      </c>
      <c r="H474" s="225"/>
      <c r="I474" s="243">
        <f>IF(Table334[[#This Row],[Category]]="Fall Product",Table334[[#This Row],[Account Deposit Amount]]-Table334[[#This Row],[Account Withdrawl Amount]], )</f>
        <v>0</v>
      </c>
      <c r="J474" s="243">
        <f>IF(Table334[[#This Row],[Category]]="Cookies",Table334[[#This Row],[Account Deposit Amount]]-Table334[[#This Row],[Account Withdrawl Amount]], )</f>
        <v>0</v>
      </c>
      <c r="K474" s="243">
        <f>IF(Table334[[#This Row],[Category]]="Additional Money Earning Activities",Table334[[#This Row],[Account Deposit Amount]]-Table334[[#This Row],[Account Withdrawl Amount]], )</f>
        <v>0</v>
      </c>
      <c r="L474" s="243">
        <f>IF(Table334[[#This Row],[Category]]="Sponsorships",Table334[[#This Row],[Account Deposit Amount]]-Table334[[#This Row],[Account Withdrawl Amount]], )</f>
        <v>0</v>
      </c>
      <c r="M474" s="243">
        <f>IF(Table334[[#This Row],[Category]]="Troop Dues",Table334[[#This Row],[Account Deposit Amount]]-Table334[[#This Row],[Account Withdrawl Amount]], )</f>
        <v>0</v>
      </c>
      <c r="N474" s="243">
        <f>IF(Table334[[#This Row],[Category]]="Other Income",Table334[[#This Row],[Account Deposit Amount]]-Table334[[#This Row],[Account Withdrawl Amount]], )</f>
        <v>0</v>
      </c>
      <c r="O474" s="243">
        <f>IF(Table334[[#This Row],[Category]]="Registration",Table334[[#This Row],[Account Deposit Amount]]-Table334[[#This Row],[Account Withdrawl Amount]], )</f>
        <v>0</v>
      </c>
      <c r="P474" s="243">
        <f>IF(Table334[[#This Row],[Category]]="Insignia",Table334[[#This Row],[Account Deposit Amount]]-Table334[[#This Row],[Account Withdrawl Amount]], )</f>
        <v>0</v>
      </c>
      <c r="Q474" s="243">
        <f>IF(Table334[[#This Row],[Category]]="Activities/Program",Table334[[#This Row],[Account Deposit Amount]]-Table334[[#This Row],[Account Withdrawl Amount]], )</f>
        <v>0</v>
      </c>
      <c r="R474" s="243">
        <f>IF(Table334[[#This Row],[Category]]="Travel",Table334[[#This Row],[Account Deposit Amount]]-Table334[[#This Row],[Account Withdrawl Amount]], )</f>
        <v>0</v>
      </c>
      <c r="S474" s="243">
        <f>IF(Table334[[#This Row],[Category]]="Parties Food &amp; Beverages",Table334[[#This Row],[Account Deposit Amount]]-Table334[[#This Row],[Account Withdrawl Amount]], )</f>
        <v>0</v>
      </c>
      <c r="T474" s="243">
        <f>IF(Table334[[#This Row],[Category]]="Service Projects Donation",Table334[[#This Row],[Account Deposit Amount]]-Table334[[#This Row],[Account Withdrawl Amount]], )</f>
        <v>0</v>
      </c>
      <c r="U474" s="243">
        <f>IF(Table334[[#This Row],[Category]]="Cookie Debt",Table334[[#This Row],[Account Deposit Amount]]-Table334[[#This Row],[Account Withdrawl Amount]], )</f>
        <v>0</v>
      </c>
      <c r="V474" s="243">
        <f>IF(Table334[[#This Row],[Category]]="Other Expense",Table334[[#This Row],[Account Deposit Amount]]-Table334[[#This Row],[Account Withdrawl Amount]], )</f>
        <v>0</v>
      </c>
    </row>
    <row r="475" spans="1:22">
      <c r="A475" s="225"/>
      <c r="B475" s="241"/>
      <c r="C475" s="225"/>
      <c r="D475" s="225"/>
      <c r="E475" s="242"/>
      <c r="F475" s="242"/>
      <c r="G475" s="243">
        <f t="shared" si="10"/>
        <v>2518.9699999999939</v>
      </c>
      <c r="H475" s="225"/>
      <c r="I475" s="243">
        <f>IF(Table334[[#This Row],[Category]]="Fall Product",Table334[[#This Row],[Account Deposit Amount]]-Table334[[#This Row],[Account Withdrawl Amount]], )</f>
        <v>0</v>
      </c>
      <c r="J475" s="243">
        <f>IF(Table334[[#This Row],[Category]]="Cookies",Table334[[#This Row],[Account Deposit Amount]]-Table334[[#This Row],[Account Withdrawl Amount]], )</f>
        <v>0</v>
      </c>
      <c r="K475" s="243">
        <f>IF(Table334[[#This Row],[Category]]="Additional Money Earning Activities",Table334[[#This Row],[Account Deposit Amount]]-Table334[[#This Row],[Account Withdrawl Amount]], )</f>
        <v>0</v>
      </c>
      <c r="L475" s="243">
        <f>IF(Table334[[#This Row],[Category]]="Sponsorships",Table334[[#This Row],[Account Deposit Amount]]-Table334[[#This Row],[Account Withdrawl Amount]], )</f>
        <v>0</v>
      </c>
      <c r="M475" s="243">
        <f>IF(Table334[[#This Row],[Category]]="Troop Dues",Table334[[#This Row],[Account Deposit Amount]]-Table334[[#This Row],[Account Withdrawl Amount]], )</f>
        <v>0</v>
      </c>
      <c r="N475" s="243">
        <f>IF(Table334[[#This Row],[Category]]="Other Income",Table334[[#This Row],[Account Deposit Amount]]-Table334[[#This Row],[Account Withdrawl Amount]], )</f>
        <v>0</v>
      </c>
      <c r="O475" s="243">
        <f>IF(Table334[[#This Row],[Category]]="Registration",Table334[[#This Row],[Account Deposit Amount]]-Table334[[#This Row],[Account Withdrawl Amount]], )</f>
        <v>0</v>
      </c>
      <c r="P475" s="243">
        <f>IF(Table334[[#This Row],[Category]]="Insignia",Table334[[#This Row],[Account Deposit Amount]]-Table334[[#This Row],[Account Withdrawl Amount]], )</f>
        <v>0</v>
      </c>
      <c r="Q475" s="243">
        <f>IF(Table334[[#This Row],[Category]]="Activities/Program",Table334[[#This Row],[Account Deposit Amount]]-Table334[[#This Row],[Account Withdrawl Amount]], )</f>
        <v>0</v>
      </c>
      <c r="R475" s="243">
        <f>IF(Table334[[#This Row],[Category]]="Travel",Table334[[#This Row],[Account Deposit Amount]]-Table334[[#This Row],[Account Withdrawl Amount]], )</f>
        <v>0</v>
      </c>
      <c r="S475" s="243">
        <f>IF(Table334[[#This Row],[Category]]="Parties Food &amp; Beverages",Table334[[#This Row],[Account Deposit Amount]]-Table334[[#This Row],[Account Withdrawl Amount]], )</f>
        <v>0</v>
      </c>
      <c r="T475" s="243">
        <f>IF(Table334[[#This Row],[Category]]="Service Projects Donation",Table334[[#This Row],[Account Deposit Amount]]-Table334[[#This Row],[Account Withdrawl Amount]], )</f>
        <v>0</v>
      </c>
      <c r="U475" s="243">
        <f>IF(Table334[[#This Row],[Category]]="Cookie Debt",Table334[[#This Row],[Account Deposit Amount]]-Table334[[#This Row],[Account Withdrawl Amount]], )</f>
        <v>0</v>
      </c>
      <c r="V475" s="243">
        <f>IF(Table334[[#This Row],[Category]]="Other Expense",Table334[[#This Row],[Account Deposit Amount]]-Table334[[#This Row],[Account Withdrawl Amount]], )</f>
        <v>0</v>
      </c>
    </row>
    <row r="476" spans="1:22">
      <c r="A476" s="225"/>
      <c r="B476" s="241"/>
      <c r="C476" s="225"/>
      <c r="D476" s="225"/>
      <c r="E476" s="242"/>
      <c r="F476" s="242"/>
      <c r="G476" s="243">
        <f t="shared" si="10"/>
        <v>2518.9699999999939</v>
      </c>
      <c r="H476" s="225"/>
      <c r="I476" s="243">
        <f>IF(Table334[[#This Row],[Category]]="Fall Product",Table334[[#This Row],[Account Deposit Amount]]-Table334[[#This Row],[Account Withdrawl Amount]], )</f>
        <v>0</v>
      </c>
      <c r="J476" s="243">
        <f>IF(Table334[[#This Row],[Category]]="Cookies",Table334[[#This Row],[Account Deposit Amount]]-Table334[[#This Row],[Account Withdrawl Amount]], )</f>
        <v>0</v>
      </c>
      <c r="K476" s="243">
        <f>IF(Table334[[#This Row],[Category]]="Additional Money Earning Activities",Table334[[#This Row],[Account Deposit Amount]]-Table334[[#This Row],[Account Withdrawl Amount]], )</f>
        <v>0</v>
      </c>
      <c r="L476" s="243">
        <f>IF(Table334[[#This Row],[Category]]="Sponsorships",Table334[[#This Row],[Account Deposit Amount]]-Table334[[#This Row],[Account Withdrawl Amount]], )</f>
        <v>0</v>
      </c>
      <c r="M476" s="243">
        <f>IF(Table334[[#This Row],[Category]]="Troop Dues",Table334[[#This Row],[Account Deposit Amount]]-Table334[[#This Row],[Account Withdrawl Amount]], )</f>
        <v>0</v>
      </c>
      <c r="N476" s="243">
        <f>IF(Table334[[#This Row],[Category]]="Other Income",Table334[[#This Row],[Account Deposit Amount]]-Table334[[#This Row],[Account Withdrawl Amount]], )</f>
        <v>0</v>
      </c>
      <c r="O476" s="243">
        <f>IF(Table334[[#This Row],[Category]]="Registration",Table334[[#This Row],[Account Deposit Amount]]-Table334[[#This Row],[Account Withdrawl Amount]], )</f>
        <v>0</v>
      </c>
      <c r="P476" s="243">
        <f>IF(Table334[[#This Row],[Category]]="Insignia",Table334[[#This Row],[Account Deposit Amount]]-Table334[[#This Row],[Account Withdrawl Amount]], )</f>
        <v>0</v>
      </c>
      <c r="Q476" s="243">
        <f>IF(Table334[[#This Row],[Category]]="Activities/Program",Table334[[#This Row],[Account Deposit Amount]]-Table334[[#This Row],[Account Withdrawl Amount]], )</f>
        <v>0</v>
      </c>
      <c r="R476" s="243">
        <f>IF(Table334[[#This Row],[Category]]="Travel",Table334[[#This Row],[Account Deposit Amount]]-Table334[[#This Row],[Account Withdrawl Amount]], )</f>
        <v>0</v>
      </c>
      <c r="S476" s="243">
        <f>IF(Table334[[#This Row],[Category]]="Parties Food &amp; Beverages",Table334[[#This Row],[Account Deposit Amount]]-Table334[[#This Row],[Account Withdrawl Amount]], )</f>
        <v>0</v>
      </c>
      <c r="T476" s="243">
        <f>IF(Table334[[#This Row],[Category]]="Service Projects Donation",Table334[[#This Row],[Account Deposit Amount]]-Table334[[#This Row],[Account Withdrawl Amount]], )</f>
        <v>0</v>
      </c>
      <c r="U476" s="243">
        <f>IF(Table334[[#This Row],[Category]]="Cookie Debt",Table334[[#This Row],[Account Deposit Amount]]-Table334[[#This Row],[Account Withdrawl Amount]], )</f>
        <v>0</v>
      </c>
      <c r="V476" s="243">
        <f>IF(Table334[[#This Row],[Category]]="Other Expense",Table334[[#This Row],[Account Deposit Amount]]-Table334[[#This Row],[Account Withdrawl Amount]], )</f>
        <v>0</v>
      </c>
    </row>
    <row r="477" spans="1:22">
      <c r="A477" s="225"/>
      <c r="B477" s="241"/>
      <c r="C477" s="225"/>
      <c r="D477" s="225"/>
      <c r="E477" s="242"/>
      <c r="F477" s="242"/>
      <c r="G477" s="243">
        <f t="shared" si="10"/>
        <v>2518.9699999999939</v>
      </c>
      <c r="H477" s="225"/>
      <c r="I477" s="243">
        <f>IF(Table334[[#This Row],[Category]]="Fall Product",Table334[[#This Row],[Account Deposit Amount]]-Table334[[#This Row],[Account Withdrawl Amount]], )</f>
        <v>0</v>
      </c>
      <c r="J477" s="243">
        <f>IF(Table334[[#This Row],[Category]]="Cookies",Table334[[#This Row],[Account Deposit Amount]]-Table334[[#This Row],[Account Withdrawl Amount]], )</f>
        <v>0</v>
      </c>
      <c r="K477" s="243">
        <f>IF(Table334[[#This Row],[Category]]="Additional Money Earning Activities",Table334[[#This Row],[Account Deposit Amount]]-Table334[[#This Row],[Account Withdrawl Amount]], )</f>
        <v>0</v>
      </c>
      <c r="L477" s="243">
        <f>IF(Table334[[#This Row],[Category]]="Sponsorships",Table334[[#This Row],[Account Deposit Amount]]-Table334[[#This Row],[Account Withdrawl Amount]], )</f>
        <v>0</v>
      </c>
      <c r="M477" s="243">
        <f>IF(Table334[[#This Row],[Category]]="Troop Dues",Table334[[#This Row],[Account Deposit Amount]]-Table334[[#This Row],[Account Withdrawl Amount]], )</f>
        <v>0</v>
      </c>
      <c r="N477" s="243">
        <f>IF(Table334[[#This Row],[Category]]="Other Income",Table334[[#This Row],[Account Deposit Amount]]-Table334[[#This Row],[Account Withdrawl Amount]], )</f>
        <v>0</v>
      </c>
      <c r="O477" s="243">
        <f>IF(Table334[[#This Row],[Category]]="Registration",Table334[[#This Row],[Account Deposit Amount]]-Table334[[#This Row],[Account Withdrawl Amount]], )</f>
        <v>0</v>
      </c>
      <c r="P477" s="243">
        <f>IF(Table334[[#This Row],[Category]]="Insignia",Table334[[#This Row],[Account Deposit Amount]]-Table334[[#This Row],[Account Withdrawl Amount]], )</f>
        <v>0</v>
      </c>
      <c r="Q477" s="243">
        <f>IF(Table334[[#This Row],[Category]]="Activities/Program",Table334[[#This Row],[Account Deposit Amount]]-Table334[[#This Row],[Account Withdrawl Amount]], )</f>
        <v>0</v>
      </c>
      <c r="R477" s="243">
        <f>IF(Table334[[#This Row],[Category]]="Travel",Table334[[#This Row],[Account Deposit Amount]]-Table334[[#This Row],[Account Withdrawl Amount]], )</f>
        <v>0</v>
      </c>
      <c r="S477" s="243">
        <f>IF(Table334[[#This Row],[Category]]="Parties Food &amp; Beverages",Table334[[#This Row],[Account Deposit Amount]]-Table334[[#This Row],[Account Withdrawl Amount]], )</f>
        <v>0</v>
      </c>
      <c r="T477" s="243">
        <f>IF(Table334[[#This Row],[Category]]="Service Projects Donation",Table334[[#This Row],[Account Deposit Amount]]-Table334[[#This Row],[Account Withdrawl Amount]], )</f>
        <v>0</v>
      </c>
      <c r="U477" s="243">
        <f>IF(Table334[[#This Row],[Category]]="Cookie Debt",Table334[[#This Row],[Account Deposit Amount]]-Table334[[#This Row],[Account Withdrawl Amount]], )</f>
        <v>0</v>
      </c>
      <c r="V477" s="243">
        <f>IF(Table334[[#This Row],[Category]]="Other Expense",Table334[[#This Row],[Account Deposit Amount]]-Table334[[#This Row],[Account Withdrawl Amount]], )</f>
        <v>0</v>
      </c>
    </row>
    <row r="478" spans="1:22">
      <c r="A478" s="225"/>
      <c r="B478" s="241"/>
      <c r="C478" s="225"/>
      <c r="D478" s="225"/>
      <c r="E478" s="242"/>
      <c r="F478" s="242"/>
      <c r="G478" s="243">
        <f t="shared" si="10"/>
        <v>2518.9699999999939</v>
      </c>
      <c r="H478" s="225"/>
      <c r="I478" s="243">
        <f>IF(Table334[[#This Row],[Category]]="Fall Product",Table334[[#This Row],[Account Deposit Amount]]-Table334[[#This Row],[Account Withdrawl Amount]], )</f>
        <v>0</v>
      </c>
      <c r="J478" s="243">
        <f>IF(Table334[[#This Row],[Category]]="Cookies",Table334[[#This Row],[Account Deposit Amount]]-Table334[[#This Row],[Account Withdrawl Amount]], )</f>
        <v>0</v>
      </c>
      <c r="K478" s="243">
        <f>IF(Table334[[#This Row],[Category]]="Additional Money Earning Activities",Table334[[#This Row],[Account Deposit Amount]]-Table334[[#This Row],[Account Withdrawl Amount]], )</f>
        <v>0</v>
      </c>
      <c r="L478" s="243">
        <f>IF(Table334[[#This Row],[Category]]="Sponsorships",Table334[[#This Row],[Account Deposit Amount]]-Table334[[#This Row],[Account Withdrawl Amount]], )</f>
        <v>0</v>
      </c>
      <c r="M478" s="243">
        <f>IF(Table334[[#This Row],[Category]]="Troop Dues",Table334[[#This Row],[Account Deposit Amount]]-Table334[[#This Row],[Account Withdrawl Amount]], )</f>
        <v>0</v>
      </c>
      <c r="N478" s="243">
        <f>IF(Table334[[#This Row],[Category]]="Other Income",Table334[[#This Row],[Account Deposit Amount]]-Table334[[#This Row],[Account Withdrawl Amount]], )</f>
        <v>0</v>
      </c>
      <c r="O478" s="243">
        <f>IF(Table334[[#This Row],[Category]]="Registration",Table334[[#This Row],[Account Deposit Amount]]-Table334[[#This Row],[Account Withdrawl Amount]], )</f>
        <v>0</v>
      </c>
      <c r="P478" s="243">
        <f>IF(Table334[[#This Row],[Category]]="Insignia",Table334[[#This Row],[Account Deposit Amount]]-Table334[[#This Row],[Account Withdrawl Amount]], )</f>
        <v>0</v>
      </c>
      <c r="Q478" s="243">
        <f>IF(Table334[[#This Row],[Category]]="Activities/Program",Table334[[#This Row],[Account Deposit Amount]]-Table334[[#This Row],[Account Withdrawl Amount]], )</f>
        <v>0</v>
      </c>
      <c r="R478" s="243">
        <f>IF(Table334[[#This Row],[Category]]="Travel",Table334[[#This Row],[Account Deposit Amount]]-Table334[[#This Row],[Account Withdrawl Amount]], )</f>
        <v>0</v>
      </c>
      <c r="S478" s="243">
        <f>IF(Table334[[#This Row],[Category]]="Parties Food &amp; Beverages",Table334[[#This Row],[Account Deposit Amount]]-Table334[[#This Row],[Account Withdrawl Amount]], )</f>
        <v>0</v>
      </c>
      <c r="T478" s="243">
        <f>IF(Table334[[#This Row],[Category]]="Service Projects Donation",Table334[[#This Row],[Account Deposit Amount]]-Table334[[#This Row],[Account Withdrawl Amount]], )</f>
        <v>0</v>
      </c>
      <c r="U478" s="243">
        <f>IF(Table334[[#This Row],[Category]]="Cookie Debt",Table334[[#This Row],[Account Deposit Amount]]-Table334[[#This Row],[Account Withdrawl Amount]], )</f>
        <v>0</v>
      </c>
      <c r="V478" s="243">
        <f>IF(Table334[[#This Row],[Category]]="Other Expense",Table334[[#This Row],[Account Deposit Amount]]-Table334[[#This Row],[Account Withdrawl Amount]], )</f>
        <v>0</v>
      </c>
    </row>
    <row r="479" spans="1:22">
      <c r="A479" s="225"/>
      <c r="B479" s="241"/>
      <c r="C479" s="225"/>
      <c r="D479" s="225"/>
      <c r="E479" s="242"/>
      <c r="F479" s="242"/>
      <c r="G479" s="243">
        <f t="shared" si="10"/>
        <v>2518.9699999999939</v>
      </c>
      <c r="H479" s="225"/>
      <c r="I479" s="243">
        <f>IF(Table334[[#This Row],[Category]]="Fall Product",Table334[[#This Row],[Account Deposit Amount]]-Table334[[#This Row],[Account Withdrawl Amount]], )</f>
        <v>0</v>
      </c>
      <c r="J479" s="243">
        <f>IF(Table334[[#This Row],[Category]]="Cookies",Table334[[#This Row],[Account Deposit Amount]]-Table334[[#This Row],[Account Withdrawl Amount]], )</f>
        <v>0</v>
      </c>
      <c r="K479" s="243">
        <f>IF(Table334[[#This Row],[Category]]="Additional Money Earning Activities",Table334[[#This Row],[Account Deposit Amount]]-Table334[[#This Row],[Account Withdrawl Amount]], )</f>
        <v>0</v>
      </c>
      <c r="L479" s="243">
        <f>IF(Table334[[#This Row],[Category]]="Sponsorships",Table334[[#This Row],[Account Deposit Amount]]-Table334[[#This Row],[Account Withdrawl Amount]], )</f>
        <v>0</v>
      </c>
      <c r="M479" s="243">
        <f>IF(Table334[[#This Row],[Category]]="Troop Dues",Table334[[#This Row],[Account Deposit Amount]]-Table334[[#This Row],[Account Withdrawl Amount]], )</f>
        <v>0</v>
      </c>
      <c r="N479" s="243">
        <f>IF(Table334[[#This Row],[Category]]="Other Income",Table334[[#This Row],[Account Deposit Amount]]-Table334[[#This Row],[Account Withdrawl Amount]], )</f>
        <v>0</v>
      </c>
      <c r="O479" s="243">
        <f>IF(Table334[[#This Row],[Category]]="Registration",Table334[[#This Row],[Account Deposit Amount]]-Table334[[#This Row],[Account Withdrawl Amount]], )</f>
        <v>0</v>
      </c>
      <c r="P479" s="243">
        <f>IF(Table334[[#This Row],[Category]]="Insignia",Table334[[#This Row],[Account Deposit Amount]]-Table334[[#This Row],[Account Withdrawl Amount]], )</f>
        <v>0</v>
      </c>
      <c r="Q479" s="243">
        <f>IF(Table334[[#This Row],[Category]]="Activities/Program",Table334[[#This Row],[Account Deposit Amount]]-Table334[[#This Row],[Account Withdrawl Amount]], )</f>
        <v>0</v>
      </c>
      <c r="R479" s="243">
        <f>IF(Table334[[#This Row],[Category]]="Travel",Table334[[#This Row],[Account Deposit Amount]]-Table334[[#This Row],[Account Withdrawl Amount]], )</f>
        <v>0</v>
      </c>
      <c r="S479" s="243">
        <f>IF(Table334[[#This Row],[Category]]="Parties Food &amp; Beverages",Table334[[#This Row],[Account Deposit Amount]]-Table334[[#This Row],[Account Withdrawl Amount]], )</f>
        <v>0</v>
      </c>
      <c r="T479" s="243">
        <f>IF(Table334[[#This Row],[Category]]="Service Projects Donation",Table334[[#This Row],[Account Deposit Amount]]-Table334[[#This Row],[Account Withdrawl Amount]], )</f>
        <v>0</v>
      </c>
      <c r="U479" s="243">
        <f>IF(Table334[[#This Row],[Category]]="Cookie Debt",Table334[[#This Row],[Account Deposit Amount]]-Table334[[#This Row],[Account Withdrawl Amount]], )</f>
        <v>0</v>
      </c>
      <c r="V479" s="243">
        <f>IF(Table334[[#This Row],[Category]]="Other Expense",Table334[[#This Row],[Account Deposit Amount]]-Table334[[#This Row],[Account Withdrawl Amount]], )</f>
        <v>0</v>
      </c>
    </row>
    <row r="480" spans="1:22">
      <c r="A480" s="225"/>
      <c r="B480" s="241"/>
      <c r="C480" s="225"/>
      <c r="D480" s="225"/>
      <c r="E480" s="242"/>
      <c r="F480" s="242"/>
      <c r="G480" s="243">
        <f t="shared" si="10"/>
        <v>2518.9699999999939</v>
      </c>
      <c r="H480" s="225"/>
      <c r="I480" s="243">
        <f>IF(Table334[[#This Row],[Category]]="Fall Product",Table334[[#This Row],[Account Deposit Amount]]-Table334[[#This Row],[Account Withdrawl Amount]], )</f>
        <v>0</v>
      </c>
      <c r="J480" s="243">
        <f>IF(Table334[[#This Row],[Category]]="Cookies",Table334[[#This Row],[Account Deposit Amount]]-Table334[[#This Row],[Account Withdrawl Amount]], )</f>
        <v>0</v>
      </c>
      <c r="K480" s="243">
        <f>IF(Table334[[#This Row],[Category]]="Additional Money Earning Activities",Table334[[#This Row],[Account Deposit Amount]]-Table334[[#This Row],[Account Withdrawl Amount]], )</f>
        <v>0</v>
      </c>
      <c r="L480" s="243">
        <f>IF(Table334[[#This Row],[Category]]="Sponsorships",Table334[[#This Row],[Account Deposit Amount]]-Table334[[#This Row],[Account Withdrawl Amount]], )</f>
        <v>0</v>
      </c>
      <c r="M480" s="243">
        <f>IF(Table334[[#This Row],[Category]]="Troop Dues",Table334[[#This Row],[Account Deposit Amount]]-Table334[[#This Row],[Account Withdrawl Amount]], )</f>
        <v>0</v>
      </c>
      <c r="N480" s="243">
        <f>IF(Table334[[#This Row],[Category]]="Other Income",Table334[[#This Row],[Account Deposit Amount]]-Table334[[#This Row],[Account Withdrawl Amount]], )</f>
        <v>0</v>
      </c>
      <c r="O480" s="243">
        <f>IF(Table334[[#This Row],[Category]]="Registration",Table334[[#This Row],[Account Deposit Amount]]-Table334[[#This Row],[Account Withdrawl Amount]], )</f>
        <v>0</v>
      </c>
      <c r="P480" s="243">
        <f>IF(Table334[[#This Row],[Category]]="Insignia",Table334[[#This Row],[Account Deposit Amount]]-Table334[[#This Row],[Account Withdrawl Amount]], )</f>
        <v>0</v>
      </c>
      <c r="Q480" s="243">
        <f>IF(Table334[[#This Row],[Category]]="Activities/Program",Table334[[#This Row],[Account Deposit Amount]]-Table334[[#This Row],[Account Withdrawl Amount]], )</f>
        <v>0</v>
      </c>
      <c r="R480" s="243">
        <f>IF(Table334[[#This Row],[Category]]="Travel",Table334[[#This Row],[Account Deposit Amount]]-Table334[[#This Row],[Account Withdrawl Amount]], )</f>
        <v>0</v>
      </c>
      <c r="S480" s="243">
        <f>IF(Table334[[#This Row],[Category]]="Parties Food &amp; Beverages",Table334[[#This Row],[Account Deposit Amount]]-Table334[[#This Row],[Account Withdrawl Amount]], )</f>
        <v>0</v>
      </c>
      <c r="T480" s="243">
        <f>IF(Table334[[#This Row],[Category]]="Service Projects Donation",Table334[[#This Row],[Account Deposit Amount]]-Table334[[#This Row],[Account Withdrawl Amount]], )</f>
        <v>0</v>
      </c>
      <c r="U480" s="243">
        <f>IF(Table334[[#This Row],[Category]]="Cookie Debt",Table334[[#This Row],[Account Deposit Amount]]-Table334[[#This Row],[Account Withdrawl Amount]], )</f>
        <v>0</v>
      </c>
      <c r="V480" s="243">
        <f>IF(Table334[[#This Row],[Category]]="Other Expense",Table334[[#This Row],[Account Deposit Amount]]-Table334[[#This Row],[Account Withdrawl Amount]], )</f>
        <v>0</v>
      </c>
    </row>
    <row r="481" spans="1:22">
      <c r="A481" s="225"/>
      <c r="B481" s="241"/>
      <c r="C481" s="225"/>
      <c r="D481" s="225"/>
      <c r="E481" s="242"/>
      <c r="F481" s="242"/>
      <c r="G481" s="243">
        <f t="shared" si="10"/>
        <v>2518.9699999999939</v>
      </c>
      <c r="H481" s="225"/>
      <c r="I481" s="243">
        <f>IF(Table334[[#This Row],[Category]]="Fall Product",Table334[[#This Row],[Account Deposit Amount]]-Table334[[#This Row],[Account Withdrawl Amount]], )</f>
        <v>0</v>
      </c>
      <c r="J481" s="243">
        <f>IF(Table334[[#This Row],[Category]]="Cookies",Table334[[#This Row],[Account Deposit Amount]]-Table334[[#This Row],[Account Withdrawl Amount]], )</f>
        <v>0</v>
      </c>
      <c r="K481" s="243">
        <f>IF(Table334[[#This Row],[Category]]="Additional Money Earning Activities",Table334[[#This Row],[Account Deposit Amount]]-Table334[[#This Row],[Account Withdrawl Amount]], )</f>
        <v>0</v>
      </c>
      <c r="L481" s="243">
        <f>IF(Table334[[#This Row],[Category]]="Sponsorships",Table334[[#This Row],[Account Deposit Amount]]-Table334[[#This Row],[Account Withdrawl Amount]], )</f>
        <v>0</v>
      </c>
      <c r="M481" s="243">
        <f>IF(Table334[[#This Row],[Category]]="Troop Dues",Table334[[#This Row],[Account Deposit Amount]]-Table334[[#This Row],[Account Withdrawl Amount]], )</f>
        <v>0</v>
      </c>
      <c r="N481" s="243">
        <f>IF(Table334[[#This Row],[Category]]="Other Income",Table334[[#This Row],[Account Deposit Amount]]-Table334[[#This Row],[Account Withdrawl Amount]], )</f>
        <v>0</v>
      </c>
      <c r="O481" s="243">
        <f>IF(Table334[[#This Row],[Category]]="Registration",Table334[[#This Row],[Account Deposit Amount]]-Table334[[#This Row],[Account Withdrawl Amount]], )</f>
        <v>0</v>
      </c>
      <c r="P481" s="243">
        <f>IF(Table334[[#This Row],[Category]]="Insignia",Table334[[#This Row],[Account Deposit Amount]]-Table334[[#This Row],[Account Withdrawl Amount]], )</f>
        <v>0</v>
      </c>
      <c r="Q481" s="243">
        <f>IF(Table334[[#This Row],[Category]]="Activities/Program",Table334[[#This Row],[Account Deposit Amount]]-Table334[[#This Row],[Account Withdrawl Amount]], )</f>
        <v>0</v>
      </c>
      <c r="R481" s="243">
        <f>IF(Table334[[#This Row],[Category]]="Travel",Table334[[#This Row],[Account Deposit Amount]]-Table334[[#This Row],[Account Withdrawl Amount]], )</f>
        <v>0</v>
      </c>
      <c r="S481" s="243">
        <f>IF(Table334[[#This Row],[Category]]="Parties Food &amp; Beverages",Table334[[#This Row],[Account Deposit Amount]]-Table334[[#This Row],[Account Withdrawl Amount]], )</f>
        <v>0</v>
      </c>
      <c r="T481" s="243">
        <f>IF(Table334[[#This Row],[Category]]="Service Projects Donation",Table334[[#This Row],[Account Deposit Amount]]-Table334[[#This Row],[Account Withdrawl Amount]], )</f>
        <v>0</v>
      </c>
      <c r="U481" s="243">
        <f>IF(Table334[[#This Row],[Category]]="Cookie Debt",Table334[[#This Row],[Account Deposit Amount]]-Table334[[#This Row],[Account Withdrawl Amount]], )</f>
        <v>0</v>
      </c>
      <c r="V481" s="243">
        <f>IF(Table334[[#This Row],[Category]]="Other Expense",Table334[[#This Row],[Account Deposit Amount]]-Table334[[#This Row],[Account Withdrawl Amount]], )</f>
        <v>0</v>
      </c>
    </row>
    <row r="482" spans="1:22">
      <c r="A482" s="225"/>
      <c r="B482" s="241"/>
      <c r="C482" s="225"/>
      <c r="D482" s="225"/>
      <c r="E482" s="242"/>
      <c r="F482" s="242"/>
      <c r="G482" s="243">
        <f t="shared" si="10"/>
        <v>2518.9699999999939</v>
      </c>
      <c r="H482" s="225"/>
      <c r="I482" s="243">
        <f>IF(Table334[[#This Row],[Category]]="Fall Product",Table334[[#This Row],[Account Deposit Amount]]-Table334[[#This Row],[Account Withdrawl Amount]], )</f>
        <v>0</v>
      </c>
      <c r="J482" s="243">
        <f>IF(Table334[[#This Row],[Category]]="Cookies",Table334[[#This Row],[Account Deposit Amount]]-Table334[[#This Row],[Account Withdrawl Amount]], )</f>
        <v>0</v>
      </c>
      <c r="K482" s="243">
        <f>IF(Table334[[#This Row],[Category]]="Additional Money Earning Activities",Table334[[#This Row],[Account Deposit Amount]]-Table334[[#This Row],[Account Withdrawl Amount]], )</f>
        <v>0</v>
      </c>
      <c r="L482" s="243">
        <f>IF(Table334[[#This Row],[Category]]="Sponsorships",Table334[[#This Row],[Account Deposit Amount]]-Table334[[#This Row],[Account Withdrawl Amount]], )</f>
        <v>0</v>
      </c>
      <c r="M482" s="243">
        <f>IF(Table334[[#This Row],[Category]]="Troop Dues",Table334[[#This Row],[Account Deposit Amount]]-Table334[[#This Row],[Account Withdrawl Amount]], )</f>
        <v>0</v>
      </c>
      <c r="N482" s="243">
        <f>IF(Table334[[#This Row],[Category]]="Other Income",Table334[[#This Row],[Account Deposit Amount]]-Table334[[#This Row],[Account Withdrawl Amount]], )</f>
        <v>0</v>
      </c>
      <c r="O482" s="243">
        <f>IF(Table334[[#This Row],[Category]]="Registration",Table334[[#This Row],[Account Deposit Amount]]-Table334[[#This Row],[Account Withdrawl Amount]], )</f>
        <v>0</v>
      </c>
      <c r="P482" s="243">
        <f>IF(Table334[[#This Row],[Category]]="Insignia",Table334[[#This Row],[Account Deposit Amount]]-Table334[[#This Row],[Account Withdrawl Amount]], )</f>
        <v>0</v>
      </c>
      <c r="Q482" s="243">
        <f>IF(Table334[[#This Row],[Category]]="Activities/Program",Table334[[#This Row],[Account Deposit Amount]]-Table334[[#This Row],[Account Withdrawl Amount]], )</f>
        <v>0</v>
      </c>
      <c r="R482" s="243">
        <f>IF(Table334[[#This Row],[Category]]="Travel",Table334[[#This Row],[Account Deposit Amount]]-Table334[[#This Row],[Account Withdrawl Amount]], )</f>
        <v>0</v>
      </c>
      <c r="S482" s="243">
        <f>IF(Table334[[#This Row],[Category]]="Parties Food &amp; Beverages",Table334[[#This Row],[Account Deposit Amount]]-Table334[[#This Row],[Account Withdrawl Amount]], )</f>
        <v>0</v>
      </c>
      <c r="T482" s="243">
        <f>IF(Table334[[#This Row],[Category]]="Service Projects Donation",Table334[[#This Row],[Account Deposit Amount]]-Table334[[#This Row],[Account Withdrawl Amount]], )</f>
        <v>0</v>
      </c>
      <c r="U482" s="243">
        <f>IF(Table334[[#This Row],[Category]]="Cookie Debt",Table334[[#This Row],[Account Deposit Amount]]-Table334[[#This Row],[Account Withdrawl Amount]], )</f>
        <v>0</v>
      </c>
      <c r="V482" s="243">
        <f>IF(Table334[[#This Row],[Category]]="Other Expense",Table334[[#This Row],[Account Deposit Amount]]-Table334[[#This Row],[Account Withdrawl Amount]], )</f>
        <v>0</v>
      </c>
    </row>
    <row r="483" spans="1:22">
      <c r="A483" s="225"/>
      <c r="B483" s="241"/>
      <c r="C483" s="225"/>
      <c r="D483" s="225"/>
      <c r="E483" s="242"/>
      <c r="F483" s="242"/>
      <c r="G483" s="243">
        <f t="shared" si="10"/>
        <v>2518.9699999999939</v>
      </c>
      <c r="H483" s="225"/>
      <c r="I483" s="243">
        <f>IF(Table334[[#This Row],[Category]]="Fall Product",Table334[[#This Row],[Account Deposit Amount]]-Table334[[#This Row],[Account Withdrawl Amount]], )</f>
        <v>0</v>
      </c>
      <c r="J483" s="243">
        <f>IF(Table334[[#This Row],[Category]]="Cookies",Table334[[#This Row],[Account Deposit Amount]]-Table334[[#This Row],[Account Withdrawl Amount]], )</f>
        <v>0</v>
      </c>
      <c r="K483" s="243">
        <f>IF(Table334[[#This Row],[Category]]="Additional Money Earning Activities",Table334[[#This Row],[Account Deposit Amount]]-Table334[[#This Row],[Account Withdrawl Amount]], )</f>
        <v>0</v>
      </c>
      <c r="L483" s="243">
        <f>IF(Table334[[#This Row],[Category]]="Sponsorships",Table334[[#This Row],[Account Deposit Amount]]-Table334[[#This Row],[Account Withdrawl Amount]], )</f>
        <v>0</v>
      </c>
      <c r="M483" s="243">
        <f>IF(Table334[[#This Row],[Category]]="Troop Dues",Table334[[#This Row],[Account Deposit Amount]]-Table334[[#This Row],[Account Withdrawl Amount]], )</f>
        <v>0</v>
      </c>
      <c r="N483" s="243">
        <f>IF(Table334[[#This Row],[Category]]="Other Income",Table334[[#This Row],[Account Deposit Amount]]-Table334[[#This Row],[Account Withdrawl Amount]], )</f>
        <v>0</v>
      </c>
      <c r="O483" s="243">
        <f>IF(Table334[[#This Row],[Category]]="Registration",Table334[[#This Row],[Account Deposit Amount]]-Table334[[#This Row],[Account Withdrawl Amount]], )</f>
        <v>0</v>
      </c>
      <c r="P483" s="243">
        <f>IF(Table334[[#This Row],[Category]]="Insignia",Table334[[#This Row],[Account Deposit Amount]]-Table334[[#This Row],[Account Withdrawl Amount]], )</f>
        <v>0</v>
      </c>
      <c r="Q483" s="243">
        <f>IF(Table334[[#This Row],[Category]]="Activities/Program",Table334[[#This Row],[Account Deposit Amount]]-Table334[[#This Row],[Account Withdrawl Amount]], )</f>
        <v>0</v>
      </c>
      <c r="R483" s="243">
        <f>IF(Table334[[#This Row],[Category]]="Travel",Table334[[#This Row],[Account Deposit Amount]]-Table334[[#This Row],[Account Withdrawl Amount]], )</f>
        <v>0</v>
      </c>
      <c r="S483" s="243">
        <f>IF(Table334[[#This Row],[Category]]="Parties Food &amp; Beverages",Table334[[#This Row],[Account Deposit Amount]]-Table334[[#This Row],[Account Withdrawl Amount]], )</f>
        <v>0</v>
      </c>
      <c r="T483" s="243">
        <f>IF(Table334[[#This Row],[Category]]="Service Projects Donation",Table334[[#This Row],[Account Deposit Amount]]-Table334[[#This Row],[Account Withdrawl Amount]], )</f>
        <v>0</v>
      </c>
      <c r="U483" s="243">
        <f>IF(Table334[[#This Row],[Category]]="Cookie Debt",Table334[[#This Row],[Account Deposit Amount]]-Table334[[#This Row],[Account Withdrawl Amount]], )</f>
        <v>0</v>
      </c>
      <c r="V483" s="243">
        <f>IF(Table334[[#This Row],[Category]]="Other Expense",Table334[[#This Row],[Account Deposit Amount]]-Table334[[#This Row],[Account Withdrawl Amount]], )</f>
        <v>0</v>
      </c>
    </row>
    <row r="484" spans="1:22">
      <c r="A484" s="225"/>
      <c r="B484" s="241"/>
      <c r="C484" s="225"/>
      <c r="D484" s="225"/>
      <c r="E484" s="242"/>
      <c r="F484" s="242"/>
      <c r="G484" s="243">
        <f t="shared" si="10"/>
        <v>2518.9699999999939</v>
      </c>
      <c r="H484" s="225"/>
      <c r="I484" s="243">
        <f>IF(Table334[[#This Row],[Category]]="Fall Product",Table334[[#This Row],[Account Deposit Amount]]-Table334[[#This Row],[Account Withdrawl Amount]], )</f>
        <v>0</v>
      </c>
      <c r="J484" s="243">
        <f>IF(Table334[[#This Row],[Category]]="Cookies",Table334[[#This Row],[Account Deposit Amount]]-Table334[[#This Row],[Account Withdrawl Amount]], )</f>
        <v>0</v>
      </c>
      <c r="K484" s="243">
        <f>IF(Table334[[#This Row],[Category]]="Additional Money Earning Activities",Table334[[#This Row],[Account Deposit Amount]]-Table334[[#This Row],[Account Withdrawl Amount]], )</f>
        <v>0</v>
      </c>
      <c r="L484" s="243">
        <f>IF(Table334[[#This Row],[Category]]="Sponsorships",Table334[[#This Row],[Account Deposit Amount]]-Table334[[#This Row],[Account Withdrawl Amount]], )</f>
        <v>0</v>
      </c>
      <c r="M484" s="243">
        <f>IF(Table334[[#This Row],[Category]]="Troop Dues",Table334[[#This Row],[Account Deposit Amount]]-Table334[[#This Row],[Account Withdrawl Amount]], )</f>
        <v>0</v>
      </c>
      <c r="N484" s="243">
        <f>IF(Table334[[#This Row],[Category]]="Other Income",Table334[[#This Row],[Account Deposit Amount]]-Table334[[#This Row],[Account Withdrawl Amount]], )</f>
        <v>0</v>
      </c>
      <c r="O484" s="243">
        <f>IF(Table334[[#This Row],[Category]]="Registration",Table334[[#This Row],[Account Deposit Amount]]-Table334[[#This Row],[Account Withdrawl Amount]], )</f>
        <v>0</v>
      </c>
      <c r="P484" s="243">
        <f>IF(Table334[[#This Row],[Category]]="Insignia",Table334[[#This Row],[Account Deposit Amount]]-Table334[[#This Row],[Account Withdrawl Amount]], )</f>
        <v>0</v>
      </c>
      <c r="Q484" s="243">
        <f>IF(Table334[[#This Row],[Category]]="Activities/Program",Table334[[#This Row],[Account Deposit Amount]]-Table334[[#This Row],[Account Withdrawl Amount]], )</f>
        <v>0</v>
      </c>
      <c r="R484" s="243">
        <f>IF(Table334[[#This Row],[Category]]="Travel",Table334[[#This Row],[Account Deposit Amount]]-Table334[[#This Row],[Account Withdrawl Amount]], )</f>
        <v>0</v>
      </c>
      <c r="S484" s="243">
        <f>IF(Table334[[#This Row],[Category]]="Parties Food &amp; Beverages",Table334[[#This Row],[Account Deposit Amount]]-Table334[[#This Row],[Account Withdrawl Amount]], )</f>
        <v>0</v>
      </c>
      <c r="T484" s="243">
        <f>IF(Table334[[#This Row],[Category]]="Service Projects Donation",Table334[[#This Row],[Account Deposit Amount]]-Table334[[#This Row],[Account Withdrawl Amount]], )</f>
        <v>0</v>
      </c>
      <c r="U484" s="243">
        <f>IF(Table334[[#This Row],[Category]]="Cookie Debt",Table334[[#This Row],[Account Deposit Amount]]-Table334[[#This Row],[Account Withdrawl Amount]], )</f>
        <v>0</v>
      </c>
      <c r="V484" s="243">
        <f>IF(Table334[[#This Row],[Category]]="Other Expense",Table334[[#This Row],[Account Deposit Amount]]-Table334[[#This Row],[Account Withdrawl Amount]], )</f>
        <v>0</v>
      </c>
    </row>
  </sheetData>
  <sheetProtection formatCells="0" formatColumns="0" formatRows="0" insertColumns="0" insertRows="0" insertHyperlinks="0" selectLockedCells="1"/>
  <mergeCells count="4">
    <mergeCell ref="I1:L1"/>
    <mergeCell ref="M1:N1"/>
    <mergeCell ref="O1:T1"/>
    <mergeCell ref="U1:V1"/>
  </mergeCells>
  <dataValidations count="4">
    <dataValidation allowBlank="1" showInputMessage="1" showErrorMessage="1" prompt="Whose debt card was used or who made purchase" sqref="A3" xr:uid="{77BA2842-3DEC-46CA-AC8F-468E6A525E67}"/>
    <dataValidation allowBlank="1" showInputMessage="1" showErrorMessage="1" prompt="Please provide breif description of purchase; Example what activity or badge materials were for, which intent to travel is purchase associated with. If a check who it was made out to and why_x000a_" sqref="D3" xr:uid="{EDA73340-B915-43BF-ABA6-8B64BF5645A2}"/>
    <dataValidation type="list" allowBlank="1" showInputMessage="1" showErrorMessage="1" prompt="Please select a category" sqref="H4" xr:uid="{B64CC7F8-32E7-4A11-9164-18386214DCA2}">
      <formula1>"None, Fall Product, Cookies, Additional Money Earning Activities, Sponsorships, Troop Dues, Other Income,  Registration, Insignia, Activities/Program, Travel, Parties Food &amp; Beverages, Service Projects Donation, Cookie Debt, Other Expense"</formula1>
    </dataValidation>
    <dataValidation type="list" allowBlank="1" showInputMessage="1" showErrorMessage="1" prompt="Please select a category" sqref="H93:H484" xr:uid="{782A7B1A-7DF6-44E5-BF54-2DD99FB71255}">
      <formula1>"Fall Product, Cookies, Additional Money Earning Activities, Sponsorships, Troop Dues, Other Income,  Registration, Insignia, Activities/Program, Travel, Parties Food &amp; Beverages, Service Projects Donation, Cookie Debt, Other Expense"</formula1>
    </dataValidation>
  </dataValidations>
  <pageMargins left="0.7" right="0.7" top="0.75" bottom="0.75" header="0.3" footer="0.3"/>
  <pageSetup orientation="portrait"/>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7AFC3-3067-4055-9719-EF6AE63D42D3}">
  <dimension ref="A1:V500"/>
  <sheetViews>
    <sheetView tabSelected="1" zoomScale="85" zoomScaleNormal="85" workbookViewId="0">
      <selection activeCell="A7" sqref="A7"/>
    </sheetView>
  </sheetViews>
  <sheetFormatPr defaultRowHeight="14.4"/>
  <cols>
    <col min="2" max="2" width="12.109375" style="107" customWidth="1"/>
    <col min="3" max="3" width="36.5546875" customWidth="1"/>
    <col min="4" max="4" width="29.88671875" customWidth="1"/>
    <col min="5" max="5" width="15.44140625" style="236" customWidth="1"/>
    <col min="6" max="6" width="15.88671875" style="236" customWidth="1"/>
    <col min="7" max="7" width="12.6640625" style="236" customWidth="1"/>
    <col min="8" max="8" width="16.44140625" customWidth="1"/>
    <col min="9" max="22" width="12.6640625" customWidth="1"/>
  </cols>
  <sheetData>
    <row r="1" spans="1:22" ht="15.75" customHeight="1">
      <c r="A1" s="226"/>
      <c r="B1" s="227"/>
      <c r="C1" s="228"/>
      <c r="D1" s="228"/>
      <c r="E1" s="229"/>
      <c r="F1" s="230"/>
      <c r="G1" s="231"/>
      <c r="H1" s="221"/>
      <c r="I1" s="287" t="s">
        <v>49</v>
      </c>
      <c r="J1" s="287"/>
      <c r="K1" s="287"/>
      <c r="L1" s="287"/>
      <c r="M1" s="288">
        <f>SUM(I2:N2)</f>
        <v>0</v>
      </c>
      <c r="N1" s="288"/>
      <c r="O1" s="289" t="s">
        <v>50</v>
      </c>
      <c r="P1" s="289"/>
      <c r="Q1" s="289"/>
      <c r="R1" s="289"/>
      <c r="S1" s="289"/>
      <c r="T1" s="289"/>
      <c r="U1" s="290">
        <f>SUM(O2:V2)</f>
        <v>0</v>
      </c>
      <c r="V1" s="290"/>
    </row>
    <row r="2" spans="1:22" s="236" customFormat="1">
      <c r="A2" s="228"/>
      <c r="B2" s="227"/>
      <c r="C2" s="228"/>
      <c r="D2" s="228" t="s">
        <v>51</v>
      </c>
      <c r="E2" s="232">
        <f>SUM(E4:E1237)</f>
        <v>0</v>
      </c>
      <c r="F2" s="232">
        <f>SUM(F4:F1237)</f>
        <v>0</v>
      </c>
      <c r="G2" s="284">
        <f>ROUND(G4+E2-F2,2)</f>
        <v>0</v>
      </c>
      <c r="H2" s="222"/>
      <c r="I2" s="234">
        <f t="shared" ref="I2:M2" si="0">ROUND(SUM(I4:I1000),2)</f>
        <v>0</v>
      </c>
      <c r="J2" s="234">
        <f t="shared" si="0"/>
        <v>0</v>
      </c>
      <c r="K2" s="234">
        <f t="shared" si="0"/>
        <v>0</v>
      </c>
      <c r="L2" s="234">
        <f t="shared" si="0"/>
        <v>0</v>
      </c>
      <c r="M2" s="234">
        <f t="shared" si="0"/>
        <v>0</v>
      </c>
      <c r="N2" s="234">
        <f>ROUND(SUM(N4:N1000),2)</f>
        <v>0</v>
      </c>
      <c r="O2" s="235">
        <f t="shared" ref="O2:U2" si="1">ROUND(SUM(O4:O1000), 2)</f>
        <v>0</v>
      </c>
      <c r="P2" s="235">
        <f t="shared" si="1"/>
        <v>0</v>
      </c>
      <c r="Q2" s="235">
        <f t="shared" si="1"/>
        <v>0</v>
      </c>
      <c r="R2" s="235">
        <f t="shared" si="1"/>
        <v>0</v>
      </c>
      <c r="S2" s="235">
        <f t="shared" si="1"/>
        <v>0</v>
      </c>
      <c r="T2" s="235">
        <f t="shared" si="1"/>
        <v>0</v>
      </c>
      <c r="U2" s="235">
        <f t="shared" si="1"/>
        <v>0</v>
      </c>
      <c r="V2" s="235">
        <f>ROUND(SUM(V4:V1000), 2)</f>
        <v>0</v>
      </c>
    </row>
    <row r="3" spans="1:22" s="240" customFormat="1" ht="58.5" customHeight="1">
      <c r="A3" s="237" t="s">
        <v>52</v>
      </c>
      <c r="B3" s="238" t="s">
        <v>53</v>
      </c>
      <c r="C3" s="237" t="s">
        <v>54</v>
      </c>
      <c r="D3" s="237" t="s">
        <v>55</v>
      </c>
      <c r="E3" s="239" t="s">
        <v>56</v>
      </c>
      <c r="F3" s="239" t="s">
        <v>57</v>
      </c>
      <c r="G3" s="239" t="s">
        <v>58</v>
      </c>
      <c r="H3" s="223" t="s">
        <v>59</v>
      </c>
      <c r="I3" s="223" t="s">
        <v>60</v>
      </c>
      <c r="J3" s="223" t="s">
        <v>61</v>
      </c>
      <c r="K3" s="223" t="s">
        <v>62</v>
      </c>
      <c r="L3" s="223" t="s">
        <v>63</v>
      </c>
      <c r="M3" s="223" t="s">
        <v>64</v>
      </c>
      <c r="N3" s="223" t="s">
        <v>65</v>
      </c>
      <c r="O3" s="223" t="s">
        <v>66</v>
      </c>
      <c r="P3" s="223" t="s">
        <v>67</v>
      </c>
      <c r="Q3" s="223" t="s">
        <v>68</v>
      </c>
      <c r="R3" s="223" t="s">
        <v>69</v>
      </c>
      <c r="S3" s="223" t="s">
        <v>70</v>
      </c>
      <c r="T3" s="223" t="s">
        <v>71</v>
      </c>
      <c r="U3" s="223" t="s">
        <v>72</v>
      </c>
      <c r="V3" s="223" t="s">
        <v>73</v>
      </c>
    </row>
    <row r="4" spans="1:22">
      <c r="A4" s="245"/>
      <c r="B4" s="263">
        <v>45413</v>
      </c>
      <c r="C4" s="264" t="s">
        <v>74</v>
      </c>
      <c r="D4" s="265"/>
      <c r="E4" s="264"/>
      <c r="F4" s="264"/>
      <c r="G4" s="246">
        <v>0</v>
      </c>
      <c r="H4" s="224" t="s">
        <v>75</v>
      </c>
      <c r="I4" s="243">
        <f>IF(Table33[[#This Row],[Category]]="Fall Product",Table33[[#This Row],[Account Deposit Amount]]-Table33[[#This Row],[Account Withdrawl Amount]], )</f>
        <v>0</v>
      </c>
      <c r="J4" s="243">
        <f>IF(Table33[[#This Row],[Category]]="Cookies",Table33[[#This Row],[Account Deposit Amount]]-Table33[[#This Row],[Account Withdrawl Amount]], )</f>
        <v>0</v>
      </c>
      <c r="K4" s="243">
        <f>IF(Table33[[#This Row],[Category]]="Additional Money Earning Activities",Table33[[#This Row],[Account Deposit Amount]]-Table33[[#This Row],[Account Withdrawl Amount]], )</f>
        <v>0</v>
      </c>
      <c r="L4" s="243">
        <f>IF(Table33[[#This Row],[Category]]="Sponsorships",Table33[[#This Row],[Account Deposit Amount]]-Table33[[#This Row],[Account Withdrawl Amount]], )</f>
        <v>0</v>
      </c>
      <c r="M4" s="243">
        <f>IF(Table33[[#This Row],[Category]]="Troop Dues",Table33[[#This Row],[Account Deposit Amount]]-Table33[[#This Row],[Account Withdrawl Amount]], )</f>
        <v>0</v>
      </c>
      <c r="N4" s="243">
        <f>IF(Table33[[#This Row],[Category]]="Other Income",Table33[[#This Row],[Account Deposit Amount]]-Table33[[#This Row],[Account Withdrawl Amount]], )</f>
        <v>0</v>
      </c>
      <c r="O4" s="243">
        <f>IF(Table33[[#This Row],[Category]]="Registration",Table33[[#This Row],[Account Deposit Amount]]-Table33[[#This Row],[Account Withdrawl Amount]], )</f>
        <v>0</v>
      </c>
      <c r="P4" s="243">
        <f>IF(Table33[[#This Row],[Category]]="Insignia",Table33[[#This Row],[Account Deposit Amount]]-Table33[[#This Row],[Account Withdrawl Amount]], )</f>
        <v>0</v>
      </c>
      <c r="Q4" s="243">
        <f>IF(Table33[[#This Row],[Category]]="Activities/Program",Table33[[#This Row],[Account Deposit Amount]]-Table33[[#This Row],[Account Withdrawl Amount]], )</f>
        <v>0</v>
      </c>
      <c r="R4" s="243">
        <f>IF(Table33[[#This Row],[Category]]="Travel",Table33[[#This Row],[Account Deposit Amount]]-Table33[[#This Row],[Account Withdrawl Amount]], )</f>
        <v>0</v>
      </c>
      <c r="S4" s="243">
        <f>IF(Table33[[#This Row],[Category]]="Parties Food &amp; Beverages",Table33[[#This Row],[Account Deposit Amount]]-Table33[[#This Row],[Account Withdrawl Amount]], )</f>
        <v>0</v>
      </c>
      <c r="T4" s="243">
        <f>IF(Table33[[#This Row],[Category]]="Service Projects Donation",Table33[[#This Row],[Account Deposit Amount]]-Table33[[#This Row],[Account Withdrawl Amount]], )</f>
        <v>0</v>
      </c>
      <c r="U4" s="243">
        <f>IF(Table33[[#This Row],[Category]]="Cookie Debt",Table33[[#This Row],[Account Deposit Amount]]-Table33[[#This Row],[Account Withdrawl Amount]], )</f>
        <v>0</v>
      </c>
      <c r="V4" s="243">
        <f>IF(Table33[[#This Row],[Category]]="Other Expense",Table33[[#This Row],[Account Deposit Amount]]-Table33[[#This Row],[Account Withdrawl Amount]], )</f>
        <v>0</v>
      </c>
    </row>
    <row r="5" spans="1:22">
      <c r="A5" s="261"/>
      <c r="B5" s="249"/>
      <c r="C5" s="247"/>
      <c r="D5" s="247"/>
      <c r="E5" s="250"/>
      <c r="F5" s="251"/>
      <c r="G5" s="243">
        <f t="shared" ref="G5:G68" si="2">G4+E5-F5</f>
        <v>0</v>
      </c>
      <c r="H5" s="247"/>
      <c r="I5" s="243">
        <f>IF(Table33[[#This Row],[Category]]="Fall Product",Table33[[#This Row],[Account Deposit Amount]]-Table33[[#This Row],[Account Withdrawl Amount]], )</f>
        <v>0</v>
      </c>
      <c r="J5" s="243">
        <f>IF(Table33[[#This Row],[Category]]="Cookies",Table33[[#This Row],[Account Deposit Amount]]-Table33[[#This Row],[Account Withdrawl Amount]], )</f>
        <v>0</v>
      </c>
      <c r="K5" s="243">
        <f>IF(Table33[[#This Row],[Category]]="Additional Money Earning Activities",Table33[[#This Row],[Account Deposit Amount]]-Table33[[#This Row],[Account Withdrawl Amount]], )</f>
        <v>0</v>
      </c>
      <c r="L5" s="243">
        <f>IF(Table33[[#This Row],[Category]]="Sponsorships",Table33[[#This Row],[Account Deposit Amount]]-Table33[[#This Row],[Account Withdrawl Amount]], )</f>
        <v>0</v>
      </c>
      <c r="M5" s="243">
        <f>IF(Table33[[#This Row],[Category]]="Troop Dues",Table33[[#This Row],[Account Deposit Amount]]-Table33[[#This Row],[Account Withdrawl Amount]], )</f>
        <v>0</v>
      </c>
      <c r="N5" s="243">
        <f>IF(Table33[[#This Row],[Category]]="Other Income",Table33[[#This Row],[Account Deposit Amount]]-Table33[[#This Row],[Account Withdrawl Amount]], )</f>
        <v>0</v>
      </c>
      <c r="O5" s="243">
        <f>IF(Table33[[#This Row],[Category]]="Registration",Table33[[#This Row],[Account Deposit Amount]]-Table33[[#This Row],[Account Withdrawl Amount]], )</f>
        <v>0</v>
      </c>
      <c r="P5" s="243">
        <f>IF(Table33[[#This Row],[Category]]="Insignia",Table33[[#This Row],[Account Deposit Amount]]-Table33[[#This Row],[Account Withdrawl Amount]], )</f>
        <v>0</v>
      </c>
      <c r="Q5" s="243">
        <f>IF(Table33[[#This Row],[Category]]="Activities/Program",Table33[[#This Row],[Account Deposit Amount]]-Table33[[#This Row],[Account Withdrawl Amount]], )</f>
        <v>0</v>
      </c>
      <c r="R5" s="243">
        <f>IF(Table33[[#This Row],[Category]]="Travel",Table33[[#This Row],[Account Deposit Amount]]-Table33[[#This Row],[Account Withdrawl Amount]], )</f>
        <v>0</v>
      </c>
      <c r="S5" s="243">
        <f>IF(Table33[[#This Row],[Category]]="Parties Food &amp; Beverages",Table33[[#This Row],[Account Deposit Amount]]-Table33[[#This Row],[Account Withdrawl Amount]], )</f>
        <v>0</v>
      </c>
      <c r="T5" s="243">
        <f>IF(Table33[[#This Row],[Category]]="Service Projects Donation",Table33[[#This Row],[Account Deposit Amount]]-Table33[[#This Row],[Account Withdrawl Amount]], )</f>
        <v>0</v>
      </c>
      <c r="U5" s="243">
        <f>IF(Table33[[#This Row],[Category]]="Cookie Debt",Table33[[#This Row],[Account Deposit Amount]]-Table33[[#This Row],[Account Withdrawl Amount]], )</f>
        <v>0</v>
      </c>
      <c r="V5" s="243">
        <f>IF(Table33[[#This Row],[Category]]="Other Expense",Table33[[#This Row],[Account Deposit Amount]]-Table33[[#This Row],[Account Withdrawl Amount]], )</f>
        <v>0</v>
      </c>
    </row>
    <row r="6" spans="1:22">
      <c r="A6" s="262"/>
      <c r="B6" s="252"/>
      <c r="C6" s="253"/>
      <c r="D6" s="248"/>
      <c r="E6" s="254"/>
      <c r="F6" s="255"/>
      <c r="G6" s="243">
        <f t="shared" si="2"/>
        <v>0</v>
      </c>
      <c r="H6" s="248"/>
      <c r="I6" s="243">
        <f>IF(Table33[[#This Row],[Category]]="Fall Product",Table33[[#This Row],[Account Deposit Amount]]-Table33[[#This Row],[Account Withdrawl Amount]], )</f>
        <v>0</v>
      </c>
      <c r="J6" s="243">
        <f>IF(Table33[[#This Row],[Category]]="Cookies",Table33[[#This Row],[Account Deposit Amount]]-Table33[[#This Row],[Account Withdrawl Amount]], )</f>
        <v>0</v>
      </c>
      <c r="K6" s="243">
        <f>IF(Table33[[#This Row],[Category]]="Additional Money Earning Activities",Table33[[#This Row],[Account Deposit Amount]]-Table33[[#This Row],[Account Withdrawl Amount]], )</f>
        <v>0</v>
      </c>
      <c r="L6" s="243">
        <f>IF(Table33[[#This Row],[Category]]="Sponsorships",Table33[[#This Row],[Account Deposit Amount]]-Table33[[#This Row],[Account Withdrawl Amount]], )</f>
        <v>0</v>
      </c>
      <c r="M6" s="243">
        <f>IF(Table33[[#This Row],[Category]]="Troop Dues",Table33[[#This Row],[Account Deposit Amount]]-Table33[[#This Row],[Account Withdrawl Amount]], )</f>
        <v>0</v>
      </c>
      <c r="N6" s="243">
        <f>IF(Table33[[#This Row],[Category]]="Other Income",Table33[[#This Row],[Account Deposit Amount]]-Table33[[#This Row],[Account Withdrawl Amount]], )</f>
        <v>0</v>
      </c>
      <c r="O6" s="243">
        <f>IF(Table33[[#This Row],[Category]]="Registration",Table33[[#This Row],[Account Deposit Amount]]-Table33[[#This Row],[Account Withdrawl Amount]], )</f>
        <v>0</v>
      </c>
      <c r="P6" s="243">
        <f>IF(Table33[[#This Row],[Category]]="Insignia",Table33[[#This Row],[Account Deposit Amount]]-Table33[[#This Row],[Account Withdrawl Amount]], )</f>
        <v>0</v>
      </c>
      <c r="Q6" s="243">
        <f>IF(Table33[[#This Row],[Category]]="Activities/Program",Table33[[#This Row],[Account Deposit Amount]]-Table33[[#This Row],[Account Withdrawl Amount]], )</f>
        <v>0</v>
      </c>
      <c r="R6" s="243">
        <f>IF(Table33[[#This Row],[Category]]="Travel",Table33[[#This Row],[Account Deposit Amount]]-Table33[[#This Row],[Account Withdrawl Amount]], )</f>
        <v>0</v>
      </c>
      <c r="S6" s="243">
        <f>IF(Table33[[#This Row],[Category]]="Parties Food &amp; Beverages",Table33[[#This Row],[Account Deposit Amount]]-Table33[[#This Row],[Account Withdrawl Amount]], )</f>
        <v>0</v>
      </c>
      <c r="T6" s="243">
        <f>IF(Table33[[#This Row],[Category]]="Service Projects Donation",Table33[[#This Row],[Account Deposit Amount]]-Table33[[#This Row],[Account Withdrawl Amount]], )</f>
        <v>0</v>
      </c>
      <c r="U6" s="243">
        <f>IF(Table33[[#This Row],[Category]]="Cookie Debt",Table33[[#This Row],[Account Deposit Amount]]-Table33[[#This Row],[Account Withdrawl Amount]], )</f>
        <v>0</v>
      </c>
      <c r="V6" s="243">
        <f>IF(Table33[[#This Row],[Category]]="Other Expense",Table33[[#This Row],[Account Deposit Amount]]-Table33[[#This Row],[Account Withdrawl Amount]], )</f>
        <v>0</v>
      </c>
    </row>
    <row r="7" spans="1:22">
      <c r="A7" s="261"/>
      <c r="B7" s="249"/>
      <c r="C7" s="256"/>
      <c r="D7" s="247"/>
      <c r="E7" s="250"/>
      <c r="F7" s="257"/>
      <c r="G7" s="243">
        <f t="shared" si="2"/>
        <v>0</v>
      </c>
      <c r="H7" s="247"/>
      <c r="I7" s="243">
        <f>IF(Table33[[#This Row],[Category]]="Fall Product",Table33[[#This Row],[Account Deposit Amount]]-Table33[[#This Row],[Account Withdrawl Amount]], )</f>
        <v>0</v>
      </c>
      <c r="J7" s="243">
        <f>IF(Table33[[#This Row],[Category]]="Cookies",Table33[[#This Row],[Account Deposit Amount]]-Table33[[#This Row],[Account Withdrawl Amount]], )</f>
        <v>0</v>
      </c>
      <c r="K7" s="243">
        <f>IF(Table33[[#This Row],[Category]]="Additional Money Earning Activities",Table33[[#This Row],[Account Deposit Amount]]-Table33[[#This Row],[Account Withdrawl Amount]], )</f>
        <v>0</v>
      </c>
      <c r="L7" s="243">
        <f>IF(Table33[[#This Row],[Category]]="Sponsorships",Table33[[#This Row],[Account Deposit Amount]]-Table33[[#This Row],[Account Withdrawl Amount]], )</f>
        <v>0</v>
      </c>
      <c r="M7" s="243">
        <f>IF(Table33[[#This Row],[Category]]="Troop Dues",Table33[[#This Row],[Account Deposit Amount]]-Table33[[#This Row],[Account Withdrawl Amount]], )</f>
        <v>0</v>
      </c>
      <c r="N7" s="243">
        <f>IF(Table33[[#This Row],[Category]]="Other Income",Table33[[#This Row],[Account Deposit Amount]]-Table33[[#This Row],[Account Withdrawl Amount]], )</f>
        <v>0</v>
      </c>
      <c r="O7" s="243">
        <f>IF(Table33[[#This Row],[Category]]="Registration",Table33[[#This Row],[Account Deposit Amount]]-Table33[[#This Row],[Account Withdrawl Amount]], )</f>
        <v>0</v>
      </c>
      <c r="P7" s="243">
        <f>IF(Table33[[#This Row],[Category]]="Insignia",Table33[[#This Row],[Account Deposit Amount]]-Table33[[#This Row],[Account Withdrawl Amount]], )</f>
        <v>0</v>
      </c>
      <c r="Q7" s="243">
        <f>IF(Table33[[#This Row],[Category]]="Activities/Program",Table33[[#This Row],[Account Deposit Amount]]-Table33[[#This Row],[Account Withdrawl Amount]], )</f>
        <v>0</v>
      </c>
      <c r="R7" s="243">
        <f>IF(Table33[[#This Row],[Category]]="Travel",Table33[[#This Row],[Account Deposit Amount]]-Table33[[#This Row],[Account Withdrawl Amount]], )</f>
        <v>0</v>
      </c>
      <c r="S7" s="243">
        <f>IF(Table33[[#This Row],[Category]]="Parties Food &amp; Beverages",Table33[[#This Row],[Account Deposit Amount]]-Table33[[#This Row],[Account Withdrawl Amount]], )</f>
        <v>0</v>
      </c>
      <c r="T7" s="243">
        <f>IF(Table33[[#This Row],[Category]]="Service Projects Donation",Table33[[#This Row],[Account Deposit Amount]]-Table33[[#This Row],[Account Withdrawl Amount]], )</f>
        <v>0</v>
      </c>
      <c r="U7" s="243">
        <f>IF(Table33[[#This Row],[Category]]="Cookie Debt",Table33[[#This Row],[Account Deposit Amount]]-Table33[[#This Row],[Account Withdrawl Amount]], )</f>
        <v>0</v>
      </c>
      <c r="V7" s="243">
        <f>IF(Table33[[#This Row],[Category]]="Other Expense",Table33[[#This Row],[Account Deposit Amount]]-Table33[[#This Row],[Account Withdrawl Amount]], )</f>
        <v>0</v>
      </c>
    </row>
    <row r="8" spans="1:22">
      <c r="A8" s="262"/>
      <c r="B8" s="252"/>
      <c r="C8" s="253"/>
      <c r="D8" s="248"/>
      <c r="E8" s="254"/>
      <c r="F8" s="255"/>
      <c r="G8" s="243">
        <f t="shared" si="2"/>
        <v>0</v>
      </c>
      <c r="H8" s="248"/>
      <c r="I8" s="243">
        <f>IF(Table33[[#This Row],[Category]]="Fall Product",Table33[[#This Row],[Account Deposit Amount]]-Table33[[#This Row],[Account Withdrawl Amount]], )</f>
        <v>0</v>
      </c>
      <c r="J8" s="243">
        <f>IF(Table33[[#This Row],[Category]]="Cookies",Table33[[#This Row],[Account Deposit Amount]]-Table33[[#This Row],[Account Withdrawl Amount]], )</f>
        <v>0</v>
      </c>
      <c r="K8" s="243">
        <f>IF(Table33[[#This Row],[Category]]="Additional Money Earning Activities",Table33[[#This Row],[Account Deposit Amount]]-Table33[[#This Row],[Account Withdrawl Amount]], )</f>
        <v>0</v>
      </c>
      <c r="L8" s="243">
        <f>IF(Table33[[#This Row],[Category]]="Sponsorships",Table33[[#This Row],[Account Deposit Amount]]-Table33[[#This Row],[Account Withdrawl Amount]], )</f>
        <v>0</v>
      </c>
      <c r="M8" s="243">
        <f>IF(Table33[[#This Row],[Category]]="Troop Dues",Table33[[#This Row],[Account Deposit Amount]]-Table33[[#This Row],[Account Withdrawl Amount]], )</f>
        <v>0</v>
      </c>
      <c r="N8" s="243">
        <f>IF(Table33[[#This Row],[Category]]="Other Income",Table33[[#This Row],[Account Deposit Amount]]-Table33[[#This Row],[Account Withdrawl Amount]], )</f>
        <v>0</v>
      </c>
      <c r="O8" s="243">
        <f>IF(Table33[[#This Row],[Category]]="Registration",Table33[[#This Row],[Account Deposit Amount]]-Table33[[#This Row],[Account Withdrawl Amount]], )</f>
        <v>0</v>
      </c>
      <c r="P8" s="243">
        <f>IF(Table33[[#This Row],[Category]]="Insignia",Table33[[#This Row],[Account Deposit Amount]]-Table33[[#This Row],[Account Withdrawl Amount]], )</f>
        <v>0</v>
      </c>
      <c r="Q8" s="243">
        <f>IF(Table33[[#This Row],[Category]]="Activities/Program",Table33[[#This Row],[Account Deposit Amount]]-Table33[[#This Row],[Account Withdrawl Amount]], )</f>
        <v>0</v>
      </c>
      <c r="R8" s="243">
        <f>IF(Table33[[#This Row],[Category]]="Travel",Table33[[#This Row],[Account Deposit Amount]]-Table33[[#This Row],[Account Withdrawl Amount]], )</f>
        <v>0</v>
      </c>
      <c r="S8" s="243">
        <f>IF(Table33[[#This Row],[Category]]="Parties Food &amp; Beverages",Table33[[#This Row],[Account Deposit Amount]]-Table33[[#This Row],[Account Withdrawl Amount]], )</f>
        <v>0</v>
      </c>
      <c r="T8" s="243">
        <f>IF(Table33[[#This Row],[Category]]="Service Projects Donation",Table33[[#This Row],[Account Deposit Amount]]-Table33[[#This Row],[Account Withdrawl Amount]], )</f>
        <v>0</v>
      </c>
      <c r="U8" s="243">
        <f>IF(Table33[[#This Row],[Category]]="Cookie Debt",Table33[[#This Row],[Account Deposit Amount]]-Table33[[#This Row],[Account Withdrawl Amount]], )</f>
        <v>0</v>
      </c>
      <c r="V8" s="243">
        <f>IF(Table33[[#This Row],[Category]]="Other Expense",Table33[[#This Row],[Account Deposit Amount]]-Table33[[#This Row],[Account Withdrawl Amount]], )</f>
        <v>0</v>
      </c>
    </row>
    <row r="9" spans="1:22">
      <c r="A9" s="261"/>
      <c r="B9" s="249"/>
      <c r="C9" s="256"/>
      <c r="D9" s="247"/>
      <c r="E9" s="250"/>
      <c r="F9" s="257"/>
      <c r="G9" s="243">
        <f t="shared" si="2"/>
        <v>0</v>
      </c>
      <c r="H9" s="247"/>
      <c r="I9" s="243">
        <f>IF(Table33[[#This Row],[Category]]="Fall Product",Table33[[#This Row],[Account Deposit Amount]]-Table33[[#This Row],[Account Withdrawl Amount]], )</f>
        <v>0</v>
      </c>
      <c r="J9" s="243">
        <f>IF(Table33[[#This Row],[Category]]="Cookies",Table33[[#This Row],[Account Deposit Amount]]-Table33[[#This Row],[Account Withdrawl Amount]], )</f>
        <v>0</v>
      </c>
      <c r="K9" s="243">
        <f>IF(Table33[[#This Row],[Category]]="Additional Money Earning Activities",Table33[[#This Row],[Account Deposit Amount]]-Table33[[#This Row],[Account Withdrawl Amount]], )</f>
        <v>0</v>
      </c>
      <c r="L9" s="243">
        <f>IF(Table33[[#This Row],[Category]]="Sponsorships",Table33[[#This Row],[Account Deposit Amount]]-Table33[[#This Row],[Account Withdrawl Amount]], )</f>
        <v>0</v>
      </c>
      <c r="M9" s="243">
        <f>IF(Table33[[#This Row],[Category]]="Troop Dues",Table33[[#This Row],[Account Deposit Amount]]-Table33[[#This Row],[Account Withdrawl Amount]], )</f>
        <v>0</v>
      </c>
      <c r="N9" s="243">
        <f>IF(Table33[[#This Row],[Category]]="Other Income",Table33[[#This Row],[Account Deposit Amount]]-Table33[[#This Row],[Account Withdrawl Amount]], )</f>
        <v>0</v>
      </c>
      <c r="O9" s="243">
        <f>IF(Table33[[#This Row],[Category]]="Registration",Table33[[#This Row],[Account Deposit Amount]]-Table33[[#This Row],[Account Withdrawl Amount]], )</f>
        <v>0</v>
      </c>
      <c r="P9" s="243">
        <f>IF(Table33[[#This Row],[Category]]="Insignia",Table33[[#This Row],[Account Deposit Amount]]-Table33[[#This Row],[Account Withdrawl Amount]], )</f>
        <v>0</v>
      </c>
      <c r="Q9" s="243">
        <f>IF(Table33[[#This Row],[Category]]="Activities/Program",Table33[[#This Row],[Account Deposit Amount]]-Table33[[#This Row],[Account Withdrawl Amount]], )</f>
        <v>0</v>
      </c>
      <c r="R9" s="243">
        <f>IF(Table33[[#This Row],[Category]]="Travel",Table33[[#This Row],[Account Deposit Amount]]-Table33[[#This Row],[Account Withdrawl Amount]], )</f>
        <v>0</v>
      </c>
      <c r="S9" s="243">
        <f>IF(Table33[[#This Row],[Category]]="Parties Food &amp; Beverages",Table33[[#This Row],[Account Deposit Amount]]-Table33[[#This Row],[Account Withdrawl Amount]], )</f>
        <v>0</v>
      </c>
      <c r="T9" s="243">
        <f>IF(Table33[[#This Row],[Category]]="Service Projects Donation",Table33[[#This Row],[Account Deposit Amount]]-Table33[[#This Row],[Account Withdrawl Amount]], )</f>
        <v>0</v>
      </c>
      <c r="U9" s="243">
        <f>IF(Table33[[#This Row],[Category]]="Cookie Debt",Table33[[#This Row],[Account Deposit Amount]]-Table33[[#This Row],[Account Withdrawl Amount]], )</f>
        <v>0</v>
      </c>
      <c r="V9" s="243">
        <f>IF(Table33[[#This Row],[Category]]="Other Expense",Table33[[#This Row],[Account Deposit Amount]]-Table33[[#This Row],[Account Withdrawl Amount]], )</f>
        <v>0</v>
      </c>
    </row>
    <row r="10" spans="1:22">
      <c r="A10" s="262"/>
      <c r="B10" s="252"/>
      <c r="C10" s="253"/>
      <c r="D10" s="248"/>
      <c r="E10" s="254"/>
      <c r="F10" s="255"/>
      <c r="G10" s="243">
        <f t="shared" si="2"/>
        <v>0</v>
      </c>
      <c r="H10" s="248"/>
      <c r="I10" s="243">
        <f>IF(Table33[[#This Row],[Category]]="Fall Product",Table33[[#This Row],[Account Deposit Amount]]-Table33[[#This Row],[Account Withdrawl Amount]], )</f>
        <v>0</v>
      </c>
      <c r="J10" s="243">
        <f>IF(Table33[[#This Row],[Category]]="Cookies",Table33[[#This Row],[Account Deposit Amount]]-Table33[[#This Row],[Account Withdrawl Amount]], )</f>
        <v>0</v>
      </c>
      <c r="K10" s="243">
        <f>IF(Table33[[#This Row],[Category]]="Additional Money Earning Activities",Table33[[#This Row],[Account Deposit Amount]]-Table33[[#This Row],[Account Withdrawl Amount]], )</f>
        <v>0</v>
      </c>
      <c r="L10" s="243">
        <f>IF(Table33[[#This Row],[Category]]="Sponsorships",Table33[[#This Row],[Account Deposit Amount]]-Table33[[#This Row],[Account Withdrawl Amount]], )</f>
        <v>0</v>
      </c>
      <c r="M10" s="243">
        <f>IF(Table33[[#This Row],[Category]]="Troop Dues",Table33[[#This Row],[Account Deposit Amount]]-Table33[[#This Row],[Account Withdrawl Amount]], )</f>
        <v>0</v>
      </c>
      <c r="N10" s="243">
        <f>IF(Table33[[#This Row],[Category]]="Other Income",Table33[[#This Row],[Account Deposit Amount]]-Table33[[#This Row],[Account Withdrawl Amount]], )</f>
        <v>0</v>
      </c>
      <c r="O10" s="243">
        <f>IF(Table33[[#This Row],[Category]]="Registration",Table33[[#This Row],[Account Deposit Amount]]-Table33[[#This Row],[Account Withdrawl Amount]], )</f>
        <v>0</v>
      </c>
      <c r="P10" s="243">
        <f>IF(Table33[[#This Row],[Category]]="Insignia",Table33[[#This Row],[Account Deposit Amount]]-Table33[[#This Row],[Account Withdrawl Amount]], )</f>
        <v>0</v>
      </c>
      <c r="Q10" s="243">
        <f>IF(Table33[[#This Row],[Category]]="Activities/Program",Table33[[#This Row],[Account Deposit Amount]]-Table33[[#This Row],[Account Withdrawl Amount]], )</f>
        <v>0</v>
      </c>
      <c r="R10" s="243">
        <f>IF(Table33[[#This Row],[Category]]="Travel",Table33[[#This Row],[Account Deposit Amount]]-Table33[[#This Row],[Account Withdrawl Amount]], )</f>
        <v>0</v>
      </c>
      <c r="S10" s="243">
        <f>IF(Table33[[#This Row],[Category]]="Parties Food &amp; Beverages",Table33[[#This Row],[Account Deposit Amount]]-Table33[[#This Row],[Account Withdrawl Amount]], )</f>
        <v>0</v>
      </c>
      <c r="T10" s="243">
        <f>IF(Table33[[#This Row],[Category]]="Service Projects Donation",Table33[[#This Row],[Account Deposit Amount]]-Table33[[#This Row],[Account Withdrawl Amount]], )</f>
        <v>0</v>
      </c>
      <c r="U10" s="243">
        <f>IF(Table33[[#This Row],[Category]]="Cookie Debt",Table33[[#This Row],[Account Deposit Amount]]-Table33[[#This Row],[Account Withdrawl Amount]], )</f>
        <v>0</v>
      </c>
      <c r="V10" s="243">
        <f>IF(Table33[[#This Row],[Category]]="Other Expense",Table33[[#This Row],[Account Deposit Amount]]-Table33[[#This Row],[Account Withdrawl Amount]], )</f>
        <v>0</v>
      </c>
    </row>
    <row r="11" spans="1:22">
      <c r="A11" s="261"/>
      <c r="B11" s="249"/>
      <c r="C11" s="256"/>
      <c r="D11" s="256"/>
      <c r="E11" s="251"/>
      <c r="F11" s="250"/>
      <c r="G11" s="243">
        <f t="shared" si="2"/>
        <v>0</v>
      </c>
      <c r="H11" s="247"/>
      <c r="I11" s="243">
        <f>IF(Table33[[#This Row],[Category]]="Fall Product",Table33[[#This Row],[Account Deposit Amount]]-Table33[[#This Row],[Account Withdrawl Amount]], )</f>
        <v>0</v>
      </c>
      <c r="J11" s="243">
        <f>IF(Table33[[#This Row],[Category]]="Cookies",Table33[[#This Row],[Account Deposit Amount]]-Table33[[#This Row],[Account Withdrawl Amount]], )</f>
        <v>0</v>
      </c>
      <c r="K11" s="243">
        <f>IF(Table33[[#This Row],[Category]]="Additional Money Earning Activities",Table33[[#This Row],[Account Deposit Amount]]-Table33[[#This Row],[Account Withdrawl Amount]], )</f>
        <v>0</v>
      </c>
      <c r="L11" s="243">
        <f>IF(Table33[[#This Row],[Category]]="Sponsorships",Table33[[#This Row],[Account Deposit Amount]]-Table33[[#This Row],[Account Withdrawl Amount]], )</f>
        <v>0</v>
      </c>
      <c r="M11" s="243">
        <f>IF(Table33[[#This Row],[Category]]="Troop Dues",Table33[[#This Row],[Account Deposit Amount]]-Table33[[#This Row],[Account Withdrawl Amount]], )</f>
        <v>0</v>
      </c>
      <c r="N11" s="243">
        <f>IF(Table33[[#This Row],[Category]]="Other Income",Table33[[#This Row],[Account Deposit Amount]]-Table33[[#This Row],[Account Withdrawl Amount]], )</f>
        <v>0</v>
      </c>
      <c r="O11" s="243">
        <f>IF(Table33[[#This Row],[Category]]="Registration",Table33[[#This Row],[Account Deposit Amount]]-Table33[[#This Row],[Account Withdrawl Amount]], )</f>
        <v>0</v>
      </c>
      <c r="P11" s="243">
        <f>IF(Table33[[#This Row],[Category]]="Insignia",Table33[[#This Row],[Account Deposit Amount]]-Table33[[#This Row],[Account Withdrawl Amount]], )</f>
        <v>0</v>
      </c>
      <c r="Q11" s="243">
        <f>IF(Table33[[#This Row],[Category]]="Activities/Program",Table33[[#This Row],[Account Deposit Amount]]-Table33[[#This Row],[Account Withdrawl Amount]], )</f>
        <v>0</v>
      </c>
      <c r="R11" s="243">
        <f>IF(Table33[[#This Row],[Category]]="Travel",Table33[[#This Row],[Account Deposit Amount]]-Table33[[#This Row],[Account Withdrawl Amount]], )</f>
        <v>0</v>
      </c>
      <c r="S11" s="243">
        <f>IF(Table33[[#This Row],[Category]]="Parties Food &amp; Beverages",Table33[[#This Row],[Account Deposit Amount]]-Table33[[#This Row],[Account Withdrawl Amount]], )</f>
        <v>0</v>
      </c>
      <c r="T11" s="243">
        <f>IF(Table33[[#This Row],[Category]]="Service Projects Donation",Table33[[#This Row],[Account Deposit Amount]]-Table33[[#This Row],[Account Withdrawl Amount]], )</f>
        <v>0</v>
      </c>
      <c r="U11" s="243">
        <f>IF(Table33[[#This Row],[Category]]="Cookie Debt",Table33[[#This Row],[Account Deposit Amount]]-Table33[[#This Row],[Account Withdrawl Amount]], )</f>
        <v>0</v>
      </c>
      <c r="V11" s="243">
        <f>IF(Table33[[#This Row],[Category]]="Other Expense",Table33[[#This Row],[Account Deposit Amount]]-Table33[[#This Row],[Account Withdrawl Amount]], )</f>
        <v>0</v>
      </c>
    </row>
    <row r="12" spans="1:22">
      <c r="A12" s="262"/>
      <c r="B12" s="252"/>
      <c r="C12" s="253"/>
      <c r="D12" s="248"/>
      <c r="E12" s="254"/>
      <c r="F12" s="255"/>
      <c r="G12" s="243">
        <f t="shared" si="2"/>
        <v>0</v>
      </c>
      <c r="H12" s="248"/>
      <c r="I12" s="243">
        <f>IF(Table33[[#This Row],[Category]]="Fall Product",Table33[[#This Row],[Account Deposit Amount]]-Table33[[#This Row],[Account Withdrawl Amount]], )</f>
        <v>0</v>
      </c>
      <c r="J12" s="243">
        <f>IF(Table33[[#This Row],[Category]]="Cookies",Table33[[#This Row],[Account Deposit Amount]]-Table33[[#This Row],[Account Withdrawl Amount]], )</f>
        <v>0</v>
      </c>
      <c r="K12" s="243">
        <f>IF(Table33[[#This Row],[Category]]="Additional Money Earning Activities",Table33[[#This Row],[Account Deposit Amount]]-Table33[[#This Row],[Account Withdrawl Amount]], )</f>
        <v>0</v>
      </c>
      <c r="L12" s="243">
        <f>IF(Table33[[#This Row],[Category]]="Sponsorships",Table33[[#This Row],[Account Deposit Amount]]-Table33[[#This Row],[Account Withdrawl Amount]], )</f>
        <v>0</v>
      </c>
      <c r="M12" s="243">
        <f>IF(Table33[[#This Row],[Category]]="Troop Dues",Table33[[#This Row],[Account Deposit Amount]]-Table33[[#This Row],[Account Withdrawl Amount]], )</f>
        <v>0</v>
      </c>
      <c r="N12" s="243">
        <f>IF(Table33[[#This Row],[Category]]="Other Income",Table33[[#This Row],[Account Deposit Amount]]-Table33[[#This Row],[Account Withdrawl Amount]], )</f>
        <v>0</v>
      </c>
      <c r="O12" s="243">
        <f>IF(Table33[[#This Row],[Category]]="Registration",Table33[[#This Row],[Account Deposit Amount]]-Table33[[#This Row],[Account Withdrawl Amount]], )</f>
        <v>0</v>
      </c>
      <c r="P12" s="243">
        <f>IF(Table33[[#This Row],[Category]]="Insignia",Table33[[#This Row],[Account Deposit Amount]]-Table33[[#This Row],[Account Withdrawl Amount]], )</f>
        <v>0</v>
      </c>
      <c r="Q12" s="243">
        <f>IF(Table33[[#This Row],[Category]]="Activities/Program",Table33[[#This Row],[Account Deposit Amount]]-Table33[[#This Row],[Account Withdrawl Amount]], )</f>
        <v>0</v>
      </c>
      <c r="R12" s="243">
        <f>IF(Table33[[#This Row],[Category]]="Travel",Table33[[#This Row],[Account Deposit Amount]]-Table33[[#This Row],[Account Withdrawl Amount]], )</f>
        <v>0</v>
      </c>
      <c r="S12" s="243">
        <f>IF(Table33[[#This Row],[Category]]="Parties Food &amp; Beverages",Table33[[#This Row],[Account Deposit Amount]]-Table33[[#This Row],[Account Withdrawl Amount]], )</f>
        <v>0</v>
      </c>
      <c r="T12" s="243">
        <f>IF(Table33[[#This Row],[Category]]="Service Projects Donation",Table33[[#This Row],[Account Deposit Amount]]-Table33[[#This Row],[Account Withdrawl Amount]], )</f>
        <v>0</v>
      </c>
      <c r="U12" s="243">
        <f>IF(Table33[[#This Row],[Category]]="Cookie Debt",Table33[[#This Row],[Account Deposit Amount]]-Table33[[#This Row],[Account Withdrawl Amount]], )</f>
        <v>0</v>
      </c>
      <c r="V12" s="243">
        <f>IF(Table33[[#This Row],[Category]]="Other Expense",Table33[[#This Row],[Account Deposit Amount]]-Table33[[#This Row],[Account Withdrawl Amount]], )</f>
        <v>0</v>
      </c>
    </row>
    <row r="13" spans="1:22">
      <c r="A13" s="261"/>
      <c r="B13" s="249"/>
      <c r="C13" s="256"/>
      <c r="D13" s="256"/>
      <c r="E13" s="250"/>
      <c r="F13" s="257"/>
      <c r="G13" s="243">
        <f t="shared" si="2"/>
        <v>0</v>
      </c>
      <c r="H13" s="247"/>
      <c r="I13" s="243">
        <f>IF(Table33[[#This Row],[Category]]="Fall Product",Table33[[#This Row],[Account Deposit Amount]]-Table33[[#This Row],[Account Withdrawl Amount]], )</f>
        <v>0</v>
      </c>
      <c r="J13" s="243">
        <f>IF(Table33[[#This Row],[Category]]="Cookies",Table33[[#This Row],[Account Deposit Amount]]-Table33[[#This Row],[Account Withdrawl Amount]], )</f>
        <v>0</v>
      </c>
      <c r="K13" s="243">
        <f>IF(Table33[[#This Row],[Category]]="Additional Money Earning Activities",Table33[[#This Row],[Account Deposit Amount]]-Table33[[#This Row],[Account Withdrawl Amount]], )</f>
        <v>0</v>
      </c>
      <c r="L13" s="243">
        <f>IF(Table33[[#This Row],[Category]]="Sponsorships",Table33[[#This Row],[Account Deposit Amount]]-Table33[[#This Row],[Account Withdrawl Amount]], )</f>
        <v>0</v>
      </c>
      <c r="M13" s="243">
        <f>IF(Table33[[#This Row],[Category]]="Troop Dues",Table33[[#This Row],[Account Deposit Amount]]-Table33[[#This Row],[Account Withdrawl Amount]], )</f>
        <v>0</v>
      </c>
      <c r="N13" s="243">
        <f>IF(Table33[[#This Row],[Category]]="Other Income",Table33[[#This Row],[Account Deposit Amount]]-Table33[[#This Row],[Account Withdrawl Amount]], )</f>
        <v>0</v>
      </c>
      <c r="O13" s="243">
        <f>IF(Table33[[#This Row],[Category]]="Registration",Table33[[#This Row],[Account Deposit Amount]]-Table33[[#This Row],[Account Withdrawl Amount]], )</f>
        <v>0</v>
      </c>
      <c r="P13" s="243">
        <f>IF(Table33[[#This Row],[Category]]="Insignia",Table33[[#This Row],[Account Deposit Amount]]-Table33[[#This Row],[Account Withdrawl Amount]], )</f>
        <v>0</v>
      </c>
      <c r="Q13" s="243">
        <f>IF(Table33[[#This Row],[Category]]="Activities/Program",Table33[[#This Row],[Account Deposit Amount]]-Table33[[#This Row],[Account Withdrawl Amount]], )</f>
        <v>0</v>
      </c>
      <c r="R13" s="243">
        <f>IF(Table33[[#This Row],[Category]]="Travel",Table33[[#This Row],[Account Deposit Amount]]-Table33[[#This Row],[Account Withdrawl Amount]], )</f>
        <v>0</v>
      </c>
      <c r="S13" s="243">
        <f>IF(Table33[[#This Row],[Category]]="Parties Food &amp; Beverages",Table33[[#This Row],[Account Deposit Amount]]-Table33[[#This Row],[Account Withdrawl Amount]], )</f>
        <v>0</v>
      </c>
      <c r="T13" s="243">
        <f>IF(Table33[[#This Row],[Category]]="Service Projects Donation",Table33[[#This Row],[Account Deposit Amount]]-Table33[[#This Row],[Account Withdrawl Amount]], )</f>
        <v>0</v>
      </c>
      <c r="U13" s="243">
        <f>IF(Table33[[#This Row],[Category]]="Cookie Debt",Table33[[#This Row],[Account Deposit Amount]]-Table33[[#This Row],[Account Withdrawl Amount]], )</f>
        <v>0</v>
      </c>
      <c r="V13" s="243">
        <f>IF(Table33[[#This Row],[Category]]="Other Expense",Table33[[#This Row],[Account Deposit Amount]]-Table33[[#This Row],[Account Withdrawl Amount]], )</f>
        <v>0</v>
      </c>
    </row>
    <row r="14" spans="1:22">
      <c r="A14" s="262"/>
      <c r="B14" s="252"/>
      <c r="C14" s="253"/>
      <c r="D14" s="248"/>
      <c r="E14" s="254"/>
      <c r="F14" s="255"/>
      <c r="G14" s="243">
        <f t="shared" si="2"/>
        <v>0</v>
      </c>
      <c r="H14" s="248"/>
      <c r="I14" s="243">
        <f>IF(Table33[[#This Row],[Category]]="Fall Product",Table33[[#This Row],[Account Deposit Amount]]-Table33[[#This Row],[Account Withdrawl Amount]], )</f>
        <v>0</v>
      </c>
      <c r="J14" s="243">
        <f>IF(Table33[[#This Row],[Category]]="Cookies",Table33[[#This Row],[Account Deposit Amount]]-Table33[[#This Row],[Account Withdrawl Amount]], )</f>
        <v>0</v>
      </c>
      <c r="K14" s="243">
        <f>IF(Table33[[#This Row],[Category]]="Additional Money Earning Activities",Table33[[#This Row],[Account Deposit Amount]]-Table33[[#This Row],[Account Withdrawl Amount]], )</f>
        <v>0</v>
      </c>
      <c r="L14" s="243">
        <f>IF(Table33[[#This Row],[Category]]="Sponsorships",Table33[[#This Row],[Account Deposit Amount]]-Table33[[#This Row],[Account Withdrawl Amount]], )</f>
        <v>0</v>
      </c>
      <c r="M14" s="243">
        <f>IF(Table33[[#This Row],[Category]]="Troop Dues",Table33[[#This Row],[Account Deposit Amount]]-Table33[[#This Row],[Account Withdrawl Amount]], )</f>
        <v>0</v>
      </c>
      <c r="N14" s="243">
        <f>IF(Table33[[#This Row],[Category]]="Other Income",Table33[[#This Row],[Account Deposit Amount]]-Table33[[#This Row],[Account Withdrawl Amount]], )</f>
        <v>0</v>
      </c>
      <c r="O14" s="243">
        <f>IF(Table33[[#This Row],[Category]]="Registration",Table33[[#This Row],[Account Deposit Amount]]-Table33[[#This Row],[Account Withdrawl Amount]], )</f>
        <v>0</v>
      </c>
      <c r="P14" s="243">
        <f>IF(Table33[[#This Row],[Category]]="Insignia",Table33[[#This Row],[Account Deposit Amount]]-Table33[[#This Row],[Account Withdrawl Amount]], )</f>
        <v>0</v>
      </c>
      <c r="Q14" s="243">
        <f>IF(Table33[[#This Row],[Category]]="Activities/Program",Table33[[#This Row],[Account Deposit Amount]]-Table33[[#This Row],[Account Withdrawl Amount]], )</f>
        <v>0</v>
      </c>
      <c r="R14" s="243">
        <f>IF(Table33[[#This Row],[Category]]="Travel",Table33[[#This Row],[Account Deposit Amount]]-Table33[[#This Row],[Account Withdrawl Amount]], )</f>
        <v>0</v>
      </c>
      <c r="S14" s="243">
        <f>IF(Table33[[#This Row],[Category]]="Parties Food &amp; Beverages",Table33[[#This Row],[Account Deposit Amount]]-Table33[[#This Row],[Account Withdrawl Amount]], )</f>
        <v>0</v>
      </c>
      <c r="T14" s="243">
        <f>IF(Table33[[#This Row],[Category]]="Service Projects Donation",Table33[[#This Row],[Account Deposit Amount]]-Table33[[#This Row],[Account Withdrawl Amount]], )</f>
        <v>0</v>
      </c>
      <c r="U14" s="243">
        <f>IF(Table33[[#This Row],[Category]]="Cookie Debt",Table33[[#This Row],[Account Deposit Amount]]-Table33[[#This Row],[Account Withdrawl Amount]], )</f>
        <v>0</v>
      </c>
      <c r="V14" s="243">
        <f>IF(Table33[[#This Row],[Category]]="Other Expense",Table33[[#This Row],[Account Deposit Amount]]-Table33[[#This Row],[Account Withdrawl Amount]], )</f>
        <v>0</v>
      </c>
    </row>
    <row r="15" spans="1:22">
      <c r="A15" s="261"/>
      <c r="B15" s="249"/>
      <c r="C15" s="256"/>
      <c r="D15" s="247"/>
      <c r="E15" s="250"/>
      <c r="F15" s="257"/>
      <c r="G15" s="243">
        <f t="shared" si="2"/>
        <v>0</v>
      </c>
      <c r="H15" s="247"/>
      <c r="I15" s="243">
        <f>IF(Table33[[#This Row],[Category]]="Fall Product",Table33[[#This Row],[Account Deposit Amount]]-Table33[[#This Row],[Account Withdrawl Amount]], )</f>
        <v>0</v>
      </c>
      <c r="J15" s="243">
        <f>IF(Table33[[#This Row],[Category]]="Cookies",Table33[[#This Row],[Account Deposit Amount]]-Table33[[#This Row],[Account Withdrawl Amount]], )</f>
        <v>0</v>
      </c>
      <c r="K15" s="243">
        <f>IF(Table33[[#This Row],[Category]]="Additional Money Earning Activities",Table33[[#This Row],[Account Deposit Amount]]-Table33[[#This Row],[Account Withdrawl Amount]], )</f>
        <v>0</v>
      </c>
      <c r="L15" s="243">
        <f>IF(Table33[[#This Row],[Category]]="Sponsorships",Table33[[#This Row],[Account Deposit Amount]]-Table33[[#This Row],[Account Withdrawl Amount]], )</f>
        <v>0</v>
      </c>
      <c r="M15" s="243">
        <f>IF(Table33[[#This Row],[Category]]="Troop Dues",Table33[[#This Row],[Account Deposit Amount]]-Table33[[#This Row],[Account Withdrawl Amount]], )</f>
        <v>0</v>
      </c>
      <c r="N15" s="243">
        <f>IF(Table33[[#This Row],[Category]]="Other Income",Table33[[#This Row],[Account Deposit Amount]]-Table33[[#This Row],[Account Withdrawl Amount]], )</f>
        <v>0</v>
      </c>
      <c r="O15" s="243">
        <f>IF(Table33[[#This Row],[Category]]="Registration",Table33[[#This Row],[Account Deposit Amount]]-Table33[[#This Row],[Account Withdrawl Amount]], )</f>
        <v>0</v>
      </c>
      <c r="P15" s="243">
        <f>IF(Table33[[#This Row],[Category]]="Insignia",Table33[[#This Row],[Account Deposit Amount]]-Table33[[#This Row],[Account Withdrawl Amount]], )</f>
        <v>0</v>
      </c>
      <c r="Q15" s="243">
        <f>IF(Table33[[#This Row],[Category]]="Activities/Program",Table33[[#This Row],[Account Deposit Amount]]-Table33[[#This Row],[Account Withdrawl Amount]], )</f>
        <v>0</v>
      </c>
      <c r="R15" s="243">
        <f>IF(Table33[[#This Row],[Category]]="Travel",Table33[[#This Row],[Account Deposit Amount]]-Table33[[#This Row],[Account Withdrawl Amount]], )</f>
        <v>0</v>
      </c>
      <c r="S15" s="243">
        <f>IF(Table33[[#This Row],[Category]]="Parties Food &amp; Beverages",Table33[[#This Row],[Account Deposit Amount]]-Table33[[#This Row],[Account Withdrawl Amount]], )</f>
        <v>0</v>
      </c>
      <c r="T15" s="243">
        <f>IF(Table33[[#This Row],[Category]]="Service Projects Donation",Table33[[#This Row],[Account Deposit Amount]]-Table33[[#This Row],[Account Withdrawl Amount]], )</f>
        <v>0</v>
      </c>
      <c r="U15" s="243">
        <f>IF(Table33[[#This Row],[Category]]="Cookie Debt",Table33[[#This Row],[Account Deposit Amount]]-Table33[[#This Row],[Account Withdrawl Amount]], )</f>
        <v>0</v>
      </c>
      <c r="V15" s="243">
        <f>IF(Table33[[#This Row],[Category]]="Other Expense",Table33[[#This Row],[Account Deposit Amount]]-Table33[[#This Row],[Account Withdrawl Amount]], )</f>
        <v>0</v>
      </c>
    </row>
    <row r="16" spans="1:22">
      <c r="A16" s="262"/>
      <c r="B16" s="252"/>
      <c r="C16" s="253"/>
      <c r="D16" s="248"/>
      <c r="E16" s="254"/>
      <c r="F16" s="255"/>
      <c r="G16" s="243">
        <f t="shared" si="2"/>
        <v>0</v>
      </c>
      <c r="H16" s="248"/>
      <c r="I16" s="243">
        <f>IF(Table33[[#This Row],[Category]]="Fall Product",Table33[[#This Row],[Account Deposit Amount]]-Table33[[#This Row],[Account Withdrawl Amount]], )</f>
        <v>0</v>
      </c>
      <c r="J16" s="243">
        <f>IF(Table33[[#This Row],[Category]]="Cookies",Table33[[#This Row],[Account Deposit Amount]]-Table33[[#This Row],[Account Withdrawl Amount]], )</f>
        <v>0</v>
      </c>
      <c r="K16" s="243">
        <f>IF(Table33[[#This Row],[Category]]="Additional Money Earning Activities",Table33[[#This Row],[Account Deposit Amount]]-Table33[[#This Row],[Account Withdrawl Amount]], )</f>
        <v>0</v>
      </c>
      <c r="L16" s="243">
        <f>IF(Table33[[#This Row],[Category]]="Sponsorships",Table33[[#This Row],[Account Deposit Amount]]-Table33[[#This Row],[Account Withdrawl Amount]], )</f>
        <v>0</v>
      </c>
      <c r="M16" s="243">
        <f>IF(Table33[[#This Row],[Category]]="Troop Dues",Table33[[#This Row],[Account Deposit Amount]]-Table33[[#This Row],[Account Withdrawl Amount]], )</f>
        <v>0</v>
      </c>
      <c r="N16" s="243">
        <f>IF(Table33[[#This Row],[Category]]="Other Income",Table33[[#This Row],[Account Deposit Amount]]-Table33[[#This Row],[Account Withdrawl Amount]], )</f>
        <v>0</v>
      </c>
      <c r="O16" s="243">
        <f>IF(Table33[[#This Row],[Category]]="Registration",Table33[[#This Row],[Account Deposit Amount]]-Table33[[#This Row],[Account Withdrawl Amount]], )</f>
        <v>0</v>
      </c>
      <c r="P16" s="243">
        <f>IF(Table33[[#This Row],[Category]]="Insignia",Table33[[#This Row],[Account Deposit Amount]]-Table33[[#This Row],[Account Withdrawl Amount]], )</f>
        <v>0</v>
      </c>
      <c r="Q16" s="243">
        <f>IF(Table33[[#This Row],[Category]]="Activities/Program",Table33[[#This Row],[Account Deposit Amount]]-Table33[[#This Row],[Account Withdrawl Amount]], )</f>
        <v>0</v>
      </c>
      <c r="R16" s="243">
        <f>IF(Table33[[#This Row],[Category]]="Travel",Table33[[#This Row],[Account Deposit Amount]]-Table33[[#This Row],[Account Withdrawl Amount]], )</f>
        <v>0</v>
      </c>
      <c r="S16" s="243">
        <f>IF(Table33[[#This Row],[Category]]="Parties Food &amp; Beverages",Table33[[#This Row],[Account Deposit Amount]]-Table33[[#This Row],[Account Withdrawl Amount]], )</f>
        <v>0</v>
      </c>
      <c r="T16" s="243">
        <f>IF(Table33[[#This Row],[Category]]="Service Projects Donation",Table33[[#This Row],[Account Deposit Amount]]-Table33[[#This Row],[Account Withdrawl Amount]], )</f>
        <v>0</v>
      </c>
      <c r="U16" s="243">
        <f>IF(Table33[[#This Row],[Category]]="Cookie Debt",Table33[[#This Row],[Account Deposit Amount]]-Table33[[#This Row],[Account Withdrawl Amount]], )</f>
        <v>0</v>
      </c>
      <c r="V16" s="243">
        <f>IF(Table33[[#This Row],[Category]]="Other Expense",Table33[[#This Row],[Account Deposit Amount]]-Table33[[#This Row],[Account Withdrawl Amount]], )</f>
        <v>0</v>
      </c>
    </row>
    <row r="17" spans="1:22">
      <c r="A17" s="261"/>
      <c r="B17" s="249"/>
      <c r="C17" s="256"/>
      <c r="D17" s="247"/>
      <c r="E17" s="250"/>
      <c r="F17" s="257"/>
      <c r="G17" s="243">
        <f t="shared" si="2"/>
        <v>0</v>
      </c>
      <c r="H17" s="247"/>
      <c r="I17" s="243">
        <f>IF(Table33[[#This Row],[Category]]="Fall Product",Table33[[#This Row],[Account Deposit Amount]]-Table33[[#This Row],[Account Withdrawl Amount]], )</f>
        <v>0</v>
      </c>
      <c r="J17" s="243">
        <f>IF(Table33[[#This Row],[Category]]="Cookies",Table33[[#This Row],[Account Deposit Amount]]-Table33[[#This Row],[Account Withdrawl Amount]], )</f>
        <v>0</v>
      </c>
      <c r="K17" s="243">
        <f>IF(Table33[[#This Row],[Category]]="Additional Money Earning Activities",Table33[[#This Row],[Account Deposit Amount]]-Table33[[#This Row],[Account Withdrawl Amount]], )</f>
        <v>0</v>
      </c>
      <c r="L17" s="243">
        <f>IF(Table33[[#This Row],[Category]]="Sponsorships",Table33[[#This Row],[Account Deposit Amount]]-Table33[[#This Row],[Account Withdrawl Amount]], )</f>
        <v>0</v>
      </c>
      <c r="M17" s="243">
        <f>IF(Table33[[#This Row],[Category]]="Troop Dues",Table33[[#This Row],[Account Deposit Amount]]-Table33[[#This Row],[Account Withdrawl Amount]], )</f>
        <v>0</v>
      </c>
      <c r="N17" s="243">
        <f>IF(Table33[[#This Row],[Category]]="Other Income",Table33[[#This Row],[Account Deposit Amount]]-Table33[[#This Row],[Account Withdrawl Amount]], )</f>
        <v>0</v>
      </c>
      <c r="O17" s="243">
        <f>IF(Table33[[#This Row],[Category]]="Registration",Table33[[#This Row],[Account Deposit Amount]]-Table33[[#This Row],[Account Withdrawl Amount]], )</f>
        <v>0</v>
      </c>
      <c r="P17" s="243">
        <f>IF(Table33[[#This Row],[Category]]="Insignia",Table33[[#This Row],[Account Deposit Amount]]-Table33[[#This Row],[Account Withdrawl Amount]], )</f>
        <v>0</v>
      </c>
      <c r="Q17" s="243">
        <f>IF(Table33[[#This Row],[Category]]="Activities/Program",Table33[[#This Row],[Account Deposit Amount]]-Table33[[#This Row],[Account Withdrawl Amount]], )</f>
        <v>0</v>
      </c>
      <c r="R17" s="243">
        <f>IF(Table33[[#This Row],[Category]]="Travel",Table33[[#This Row],[Account Deposit Amount]]-Table33[[#This Row],[Account Withdrawl Amount]], )</f>
        <v>0</v>
      </c>
      <c r="S17" s="243">
        <f>IF(Table33[[#This Row],[Category]]="Parties Food &amp; Beverages",Table33[[#This Row],[Account Deposit Amount]]-Table33[[#This Row],[Account Withdrawl Amount]], )</f>
        <v>0</v>
      </c>
      <c r="T17" s="243">
        <f>IF(Table33[[#This Row],[Category]]="Service Projects Donation",Table33[[#This Row],[Account Deposit Amount]]-Table33[[#This Row],[Account Withdrawl Amount]], )</f>
        <v>0</v>
      </c>
      <c r="U17" s="243">
        <f>IF(Table33[[#This Row],[Category]]="Cookie Debt",Table33[[#This Row],[Account Deposit Amount]]-Table33[[#This Row],[Account Withdrawl Amount]], )</f>
        <v>0</v>
      </c>
      <c r="V17" s="243">
        <f>IF(Table33[[#This Row],[Category]]="Other Expense",Table33[[#This Row],[Account Deposit Amount]]-Table33[[#This Row],[Account Withdrawl Amount]], )</f>
        <v>0</v>
      </c>
    </row>
    <row r="18" spans="1:22">
      <c r="A18" s="262"/>
      <c r="B18" s="252"/>
      <c r="C18" s="253"/>
      <c r="D18" s="248"/>
      <c r="E18" s="254"/>
      <c r="F18" s="255"/>
      <c r="G18" s="243">
        <f t="shared" si="2"/>
        <v>0</v>
      </c>
      <c r="H18" s="248"/>
      <c r="I18" s="243">
        <f>IF(Table33[[#This Row],[Category]]="Fall Product",Table33[[#This Row],[Account Deposit Amount]]-Table33[[#This Row],[Account Withdrawl Amount]], )</f>
        <v>0</v>
      </c>
      <c r="J18" s="243">
        <f>IF(Table33[[#This Row],[Category]]="Cookies",Table33[[#This Row],[Account Deposit Amount]]-Table33[[#This Row],[Account Withdrawl Amount]], )</f>
        <v>0</v>
      </c>
      <c r="K18" s="243">
        <f>IF(Table33[[#This Row],[Category]]="Additional Money Earning Activities",Table33[[#This Row],[Account Deposit Amount]]-Table33[[#This Row],[Account Withdrawl Amount]], )</f>
        <v>0</v>
      </c>
      <c r="L18" s="243">
        <f>IF(Table33[[#This Row],[Category]]="Sponsorships",Table33[[#This Row],[Account Deposit Amount]]-Table33[[#This Row],[Account Withdrawl Amount]], )</f>
        <v>0</v>
      </c>
      <c r="M18" s="243">
        <f>IF(Table33[[#This Row],[Category]]="Troop Dues",Table33[[#This Row],[Account Deposit Amount]]-Table33[[#This Row],[Account Withdrawl Amount]], )</f>
        <v>0</v>
      </c>
      <c r="N18" s="243">
        <f>IF(Table33[[#This Row],[Category]]="Other Income",Table33[[#This Row],[Account Deposit Amount]]-Table33[[#This Row],[Account Withdrawl Amount]], )</f>
        <v>0</v>
      </c>
      <c r="O18" s="243">
        <f>IF(Table33[[#This Row],[Category]]="Registration",Table33[[#This Row],[Account Deposit Amount]]-Table33[[#This Row],[Account Withdrawl Amount]], )</f>
        <v>0</v>
      </c>
      <c r="P18" s="243">
        <f>IF(Table33[[#This Row],[Category]]="Insignia",Table33[[#This Row],[Account Deposit Amount]]-Table33[[#This Row],[Account Withdrawl Amount]], )</f>
        <v>0</v>
      </c>
      <c r="Q18" s="243">
        <f>IF(Table33[[#This Row],[Category]]="Activities/Program",Table33[[#This Row],[Account Deposit Amount]]-Table33[[#This Row],[Account Withdrawl Amount]], )</f>
        <v>0</v>
      </c>
      <c r="R18" s="243">
        <f>IF(Table33[[#This Row],[Category]]="Travel",Table33[[#This Row],[Account Deposit Amount]]-Table33[[#This Row],[Account Withdrawl Amount]], )</f>
        <v>0</v>
      </c>
      <c r="S18" s="243">
        <f>IF(Table33[[#This Row],[Category]]="Parties Food &amp; Beverages",Table33[[#This Row],[Account Deposit Amount]]-Table33[[#This Row],[Account Withdrawl Amount]], )</f>
        <v>0</v>
      </c>
      <c r="T18" s="243">
        <f>IF(Table33[[#This Row],[Category]]="Service Projects Donation",Table33[[#This Row],[Account Deposit Amount]]-Table33[[#This Row],[Account Withdrawl Amount]], )</f>
        <v>0</v>
      </c>
      <c r="U18" s="243">
        <f>IF(Table33[[#This Row],[Category]]="Cookie Debt",Table33[[#This Row],[Account Deposit Amount]]-Table33[[#This Row],[Account Withdrawl Amount]], )</f>
        <v>0</v>
      </c>
      <c r="V18" s="243">
        <f>IF(Table33[[#This Row],[Category]]="Other Expense",Table33[[#This Row],[Account Deposit Amount]]-Table33[[#This Row],[Account Withdrawl Amount]], )</f>
        <v>0</v>
      </c>
    </row>
    <row r="19" spans="1:22">
      <c r="A19" s="261"/>
      <c r="B19" s="249"/>
      <c r="C19" s="256"/>
      <c r="D19" s="256"/>
      <c r="E19" s="251"/>
      <c r="F19" s="250"/>
      <c r="G19" s="243">
        <f t="shared" si="2"/>
        <v>0</v>
      </c>
      <c r="H19" s="247"/>
      <c r="I19" s="243">
        <f>IF(Table33[[#This Row],[Category]]="Fall Product",Table33[[#This Row],[Account Deposit Amount]]-Table33[[#This Row],[Account Withdrawl Amount]], )</f>
        <v>0</v>
      </c>
      <c r="J19" s="243">
        <f>IF(Table33[[#This Row],[Category]]="Cookies",Table33[[#This Row],[Account Deposit Amount]]-Table33[[#This Row],[Account Withdrawl Amount]], )</f>
        <v>0</v>
      </c>
      <c r="K19" s="243">
        <f>IF(Table33[[#This Row],[Category]]="Additional Money Earning Activities",Table33[[#This Row],[Account Deposit Amount]]-Table33[[#This Row],[Account Withdrawl Amount]], )</f>
        <v>0</v>
      </c>
      <c r="L19" s="243">
        <f>IF(Table33[[#This Row],[Category]]="Sponsorships",Table33[[#This Row],[Account Deposit Amount]]-Table33[[#This Row],[Account Withdrawl Amount]], )</f>
        <v>0</v>
      </c>
      <c r="M19" s="243">
        <f>IF(Table33[[#This Row],[Category]]="Troop Dues",Table33[[#This Row],[Account Deposit Amount]]-Table33[[#This Row],[Account Withdrawl Amount]], )</f>
        <v>0</v>
      </c>
      <c r="N19" s="243">
        <f>IF(Table33[[#This Row],[Category]]="Other Income",Table33[[#This Row],[Account Deposit Amount]]-Table33[[#This Row],[Account Withdrawl Amount]], )</f>
        <v>0</v>
      </c>
      <c r="O19" s="243">
        <f>IF(Table33[[#This Row],[Category]]="Registration",Table33[[#This Row],[Account Deposit Amount]]-Table33[[#This Row],[Account Withdrawl Amount]], )</f>
        <v>0</v>
      </c>
      <c r="P19" s="243">
        <f>IF(Table33[[#This Row],[Category]]="Insignia",Table33[[#This Row],[Account Deposit Amount]]-Table33[[#This Row],[Account Withdrawl Amount]], )</f>
        <v>0</v>
      </c>
      <c r="Q19" s="243">
        <f>IF(Table33[[#This Row],[Category]]="Activities/Program",Table33[[#This Row],[Account Deposit Amount]]-Table33[[#This Row],[Account Withdrawl Amount]], )</f>
        <v>0</v>
      </c>
      <c r="R19" s="243">
        <f>IF(Table33[[#This Row],[Category]]="Travel",Table33[[#This Row],[Account Deposit Amount]]-Table33[[#This Row],[Account Withdrawl Amount]], )</f>
        <v>0</v>
      </c>
      <c r="S19" s="243">
        <f>IF(Table33[[#This Row],[Category]]="Parties Food &amp; Beverages",Table33[[#This Row],[Account Deposit Amount]]-Table33[[#This Row],[Account Withdrawl Amount]], )</f>
        <v>0</v>
      </c>
      <c r="T19" s="243">
        <f>IF(Table33[[#This Row],[Category]]="Service Projects Donation",Table33[[#This Row],[Account Deposit Amount]]-Table33[[#This Row],[Account Withdrawl Amount]], )</f>
        <v>0</v>
      </c>
      <c r="U19" s="243">
        <f>IF(Table33[[#This Row],[Category]]="Cookie Debt",Table33[[#This Row],[Account Deposit Amount]]-Table33[[#This Row],[Account Withdrawl Amount]], )</f>
        <v>0</v>
      </c>
      <c r="V19" s="243">
        <f>IF(Table33[[#This Row],[Category]]="Other Expense",Table33[[#This Row],[Account Deposit Amount]]-Table33[[#This Row],[Account Withdrawl Amount]], )</f>
        <v>0</v>
      </c>
    </row>
    <row r="20" spans="1:22">
      <c r="A20" s="262"/>
      <c r="B20" s="252"/>
      <c r="C20" s="253"/>
      <c r="D20" s="253"/>
      <c r="E20" s="254"/>
      <c r="F20" s="255"/>
      <c r="G20" s="243">
        <f t="shared" si="2"/>
        <v>0</v>
      </c>
      <c r="H20" s="248"/>
      <c r="I20" s="243">
        <f>IF(Table33[[#This Row],[Category]]="Fall Product",Table33[[#This Row],[Account Deposit Amount]]-Table33[[#This Row],[Account Withdrawl Amount]], )</f>
        <v>0</v>
      </c>
      <c r="J20" s="243">
        <f>IF(Table33[[#This Row],[Category]]="Cookies",Table33[[#This Row],[Account Deposit Amount]]-Table33[[#This Row],[Account Withdrawl Amount]], )</f>
        <v>0</v>
      </c>
      <c r="K20" s="243">
        <f>IF(Table33[[#This Row],[Category]]="Additional Money Earning Activities",Table33[[#This Row],[Account Deposit Amount]]-Table33[[#This Row],[Account Withdrawl Amount]], )</f>
        <v>0</v>
      </c>
      <c r="L20" s="243">
        <f>IF(Table33[[#This Row],[Category]]="Sponsorships",Table33[[#This Row],[Account Deposit Amount]]-Table33[[#This Row],[Account Withdrawl Amount]], )</f>
        <v>0</v>
      </c>
      <c r="M20" s="243">
        <f>IF(Table33[[#This Row],[Category]]="Troop Dues",Table33[[#This Row],[Account Deposit Amount]]-Table33[[#This Row],[Account Withdrawl Amount]], )</f>
        <v>0</v>
      </c>
      <c r="N20" s="243">
        <f>IF(Table33[[#This Row],[Category]]="Other Income",Table33[[#This Row],[Account Deposit Amount]]-Table33[[#This Row],[Account Withdrawl Amount]], )</f>
        <v>0</v>
      </c>
      <c r="O20" s="243">
        <f>IF(Table33[[#This Row],[Category]]="Registration",Table33[[#This Row],[Account Deposit Amount]]-Table33[[#This Row],[Account Withdrawl Amount]], )</f>
        <v>0</v>
      </c>
      <c r="P20" s="243">
        <f>IF(Table33[[#This Row],[Category]]="Insignia",Table33[[#This Row],[Account Deposit Amount]]-Table33[[#This Row],[Account Withdrawl Amount]], )</f>
        <v>0</v>
      </c>
      <c r="Q20" s="243">
        <f>IF(Table33[[#This Row],[Category]]="Activities/Program",Table33[[#This Row],[Account Deposit Amount]]-Table33[[#This Row],[Account Withdrawl Amount]], )</f>
        <v>0</v>
      </c>
      <c r="R20" s="243">
        <f>IF(Table33[[#This Row],[Category]]="Travel",Table33[[#This Row],[Account Deposit Amount]]-Table33[[#This Row],[Account Withdrawl Amount]], )</f>
        <v>0</v>
      </c>
      <c r="S20" s="243">
        <f>IF(Table33[[#This Row],[Category]]="Parties Food &amp; Beverages",Table33[[#This Row],[Account Deposit Amount]]-Table33[[#This Row],[Account Withdrawl Amount]], )</f>
        <v>0</v>
      </c>
      <c r="T20" s="243">
        <f>IF(Table33[[#This Row],[Category]]="Service Projects Donation",Table33[[#This Row],[Account Deposit Amount]]-Table33[[#This Row],[Account Withdrawl Amount]], )</f>
        <v>0</v>
      </c>
      <c r="U20" s="243">
        <f>IF(Table33[[#This Row],[Category]]="Cookie Debt",Table33[[#This Row],[Account Deposit Amount]]-Table33[[#This Row],[Account Withdrawl Amount]], )</f>
        <v>0</v>
      </c>
      <c r="V20" s="243">
        <f>IF(Table33[[#This Row],[Category]]="Other Expense",Table33[[#This Row],[Account Deposit Amount]]-Table33[[#This Row],[Account Withdrawl Amount]], )</f>
        <v>0</v>
      </c>
    </row>
    <row r="21" spans="1:22">
      <c r="A21" s="261"/>
      <c r="B21" s="249"/>
      <c r="C21" s="256"/>
      <c r="D21" s="247"/>
      <c r="E21" s="250"/>
      <c r="F21" s="257"/>
      <c r="G21" s="243">
        <f t="shared" si="2"/>
        <v>0</v>
      </c>
      <c r="H21" s="247"/>
      <c r="I21" s="243">
        <f>IF(Table33[[#This Row],[Category]]="Fall Product",Table33[[#This Row],[Account Deposit Amount]]-Table33[[#This Row],[Account Withdrawl Amount]], )</f>
        <v>0</v>
      </c>
      <c r="J21" s="243">
        <f>IF(Table33[[#This Row],[Category]]="Cookies",Table33[[#This Row],[Account Deposit Amount]]-Table33[[#This Row],[Account Withdrawl Amount]], )</f>
        <v>0</v>
      </c>
      <c r="K21" s="243">
        <f>IF(Table33[[#This Row],[Category]]="Additional Money Earning Activities",Table33[[#This Row],[Account Deposit Amount]]-Table33[[#This Row],[Account Withdrawl Amount]], )</f>
        <v>0</v>
      </c>
      <c r="L21" s="243">
        <f>IF(Table33[[#This Row],[Category]]="Sponsorships",Table33[[#This Row],[Account Deposit Amount]]-Table33[[#This Row],[Account Withdrawl Amount]], )</f>
        <v>0</v>
      </c>
      <c r="M21" s="243">
        <f>IF(Table33[[#This Row],[Category]]="Troop Dues",Table33[[#This Row],[Account Deposit Amount]]-Table33[[#This Row],[Account Withdrawl Amount]], )</f>
        <v>0</v>
      </c>
      <c r="N21" s="243">
        <f>IF(Table33[[#This Row],[Category]]="Other Income",Table33[[#This Row],[Account Deposit Amount]]-Table33[[#This Row],[Account Withdrawl Amount]], )</f>
        <v>0</v>
      </c>
      <c r="O21" s="243">
        <f>IF(Table33[[#This Row],[Category]]="Registration",Table33[[#This Row],[Account Deposit Amount]]-Table33[[#This Row],[Account Withdrawl Amount]], )</f>
        <v>0</v>
      </c>
      <c r="P21" s="243">
        <f>IF(Table33[[#This Row],[Category]]="Insignia",Table33[[#This Row],[Account Deposit Amount]]-Table33[[#This Row],[Account Withdrawl Amount]], )</f>
        <v>0</v>
      </c>
      <c r="Q21" s="243">
        <f>IF(Table33[[#This Row],[Category]]="Activities/Program",Table33[[#This Row],[Account Deposit Amount]]-Table33[[#This Row],[Account Withdrawl Amount]], )</f>
        <v>0</v>
      </c>
      <c r="R21" s="243">
        <f>IF(Table33[[#This Row],[Category]]="Travel",Table33[[#This Row],[Account Deposit Amount]]-Table33[[#This Row],[Account Withdrawl Amount]], )</f>
        <v>0</v>
      </c>
      <c r="S21" s="243">
        <f>IF(Table33[[#This Row],[Category]]="Parties Food &amp; Beverages",Table33[[#This Row],[Account Deposit Amount]]-Table33[[#This Row],[Account Withdrawl Amount]], )</f>
        <v>0</v>
      </c>
      <c r="T21" s="243">
        <f>IF(Table33[[#This Row],[Category]]="Service Projects Donation",Table33[[#This Row],[Account Deposit Amount]]-Table33[[#This Row],[Account Withdrawl Amount]], )</f>
        <v>0</v>
      </c>
      <c r="U21" s="243">
        <f>IF(Table33[[#This Row],[Category]]="Cookie Debt",Table33[[#This Row],[Account Deposit Amount]]-Table33[[#This Row],[Account Withdrawl Amount]], )</f>
        <v>0</v>
      </c>
      <c r="V21" s="243">
        <f>IF(Table33[[#This Row],[Category]]="Other Expense",Table33[[#This Row],[Account Deposit Amount]]-Table33[[#This Row],[Account Withdrawl Amount]], )</f>
        <v>0</v>
      </c>
    </row>
    <row r="22" spans="1:22">
      <c r="A22" s="262"/>
      <c r="B22" s="252"/>
      <c r="C22" s="253"/>
      <c r="D22" s="248"/>
      <c r="E22" s="258"/>
      <c r="F22" s="254"/>
      <c r="G22" s="243">
        <f t="shared" si="2"/>
        <v>0</v>
      </c>
      <c r="H22" s="248"/>
      <c r="I22" s="243">
        <f>IF(Table33[[#This Row],[Category]]="Fall Product",Table33[[#This Row],[Account Deposit Amount]]-Table33[[#This Row],[Account Withdrawl Amount]], )</f>
        <v>0</v>
      </c>
      <c r="J22" s="243">
        <f>IF(Table33[[#This Row],[Category]]="Cookies",Table33[[#This Row],[Account Deposit Amount]]-Table33[[#This Row],[Account Withdrawl Amount]], )</f>
        <v>0</v>
      </c>
      <c r="K22" s="243">
        <f>IF(Table33[[#This Row],[Category]]="Additional Money Earning Activities",Table33[[#This Row],[Account Deposit Amount]]-Table33[[#This Row],[Account Withdrawl Amount]], )</f>
        <v>0</v>
      </c>
      <c r="L22" s="243">
        <f>IF(Table33[[#This Row],[Category]]="Sponsorships",Table33[[#This Row],[Account Deposit Amount]]-Table33[[#This Row],[Account Withdrawl Amount]], )</f>
        <v>0</v>
      </c>
      <c r="M22" s="243">
        <f>IF(Table33[[#This Row],[Category]]="Troop Dues",Table33[[#This Row],[Account Deposit Amount]]-Table33[[#This Row],[Account Withdrawl Amount]], )</f>
        <v>0</v>
      </c>
      <c r="N22" s="243">
        <f>IF(Table33[[#This Row],[Category]]="Other Income",Table33[[#This Row],[Account Deposit Amount]]-Table33[[#This Row],[Account Withdrawl Amount]], )</f>
        <v>0</v>
      </c>
      <c r="O22" s="243">
        <f>IF(Table33[[#This Row],[Category]]="Registration",Table33[[#This Row],[Account Deposit Amount]]-Table33[[#This Row],[Account Withdrawl Amount]], )</f>
        <v>0</v>
      </c>
      <c r="P22" s="243">
        <f>IF(Table33[[#This Row],[Category]]="Insignia",Table33[[#This Row],[Account Deposit Amount]]-Table33[[#This Row],[Account Withdrawl Amount]], )</f>
        <v>0</v>
      </c>
      <c r="Q22" s="243">
        <f>IF(Table33[[#This Row],[Category]]="Activities/Program",Table33[[#This Row],[Account Deposit Amount]]-Table33[[#This Row],[Account Withdrawl Amount]], )</f>
        <v>0</v>
      </c>
      <c r="R22" s="243">
        <f>IF(Table33[[#This Row],[Category]]="Travel",Table33[[#This Row],[Account Deposit Amount]]-Table33[[#This Row],[Account Withdrawl Amount]], )</f>
        <v>0</v>
      </c>
      <c r="S22" s="243">
        <f>IF(Table33[[#This Row],[Category]]="Parties Food &amp; Beverages",Table33[[#This Row],[Account Deposit Amount]]-Table33[[#This Row],[Account Withdrawl Amount]], )</f>
        <v>0</v>
      </c>
      <c r="T22" s="243">
        <f>IF(Table33[[#This Row],[Category]]="Service Projects Donation",Table33[[#This Row],[Account Deposit Amount]]-Table33[[#This Row],[Account Withdrawl Amount]], )</f>
        <v>0</v>
      </c>
      <c r="U22" s="243">
        <f>IF(Table33[[#This Row],[Category]]="Cookie Debt",Table33[[#This Row],[Account Deposit Amount]]-Table33[[#This Row],[Account Withdrawl Amount]], )</f>
        <v>0</v>
      </c>
      <c r="V22" s="243">
        <f>IF(Table33[[#This Row],[Category]]="Other Expense",Table33[[#This Row],[Account Deposit Amount]]-Table33[[#This Row],[Account Withdrawl Amount]], )</f>
        <v>0</v>
      </c>
    </row>
    <row r="23" spans="1:22">
      <c r="A23" s="261"/>
      <c r="B23" s="249"/>
      <c r="C23" s="256"/>
      <c r="D23" s="256"/>
      <c r="E23" s="251"/>
      <c r="F23" s="250"/>
      <c r="G23" s="243">
        <f t="shared" si="2"/>
        <v>0</v>
      </c>
      <c r="H23" s="247"/>
      <c r="I23" s="243">
        <f>IF(Table33[[#This Row],[Category]]="Fall Product",Table33[[#This Row],[Account Deposit Amount]]-Table33[[#This Row],[Account Withdrawl Amount]], )</f>
        <v>0</v>
      </c>
      <c r="J23" s="243">
        <f>IF(Table33[[#This Row],[Category]]="Cookies",Table33[[#This Row],[Account Deposit Amount]]-Table33[[#This Row],[Account Withdrawl Amount]], )</f>
        <v>0</v>
      </c>
      <c r="K23" s="243">
        <f>IF(Table33[[#This Row],[Category]]="Additional Money Earning Activities",Table33[[#This Row],[Account Deposit Amount]]-Table33[[#This Row],[Account Withdrawl Amount]], )</f>
        <v>0</v>
      </c>
      <c r="L23" s="243">
        <f>IF(Table33[[#This Row],[Category]]="Sponsorships",Table33[[#This Row],[Account Deposit Amount]]-Table33[[#This Row],[Account Withdrawl Amount]], )</f>
        <v>0</v>
      </c>
      <c r="M23" s="243">
        <f>IF(Table33[[#This Row],[Category]]="Troop Dues",Table33[[#This Row],[Account Deposit Amount]]-Table33[[#This Row],[Account Withdrawl Amount]], )</f>
        <v>0</v>
      </c>
      <c r="N23" s="243">
        <f>IF(Table33[[#This Row],[Category]]="Other Income",Table33[[#This Row],[Account Deposit Amount]]-Table33[[#This Row],[Account Withdrawl Amount]], )</f>
        <v>0</v>
      </c>
      <c r="O23" s="243">
        <f>IF(Table33[[#This Row],[Category]]="Registration",Table33[[#This Row],[Account Deposit Amount]]-Table33[[#This Row],[Account Withdrawl Amount]], )</f>
        <v>0</v>
      </c>
      <c r="P23" s="243">
        <f>IF(Table33[[#This Row],[Category]]="Insignia",Table33[[#This Row],[Account Deposit Amount]]-Table33[[#This Row],[Account Withdrawl Amount]], )</f>
        <v>0</v>
      </c>
      <c r="Q23" s="243">
        <f>IF(Table33[[#This Row],[Category]]="Activities/Program",Table33[[#This Row],[Account Deposit Amount]]-Table33[[#This Row],[Account Withdrawl Amount]], )</f>
        <v>0</v>
      </c>
      <c r="R23" s="243">
        <f>IF(Table33[[#This Row],[Category]]="Travel",Table33[[#This Row],[Account Deposit Amount]]-Table33[[#This Row],[Account Withdrawl Amount]], )</f>
        <v>0</v>
      </c>
      <c r="S23" s="243">
        <f>IF(Table33[[#This Row],[Category]]="Parties Food &amp; Beverages",Table33[[#This Row],[Account Deposit Amount]]-Table33[[#This Row],[Account Withdrawl Amount]], )</f>
        <v>0</v>
      </c>
      <c r="T23" s="243">
        <f>IF(Table33[[#This Row],[Category]]="Service Projects Donation",Table33[[#This Row],[Account Deposit Amount]]-Table33[[#This Row],[Account Withdrawl Amount]], )</f>
        <v>0</v>
      </c>
      <c r="U23" s="243">
        <f>IF(Table33[[#This Row],[Category]]="Cookie Debt",Table33[[#This Row],[Account Deposit Amount]]-Table33[[#This Row],[Account Withdrawl Amount]], )</f>
        <v>0</v>
      </c>
      <c r="V23" s="243">
        <f>IF(Table33[[#This Row],[Category]]="Other Expense",Table33[[#This Row],[Account Deposit Amount]]-Table33[[#This Row],[Account Withdrawl Amount]], )</f>
        <v>0</v>
      </c>
    </row>
    <row r="24" spans="1:22">
      <c r="A24" s="262"/>
      <c r="B24" s="252"/>
      <c r="C24" s="253"/>
      <c r="D24" s="248"/>
      <c r="E24" s="254"/>
      <c r="F24" s="255"/>
      <c r="G24" s="243">
        <f t="shared" si="2"/>
        <v>0</v>
      </c>
      <c r="H24" s="248"/>
      <c r="I24" s="243">
        <f>IF(Table33[[#This Row],[Category]]="Fall Product",Table33[[#This Row],[Account Deposit Amount]]-Table33[[#This Row],[Account Withdrawl Amount]], )</f>
        <v>0</v>
      </c>
      <c r="J24" s="243">
        <f>IF(Table33[[#This Row],[Category]]="Cookies",Table33[[#This Row],[Account Deposit Amount]]-Table33[[#This Row],[Account Withdrawl Amount]], )</f>
        <v>0</v>
      </c>
      <c r="K24" s="243">
        <f>IF(Table33[[#This Row],[Category]]="Additional Money Earning Activities",Table33[[#This Row],[Account Deposit Amount]]-Table33[[#This Row],[Account Withdrawl Amount]], )</f>
        <v>0</v>
      </c>
      <c r="L24" s="243">
        <f>IF(Table33[[#This Row],[Category]]="Sponsorships",Table33[[#This Row],[Account Deposit Amount]]-Table33[[#This Row],[Account Withdrawl Amount]], )</f>
        <v>0</v>
      </c>
      <c r="M24" s="243">
        <f>IF(Table33[[#This Row],[Category]]="Troop Dues",Table33[[#This Row],[Account Deposit Amount]]-Table33[[#This Row],[Account Withdrawl Amount]], )</f>
        <v>0</v>
      </c>
      <c r="N24" s="243">
        <f>IF(Table33[[#This Row],[Category]]="Other Income",Table33[[#This Row],[Account Deposit Amount]]-Table33[[#This Row],[Account Withdrawl Amount]], )</f>
        <v>0</v>
      </c>
      <c r="O24" s="243">
        <f>IF(Table33[[#This Row],[Category]]="Registration",Table33[[#This Row],[Account Deposit Amount]]-Table33[[#This Row],[Account Withdrawl Amount]], )</f>
        <v>0</v>
      </c>
      <c r="P24" s="243">
        <f>IF(Table33[[#This Row],[Category]]="Insignia",Table33[[#This Row],[Account Deposit Amount]]-Table33[[#This Row],[Account Withdrawl Amount]], )</f>
        <v>0</v>
      </c>
      <c r="Q24" s="243">
        <f>IF(Table33[[#This Row],[Category]]="Activities/Program",Table33[[#This Row],[Account Deposit Amount]]-Table33[[#This Row],[Account Withdrawl Amount]], )</f>
        <v>0</v>
      </c>
      <c r="R24" s="243">
        <f>IF(Table33[[#This Row],[Category]]="Travel",Table33[[#This Row],[Account Deposit Amount]]-Table33[[#This Row],[Account Withdrawl Amount]], )</f>
        <v>0</v>
      </c>
      <c r="S24" s="243">
        <f>IF(Table33[[#This Row],[Category]]="Parties Food &amp; Beverages",Table33[[#This Row],[Account Deposit Amount]]-Table33[[#This Row],[Account Withdrawl Amount]], )</f>
        <v>0</v>
      </c>
      <c r="T24" s="243">
        <f>IF(Table33[[#This Row],[Category]]="Service Projects Donation",Table33[[#This Row],[Account Deposit Amount]]-Table33[[#This Row],[Account Withdrawl Amount]], )</f>
        <v>0</v>
      </c>
      <c r="U24" s="243">
        <f>IF(Table33[[#This Row],[Category]]="Cookie Debt",Table33[[#This Row],[Account Deposit Amount]]-Table33[[#This Row],[Account Withdrawl Amount]], )</f>
        <v>0</v>
      </c>
      <c r="V24" s="243">
        <f>IF(Table33[[#This Row],[Category]]="Other Expense",Table33[[#This Row],[Account Deposit Amount]]-Table33[[#This Row],[Account Withdrawl Amount]], )</f>
        <v>0</v>
      </c>
    </row>
    <row r="25" spans="1:22">
      <c r="A25" s="261"/>
      <c r="B25" s="249"/>
      <c r="C25" s="256"/>
      <c r="D25" s="247"/>
      <c r="E25" s="250"/>
      <c r="F25" s="257"/>
      <c r="G25" s="243">
        <f t="shared" si="2"/>
        <v>0</v>
      </c>
      <c r="H25" s="247"/>
      <c r="I25" s="243">
        <f>IF(Table33[[#This Row],[Category]]="Fall Product",Table33[[#This Row],[Account Deposit Amount]]-Table33[[#This Row],[Account Withdrawl Amount]], )</f>
        <v>0</v>
      </c>
      <c r="J25" s="243">
        <f>IF(Table33[[#This Row],[Category]]="Cookies",Table33[[#This Row],[Account Deposit Amount]]-Table33[[#This Row],[Account Withdrawl Amount]], )</f>
        <v>0</v>
      </c>
      <c r="K25" s="243">
        <f>IF(Table33[[#This Row],[Category]]="Additional Money Earning Activities",Table33[[#This Row],[Account Deposit Amount]]-Table33[[#This Row],[Account Withdrawl Amount]], )</f>
        <v>0</v>
      </c>
      <c r="L25" s="243">
        <f>IF(Table33[[#This Row],[Category]]="Sponsorships",Table33[[#This Row],[Account Deposit Amount]]-Table33[[#This Row],[Account Withdrawl Amount]], )</f>
        <v>0</v>
      </c>
      <c r="M25" s="243">
        <f>IF(Table33[[#This Row],[Category]]="Troop Dues",Table33[[#This Row],[Account Deposit Amount]]-Table33[[#This Row],[Account Withdrawl Amount]], )</f>
        <v>0</v>
      </c>
      <c r="N25" s="243">
        <f>IF(Table33[[#This Row],[Category]]="Other Income",Table33[[#This Row],[Account Deposit Amount]]-Table33[[#This Row],[Account Withdrawl Amount]], )</f>
        <v>0</v>
      </c>
      <c r="O25" s="243">
        <f>IF(Table33[[#This Row],[Category]]="Registration",Table33[[#This Row],[Account Deposit Amount]]-Table33[[#This Row],[Account Withdrawl Amount]], )</f>
        <v>0</v>
      </c>
      <c r="P25" s="243">
        <f>IF(Table33[[#This Row],[Category]]="Insignia",Table33[[#This Row],[Account Deposit Amount]]-Table33[[#This Row],[Account Withdrawl Amount]], )</f>
        <v>0</v>
      </c>
      <c r="Q25" s="243">
        <f>IF(Table33[[#This Row],[Category]]="Activities/Program",Table33[[#This Row],[Account Deposit Amount]]-Table33[[#This Row],[Account Withdrawl Amount]], )</f>
        <v>0</v>
      </c>
      <c r="R25" s="243">
        <f>IF(Table33[[#This Row],[Category]]="Travel",Table33[[#This Row],[Account Deposit Amount]]-Table33[[#This Row],[Account Withdrawl Amount]], )</f>
        <v>0</v>
      </c>
      <c r="S25" s="243">
        <f>IF(Table33[[#This Row],[Category]]="Parties Food &amp; Beverages",Table33[[#This Row],[Account Deposit Amount]]-Table33[[#This Row],[Account Withdrawl Amount]], )</f>
        <v>0</v>
      </c>
      <c r="T25" s="243">
        <f>IF(Table33[[#This Row],[Category]]="Service Projects Donation",Table33[[#This Row],[Account Deposit Amount]]-Table33[[#This Row],[Account Withdrawl Amount]], )</f>
        <v>0</v>
      </c>
      <c r="U25" s="243">
        <f>IF(Table33[[#This Row],[Category]]="Cookie Debt",Table33[[#This Row],[Account Deposit Amount]]-Table33[[#This Row],[Account Withdrawl Amount]], )</f>
        <v>0</v>
      </c>
      <c r="V25" s="243">
        <f>IF(Table33[[#This Row],[Category]]="Other Expense",Table33[[#This Row],[Account Deposit Amount]]-Table33[[#This Row],[Account Withdrawl Amount]], )</f>
        <v>0</v>
      </c>
    </row>
    <row r="26" spans="1:22">
      <c r="A26" s="262"/>
      <c r="B26" s="252"/>
      <c r="C26" s="253"/>
      <c r="D26" s="248"/>
      <c r="E26" s="254"/>
      <c r="F26" s="255"/>
      <c r="G26" s="243">
        <f t="shared" si="2"/>
        <v>0</v>
      </c>
      <c r="H26" s="248"/>
      <c r="I26" s="243">
        <f>IF(Table33[[#This Row],[Category]]="Fall Product",Table33[[#This Row],[Account Deposit Amount]]-Table33[[#This Row],[Account Withdrawl Amount]], )</f>
        <v>0</v>
      </c>
      <c r="J26" s="243">
        <f>IF(Table33[[#This Row],[Category]]="Cookies",Table33[[#This Row],[Account Deposit Amount]]-Table33[[#This Row],[Account Withdrawl Amount]], )</f>
        <v>0</v>
      </c>
      <c r="K26" s="243">
        <f>IF(Table33[[#This Row],[Category]]="Additional Money Earning Activities",Table33[[#This Row],[Account Deposit Amount]]-Table33[[#This Row],[Account Withdrawl Amount]], )</f>
        <v>0</v>
      </c>
      <c r="L26" s="243">
        <f>IF(Table33[[#This Row],[Category]]="Sponsorships",Table33[[#This Row],[Account Deposit Amount]]-Table33[[#This Row],[Account Withdrawl Amount]], )</f>
        <v>0</v>
      </c>
      <c r="M26" s="243">
        <f>IF(Table33[[#This Row],[Category]]="Troop Dues",Table33[[#This Row],[Account Deposit Amount]]-Table33[[#This Row],[Account Withdrawl Amount]], )</f>
        <v>0</v>
      </c>
      <c r="N26" s="243">
        <f>IF(Table33[[#This Row],[Category]]="Other Income",Table33[[#This Row],[Account Deposit Amount]]-Table33[[#This Row],[Account Withdrawl Amount]], )</f>
        <v>0</v>
      </c>
      <c r="O26" s="243">
        <f>IF(Table33[[#This Row],[Category]]="Registration",Table33[[#This Row],[Account Deposit Amount]]-Table33[[#This Row],[Account Withdrawl Amount]], )</f>
        <v>0</v>
      </c>
      <c r="P26" s="243">
        <f>IF(Table33[[#This Row],[Category]]="Insignia",Table33[[#This Row],[Account Deposit Amount]]-Table33[[#This Row],[Account Withdrawl Amount]], )</f>
        <v>0</v>
      </c>
      <c r="Q26" s="243">
        <f>IF(Table33[[#This Row],[Category]]="Activities/Program",Table33[[#This Row],[Account Deposit Amount]]-Table33[[#This Row],[Account Withdrawl Amount]], )</f>
        <v>0</v>
      </c>
      <c r="R26" s="243">
        <f>IF(Table33[[#This Row],[Category]]="Travel",Table33[[#This Row],[Account Deposit Amount]]-Table33[[#This Row],[Account Withdrawl Amount]], )</f>
        <v>0</v>
      </c>
      <c r="S26" s="243">
        <f>IF(Table33[[#This Row],[Category]]="Parties Food &amp; Beverages",Table33[[#This Row],[Account Deposit Amount]]-Table33[[#This Row],[Account Withdrawl Amount]], )</f>
        <v>0</v>
      </c>
      <c r="T26" s="243">
        <f>IF(Table33[[#This Row],[Category]]="Service Projects Donation",Table33[[#This Row],[Account Deposit Amount]]-Table33[[#This Row],[Account Withdrawl Amount]], )</f>
        <v>0</v>
      </c>
      <c r="U26" s="243">
        <f>IF(Table33[[#This Row],[Category]]="Cookie Debt",Table33[[#This Row],[Account Deposit Amount]]-Table33[[#This Row],[Account Withdrawl Amount]], )</f>
        <v>0</v>
      </c>
      <c r="V26" s="243">
        <f>IF(Table33[[#This Row],[Category]]="Other Expense",Table33[[#This Row],[Account Deposit Amount]]-Table33[[#This Row],[Account Withdrawl Amount]], )</f>
        <v>0</v>
      </c>
    </row>
    <row r="27" spans="1:22">
      <c r="A27" s="261"/>
      <c r="B27" s="249"/>
      <c r="C27" s="256"/>
      <c r="D27" s="247"/>
      <c r="E27" s="250"/>
      <c r="F27" s="257"/>
      <c r="G27" s="243">
        <f t="shared" si="2"/>
        <v>0</v>
      </c>
      <c r="H27" s="247"/>
      <c r="I27" s="243">
        <f>IF(Table33[[#This Row],[Category]]="Fall Product",Table33[[#This Row],[Account Deposit Amount]]-Table33[[#This Row],[Account Withdrawl Amount]], )</f>
        <v>0</v>
      </c>
      <c r="J27" s="243">
        <f>IF(Table33[[#This Row],[Category]]="Cookies",Table33[[#This Row],[Account Deposit Amount]]-Table33[[#This Row],[Account Withdrawl Amount]], )</f>
        <v>0</v>
      </c>
      <c r="K27" s="243">
        <f>IF(Table33[[#This Row],[Category]]="Additional Money Earning Activities",Table33[[#This Row],[Account Deposit Amount]]-Table33[[#This Row],[Account Withdrawl Amount]], )</f>
        <v>0</v>
      </c>
      <c r="L27" s="243">
        <f>IF(Table33[[#This Row],[Category]]="Sponsorships",Table33[[#This Row],[Account Deposit Amount]]-Table33[[#This Row],[Account Withdrawl Amount]], )</f>
        <v>0</v>
      </c>
      <c r="M27" s="243">
        <f>IF(Table33[[#This Row],[Category]]="Troop Dues",Table33[[#This Row],[Account Deposit Amount]]-Table33[[#This Row],[Account Withdrawl Amount]], )</f>
        <v>0</v>
      </c>
      <c r="N27" s="243">
        <f>IF(Table33[[#This Row],[Category]]="Other Income",Table33[[#This Row],[Account Deposit Amount]]-Table33[[#This Row],[Account Withdrawl Amount]], )</f>
        <v>0</v>
      </c>
      <c r="O27" s="243">
        <f>IF(Table33[[#This Row],[Category]]="Registration",Table33[[#This Row],[Account Deposit Amount]]-Table33[[#This Row],[Account Withdrawl Amount]], )</f>
        <v>0</v>
      </c>
      <c r="P27" s="243">
        <f>IF(Table33[[#This Row],[Category]]="Insignia",Table33[[#This Row],[Account Deposit Amount]]-Table33[[#This Row],[Account Withdrawl Amount]], )</f>
        <v>0</v>
      </c>
      <c r="Q27" s="243">
        <f>IF(Table33[[#This Row],[Category]]="Activities/Program",Table33[[#This Row],[Account Deposit Amount]]-Table33[[#This Row],[Account Withdrawl Amount]], )</f>
        <v>0</v>
      </c>
      <c r="R27" s="243">
        <f>IF(Table33[[#This Row],[Category]]="Travel",Table33[[#This Row],[Account Deposit Amount]]-Table33[[#This Row],[Account Withdrawl Amount]], )</f>
        <v>0</v>
      </c>
      <c r="S27" s="243">
        <f>IF(Table33[[#This Row],[Category]]="Parties Food &amp; Beverages",Table33[[#This Row],[Account Deposit Amount]]-Table33[[#This Row],[Account Withdrawl Amount]], )</f>
        <v>0</v>
      </c>
      <c r="T27" s="243">
        <f>IF(Table33[[#This Row],[Category]]="Service Projects Donation",Table33[[#This Row],[Account Deposit Amount]]-Table33[[#This Row],[Account Withdrawl Amount]], )</f>
        <v>0</v>
      </c>
      <c r="U27" s="243">
        <f>IF(Table33[[#This Row],[Category]]="Cookie Debt",Table33[[#This Row],[Account Deposit Amount]]-Table33[[#This Row],[Account Withdrawl Amount]], )</f>
        <v>0</v>
      </c>
      <c r="V27" s="243">
        <f>IF(Table33[[#This Row],[Category]]="Other Expense",Table33[[#This Row],[Account Deposit Amount]]-Table33[[#This Row],[Account Withdrawl Amount]], )</f>
        <v>0</v>
      </c>
    </row>
    <row r="28" spans="1:22">
      <c r="A28" s="262"/>
      <c r="B28" s="252"/>
      <c r="C28" s="253"/>
      <c r="D28" s="248"/>
      <c r="E28" s="254"/>
      <c r="F28" s="255"/>
      <c r="G28" s="243">
        <f t="shared" si="2"/>
        <v>0</v>
      </c>
      <c r="H28" s="248"/>
      <c r="I28" s="243">
        <f>IF(Table33[[#This Row],[Category]]="Fall Product",Table33[[#This Row],[Account Deposit Amount]]-Table33[[#This Row],[Account Withdrawl Amount]], )</f>
        <v>0</v>
      </c>
      <c r="J28" s="243">
        <f>IF(Table33[[#This Row],[Category]]="Cookies",Table33[[#This Row],[Account Deposit Amount]]-Table33[[#This Row],[Account Withdrawl Amount]], )</f>
        <v>0</v>
      </c>
      <c r="K28" s="243">
        <f>IF(Table33[[#This Row],[Category]]="Additional Money Earning Activities",Table33[[#This Row],[Account Deposit Amount]]-Table33[[#This Row],[Account Withdrawl Amount]], )</f>
        <v>0</v>
      </c>
      <c r="L28" s="243">
        <f>IF(Table33[[#This Row],[Category]]="Sponsorships",Table33[[#This Row],[Account Deposit Amount]]-Table33[[#This Row],[Account Withdrawl Amount]], )</f>
        <v>0</v>
      </c>
      <c r="M28" s="243">
        <f>IF(Table33[[#This Row],[Category]]="Troop Dues",Table33[[#This Row],[Account Deposit Amount]]-Table33[[#This Row],[Account Withdrawl Amount]], )</f>
        <v>0</v>
      </c>
      <c r="N28" s="243">
        <f>IF(Table33[[#This Row],[Category]]="Other Income",Table33[[#This Row],[Account Deposit Amount]]-Table33[[#This Row],[Account Withdrawl Amount]], )</f>
        <v>0</v>
      </c>
      <c r="O28" s="243">
        <f>IF(Table33[[#This Row],[Category]]="Registration",Table33[[#This Row],[Account Deposit Amount]]-Table33[[#This Row],[Account Withdrawl Amount]], )</f>
        <v>0</v>
      </c>
      <c r="P28" s="243">
        <f>IF(Table33[[#This Row],[Category]]="Insignia",Table33[[#This Row],[Account Deposit Amount]]-Table33[[#This Row],[Account Withdrawl Amount]], )</f>
        <v>0</v>
      </c>
      <c r="Q28" s="243">
        <f>IF(Table33[[#This Row],[Category]]="Activities/Program",Table33[[#This Row],[Account Deposit Amount]]-Table33[[#This Row],[Account Withdrawl Amount]], )</f>
        <v>0</v>
      </c>
      <c r="R28" s="243">
        <f>IF(Table33[[#This Row],[Category]]="Travel",Table33[[#This Row],[Account Deposit Amount]]-Table33[[#This Row],[Account Withdrawl Amount]], )</f>
        <v>0</v>
      </c>
      <c r="S28" s="243">
        <f>IF(Table33[[#This Row],[Category]]="Parties Food &amp; Beverages",Table33[[#This Row],[Account Deposit Amount]]-Table33[[#This Row],[Account Withdrawl Amount]], )</f>
        <v>0</v>
      </c>
      <c r="T28" s="243">
        <f>IF(Table33[[#This Row],[Category]]="Service Projects Donation",Table33[[#This Row],[Account Deposit Amount]]-Table33[[#This Row],[Account Withdrawl Amount]], )</f>
        <v>0</v>
      </c>
      <c r="U28" s="243">
        <f>IF(Table33[[#This Row],[Category]]="Cookie Debt",Table33[[#This Row],[Account Deposit Amount]]-Table33[[#This Row],[Account Withdrawl Amount]], )</f>
        <v>0</v>
      </c>
      <c r="V28" s="243">
        <f>IF(Table33[[#This Row],[Category]]="Other Expense",Table33[[#This Row],[Account Deposit Amount]]-Table33[[#This Row],[Account Withdrawl Amount]], )</f>
        <v>0</v>
      </c>
    </row>
    <row r="29" spans="1:22">
      <c r="A29" s="261"/>
      <c r="B29" s="249"/>
      <c r="C29" s="256"/>
      <c r="D29" s="247"/>
      <c r="E29" s="250"/>
      <c r="F29" s="257"/>
      <c r="G29" s="243">
        <f t="shared" si="2"/>
        <v>0</v>
      </c>
      <c r="H29" s="247"/>
      <c r="I29" s="243">
        <f>IF(Table33[[#This Row],[Category]]="Fall Product",Table33[[#This Row],[Account Deposit Amount]]-Table33[[#This Row],[Account Withdrawl Amount]], )</f>
        <v>0</v>
      </c>
      <c r="J29" s="243">
        <f>IF(Table33[[#This Row],[Category]]="Cookies",Table33[[#This Row],[Account Deposit Amount]]-Table33[[#This Row],[Account Withdrawl Amount]], )</f>
        <v>0</v>
      </c>
      <c r="K29" s="243">
        <f>IF(Table33[[#This Row],[Category]]="Additional Money Earning Activities",Table33[[#This Row],[Account Deposit Amount]]-Table33[[#This Row],[Account Withdrawl Amount]], )</f>
        <v>0</v>
      </c>
      <c r="L29" s="243">
        <f>IF(Table33[[#This Row],[Category]]="Sponsorships",Table33[[#This Row],[Account Deposit Amount]]-Table33[[#This Row],[Account Withdrawl Amount]], )</f>
        <v>0</v>
      </c>
      <c r="M29" s="243">
        <f>IF(Table33[[#This Row],[Category]]="Troop Dues",Table33[[#This Row],[Account Deposit Amount]]-Table33[[#This Row],[Account Withdrawl Amount]], )</f>
        <v>0</v>
      </c>
      <c r="N29" s="243">
        <f>IF(Table33[[#This Row],[Category]]="Other Income",Table33[[#This Row],[Account Deposit Amount]]-Table33[[#This Row],[Account Withdrawl Amount]], )</f>
        <v>0</v>
      </c>
      <c r="O29" s="243">
        <f>IF(Table33[[#This Row],[Category]]="Registration",Table33[[#This Row],[Account Deposit Amount]]-Table33[[#This Row],[Account Withdrawl Amount]], )</f>
        <v>0</v>
      </c>
      <c r="P29" s="243">
        <f>IF(Table33[[#This Row],[Category]]="Insignia",Table33[[#This Row],[Account Deposit Amount]]-Table33[[#This Row],[Account Withdrawl Amount]], )</f>
        <v>0</v>
      </c>
      <c r="Q29" s="243">
        <f>IF(Table33[[#This Row],[Category]]="Activities/Program",Table33[[#This Row],[Account Deposit Amount]]-Table33[[#This Row],[Account Withdrawl Amount]], )</f>
        <v>0</v>
      </c>
      <c r="R29" s="243">
        <f>IF(Table33[[#This Row],[Category]]="Travel",Table33[[#This Row],[Account Deposit Amount]]-Table33[[#This Row],[Account Withdrawl Amount]], )</f>
        <v>0</v>
      </c>
      <c r="S29" s="243">
        <f>IF(Table33[[#This Row],[Category]]="Parties Food &amp; Beverages",Table33[[#This Row],[Account Deposit Amount]]-Table33[[#This Row],[Account Withdrawl Amount]], )</f>
        <v>0</v>
      </c>
      <c r="T29" s="243">
        <f>IF(Table33[[#This Row],[Category]]="Service Projects Donation",Table33[[#This Row],[Account Deposit Amount]]-Table33[[#This Row],[Account Withdrawl Amount]], )</f>
        <v>0</v>
      </c>
      <c r="U29" s="243">
        <f>IF(Table33[[#This Row],[Category]]="Cookie Debt",Table33[[#This Row],[Account Deposit Amount]]-Table33[[#This Row],[Account Withdrawl Amount]], )</f>
        <v>0</v>
      </c>
      <c r="V29" s="243">
        <f>IF(Table33[[#This Row],[Category]]="Other Expense",Table33[[#This Row],[Account Deposit Amount]]-Table33[[#This Row],[Account Withdrawl Amount]], )</f>
        <v>0</v>
      </c>
    </row>
    <row r="30" spans="1:22">
      <c r="A30" s="262"/>
      <c r="B30" s="252"/>
      <c r="C30" s="253"/>
      <c r="D30" s="248"/>
      <c r="E30" s="258"/>
      <c r="F30" s="254"/>
      <c r="G30" s="243">
        <f t="shared" si="2"/>
        <v>0</v>
      </c>
      <c r="H30" s="248"/>
      <c r="I30" s="243">
        <f>IF(Table33[[#This Row],[Category]]="Fall Product",Table33[[#This Row],[Account Deposit Amount]]-Table33[[#This Row],[Account Withdrawl Amount]], )</f>
        <v>0</v>
      </c>
      <c r="J30" s="243">
        <f>IF(Table33[[#This Row],[Category]]="Cookies",Table33[[#This Row],[Account Deposit Amount]]-Table33[[#This Row],[Account Withdrawl Amount]], )</f>
        <v>0</v>
      </c>
      <c r="K30" s="243">
        <f>IF(Table33[[#This Row],[Category]]="Additional Money Earning Activities",Table33[[#This Row],[Account Deposit Amount]]-Table33[[#This Row],[Account Withdrawl Amount]], )</f>
        <v>0</v>
      </c>
      <c r="L30" s="243">
        <f>IF(Table33[[#This Row],[Category]]="Sponsorships",Table33[[#This Row],[Account Deposit Amount]]-Table33[[#This Row],[Account Withdrawl Amount]], )</f>
        <v>0</v>
      </c>
      <c r="M30" s="243">
        <f>IF(Table33[[#This Row],[Category]]="Troop Dues",Table33[[#This Row],[Account Deposit Amount]]-Table33[[#This Row],[Account Withdrawl Amount]], )</f>
        <v>0</v>
      </c>
      <c r="N30" s="243">
        <f>IF(Table33[[#This Row],[Category]]="Other Income",Table33[[#This Row],[Account Deposit Amount]]-Table33[[#This Row],[Account Withdrawl Amount]], )</f>
        <v>0</v>
      </c>
      <c r="O30" s="243">
        <f>IF(Table33[[#This Row],[Category]]="Registration",Table33[[#This Row],[Account Deposit Amount]]-Table33[[#This Row],[Account Withdrawl Amount]], )</f>
        <v>0</v>
      </c>
      <c r="P30" s="243">
        <f>IF(Table33[[#This Row],[Category]]="Insignia",Table33[[#This Row],[Account Deposit Amount]]-Table33[[#This Row],[Account Withdrawl Amount]], )</f>
        <v>0</v>
      </c>
      <c r="Q30" s="243">
        <f>IF(Table33[[#This Row],[Category]]="Activities/Program",Table33[[#This Row],[Account Deposit Amount]]-Table33[[#This Row],[Account Withdrawl Amount]], )</f>
        <v>0</v>
      </c>
      <c r="R30" s="243">
        <f>IF(Table33[[#This Row],[Category]]="Travel",Table33[[#This Row],[Account Deposit Amount]]-Table33[[#This Row],[Account Withdrawl Amount]], )</f>
        <v>0</v>
      </c>
      <c r="S30" s="243">
        <f>IF(Table33[[#This Row],[Category]]="Parties Food &amp; Beverages",Table33[[#This Row],[Account Deposit Amount]]-Table33[[#This Row],[Account Withdrawl Amount]], )</f>
        <v>0</v>
      </c>
      <c r="T30" s="243">
        <f>IF(Table33[[#This Row],[Category]]="Service Projects Donation",Table33[[#This Row],[Account Deposit Amount]]-Table33[[#This Row],[Account Withdrawl Amount]], )</f>
        <v>0</v>
      </c>
      <c r="U30" s="243">
        <f>IF(Table33[[#This Row],[Category]]="Cookie Debt",Table33[[#This Row],[Account Deposit Amount]]-Table33[[#This Row],[Account Withdrawl Amount]], )</f>
        <v>0</v>
      </c>
      <c r="V30" s="243">
        <f>IF(Table33[[#This Row],[Category]]="Other Expense",Table33[[#This Row],[Account Deposit Amount]]-Table33[[#This Row],[Account Withdrawl Amount]], )</f>
        <v>0</v>
      </c>
    </row>
    <row r="31" spans="1:22">
      <c r="A31" s="261"/>
      <c r="B31" s="249"/>
      <c r="C31" s="256"/>
      <c r="D31" s="247"/>
      <c r="E31" s="250"/>
      <c r="F31" s="257"/>
      <c r="G31" s="243">
        <f t="shared" si="2"/>
        <v>0</v>
      </c>
      <c r="H31" s="247"/>
      <c r="I31" s="243">
        <f>IF(Table33[[#This Row],[Category]]="Fall Product",Table33[[#This Row],[Account Deposit Amount]]-Table33[[#This Row],[Account Withdrawl Amount]], )</f>
        <v>0</v>
      </c>
      <c r="J31" s="243">
        <f>IF(Table33[[#This Row],[Category]]="Cookies",Table33[[#This Row],[Account Deposit Amount]]-Table33[[#This Row],[Account Withdrawl Amount]], )</f>
        <v>0</v>
      </c>
      <c r="K31" s="243">
        <f>IF(Table33[[#This Row],[Category]]="Additional Money Earning Activities",Table33[[#This Row],[Account Deposit Amount]]-Table33[[#This Row],[Account Withdrawl Amount]], )</f>
        <v>0</v>
      </c>
      <c r="L31" s="243">
        <f>IF(Table33[[#This Row],[Category]]="Sponsorships",Table33[[#This Row],[Account Deposit Amount]]-Table33[[#This Row],[Account Withdrawl Amount]], )</f>
        <v>0</v>
      </c>
      <c r="M31" s="243">
        <f>IF(Table33[[#This Row],[Category]]="Troop Dues",Table33[[#This Row],[Account Deposit Amount]]-Table33[[#This Row],[Account Withdrawl Amount]], )</f>
        <v>0</v>
      </c>
      <c r="N31" s="243">
        <f>IF(Table33[[#This Row],[Category]]="Other Income",Table33[[#This Row],[Account Deposit Amount]]-Table33[[#This Row],[Account Withdrawl Amount]], )</f>
        <v>0</v>
      </c>
      <c r="O31" s="243">
        <f>IF(Table33[[#This Row],[Category]]="Registration",Table33[[#This Row],[Account Deposit Amount]]-Table33[[#This Row],[Account Withdrawl Amount]], )</f>
        <v>0</v>
      </c>
      <c r="P31" s="243">
        <f>IF(Table33[[#This Row],[Category]]="Insignia",Table33[[#This Row],[Account Deposit Amount]]-Table33[[#This Row],[Account Withdrawl Amount]], )</f>
        <v>0</v>
      </c>
      <c r="Q31" s="243">
        <f>IF(Table33[[#This Row],[Category]]="Activities/Program",Table33[[#This Row],[Account Deposit Amount]]-Table33[[#This Row],[Account Withdrawl Amount]], )</f>
        <v>0</v>
      </c>
      <c r="R31" s="243">
        <f>IF(Table33[[#This Row],[Category]]="Travel",Table33[[#This Row],[Account Deposit Amount]]-Table33[[#This Row],[Account Withdrawl Amount]], )</f>
        <v>0</v>
      </c>
      <c r="S31" s="243">
        <f>IF(Table33[[#This Row],[Category]]="Parties Food &amp; Beverages",Table33[[#This Row],[Account Deposit Amount]]-Table33[[#This Row],[Account Withdrawl Amount]], )</f>
        <v>0</v>
      </c>
      <c r="T31" s="243">
        <f>IF(Table33[[#This Row],[Category]]="Service Projects Donation",Table33[[#This Row],[Account Deposit Amount]]-Table33[[#This Row],[Account Withdrawl Amount]], )</f>
        <v>0</v>
      </c>
      <c r="U31" s="243">
        <f>IF(Table33[[#This Row],[Category]]="Cookie Debt",Table33[[#This Row],[Account Deposit Amount]]-Table33[[#This Row],[Account Withdrawl Amount]], )</f>
        <v>0</v>
      </c>
      <c r="V31" s="243">
        <f>IF(Table33[[#This Row],[Category]]="Other Expense",Table33[[#This Row],[Account Deposit Amount]]-Table33[[#This Row],[Account Withdrawl Amount]], )</f>
        <v>0</v>
      </c>
    </row>
    <row r="32" spans="1:22">
      <c r="A32" s="262"/>
      <c r="B32" s="252"/>
      <c r="C32" s="253"/>
      <c r="D32" s="248"/>
      <c r="E32" s="254"/>
      <c r="F32" s="255"/>
      <c r="G32" s="243">
        <f t="shared" si="2"/>
        <v>0</v>
      </c>
      <c r="H32" s="248"/>
      <c r="I32" s="243">
        <f>IF(Table33[[#This Row],[Category]]="Fall Product",Table33[[#This Row],[Account Deposit Amount]]-Table33[[#This Row],[Account Withdrawl Amount]], )</f>
        <v>0</v>
      </c>
      <c r="J32" s="243">
        <f>IF(Table33[[#This Row],[Category]]="Cookies",Table33[[#This Row],[Account Deposit Amount]]-Table33[[#This Row],[Account Withdrawl Amount]], )</f>
        <v>0</v>
      </c>
      <c r="K32" s="243">
        <f>IF(Table33[[#This Row],[Category]]="Additional Money Earning Activities",Table33[[#This Row],[Account Deposit Amount]]-Table33[[#This Row],[Account Withdrawl Amount]], )</f>
        <v>0</v>
      </c>
      <c r="L32" s="243">
        <f>IF(Table33[[#This Row],[Category]]="Sponsorships",Table33[[#This Row],[Account Deposit Amount]]-Table33[[#This Row],[Account Withdrawl Amount]], )</f>
        <v>0</v>
      </c>
      <c r="M32" s="243">
        <f>IF(Table33[[#This Row],[Category]]="Troop Dues",Table33[[#This Row],[Account Deposit Amount]]-Table33[[#This Row],[Account Withdrawl Amount]], )</f>
        <v>0</v>
      </c>
      <c r="N32" s="243">
        <f>IF(Table33[[#This Row],[Category]]="Other Income",Table33[[#This Row],[Account Deposit Amount]]-Table33[[#This Row],[Account Withdrawl Amount]], )</f>
        <v>0</v>
      </c>
      <c r="O32" s="243">
        <f>IF(Table33[[#This Row],[Category]]="Registration",Table33[[#This Row],[Account Deposit Amount]]-Table33[[#This Row],[Account Withdrawl Amount]], )</f>
        <v>0</v>
      </c>
      <c r="P32" s="243">
        <f>IF(Table33[[#This Row],[Category]]="Insignia",Table33[[#This Row],[Account Deposit Amount]]-Table33[[#This Row],[Account Withdrawl Amount]], )</f>
        <v>0</v>
      </c>
      <c r="Q32" s="243">
        <f>IF(Table33[[#This Row],[Category]]="Activities/Program",Table33[[#This Row],[Account Deposit Amount]]-Table33[[#This Row],[Account Withdrawl Amount]], )</f>
        <v>0</v>
      </c>
      <c r="R32" s="243">
        <f>IF(Table33[[#This Row],[Category]]="Travel",Table33[[#This Row],[Account Deposit Amount]]-Table33[[#This Row],[Account Withdrawl Amount]], )</f>
        <v>0</v>
      </c>
      <c r="S32" s="243">
        <f>IF(Table33[[#This Row],[Category]]="Parties Food &amp; Beverages",Table33[[#This Row],[Account Deposit Amount]]-Table33[[#This Row],[Account Withdrawl Amount]], )</f>
        <v>0</v>
      </c>
      <c r="T32" s="243">
        <f>IF(Table33[[#This Row],[Category]]="Service Projects Donation",Table33[[#This Row],[Account Deposit Amount]]-Table33[[#This Row],[Account Withdrawl Amount]], )</f>
        <v>0</v>
      </c>
      <c r="U32" s="243">
        <f>IF(Table33[[#This Row],[Category]]="Cookie Debt",Table33[[#This Row],[Account Deposit Amount]]-Table33[[#This Row],[Account Withdrawl Amount]], )</f>
        <v>0</v>
      </c>
      <c r="V32" s="243">
        <f>IF(Table33[[#This Row],[Category]]="Other Expense",Table33[[#This Row],[Account Deposit Amount]]-Table33[[#This Row],[Account Withdrawl Amount]], )</f>
        <v>0</v>
      </c>
    </row>
    <row r="33" spans="1:22">
      <c r="A33" s="261"/>
      <c r="B33" s="249"/>
      <c r="C33" s="256"/>
      <c r="D33" s="247"/>
      <c r="E33" s="250"/>
      <c r="F33" s="257"/>
      <c r="G33" s="243">
        <f t="shared" si="2"/>
        <v>0</v>
      </c>
      <c r="H33" s="247"/>
      <c r="I33" s="243">
        <f>IF(Table33[[#This Row],[Category]]="Fall Product",Table33[[#This Row],[Account Deposit Amount]]-Table33[[#This Row],[Account Withdrawl Amount]], )</f>
        <v>0</v>
      </c>
      <c r="J33" s="243">
        <f>IF(Table33[[#This Row],[Category]]="Cookies",Table33[[#This Row],[Account Deposit Amount]]-Table33[[#This Row],[Account Withdrawl Amount]], )</f>
        <v>0</v>
      </c>
      <c r="K33" s="243">
        <f>IF(Table33[[#This Row],[Category]]="Additional Money Earning Activities",Table33[[#This Row],[Account Deposit Amount]]-Table33[[#This Row],[Account Withdrawl Amount]], )</f>
        <v>0</v>
      </c>
      <c r="L33" s="243">
        <f>IF(Table33[[#This Row],[Category]]="Sponsorships",Table33[[#This Row],[Account Deposit Amount]]-Table33[[#This Row],[Account Withdrawl Amount]], )</f>
        <v>0</v>
      </c>
      <c r="M33" s="243">
        <f>IF(Table33[[#This Row],[Category]]="Troop Dues",Table33[[#This Row],[Account Deposit Amount]]-Table33[[#This Row],[Account Withdrawl Amount]], )</f>
        <v>0</v>
      </c>
      <c r="N33" s="243">
        <f>IF(Table33[[#This Row],[Category]]="Other Income",Table33[[#This Row],[Account Deposit Amount]]-Table33[[#This Row],[Account Withdrawl Amount]], )</f>
        <v>0</v>
      </c>
      <c r="O33" s="243">
        <f>IF(Table33[[#This Row],[Category]]="Registration",Table33[[#This Row],[Account Deposit Amount]]-Table33[[#This Row],[Account Withdrawl Amount]], )</f>
        <v>0</v>
      </c>
      <c r="P33" s="243">
        <f>IF(Table33[[#This Row],[Category]]="Insignia",Table33[[#This Row],[Account Deposit Amount]]-Table33[[#This Row],[Account Withdrawl Amount]], )</f>
        <v>0</v>
      </c>
      <c r="Q33" s="243">
        <f>IF(Table33[[#This Row],[Category]]="Activities/Program",Table33[[#This Row],[Account Deposit Amount]]-Table33[[#This Row],[Account Withdrawl Amount]], )</f>
        <v>0</v>
      </c>
      <c r="R33" s="243">
        <f>IF(Table33[[#This Row],[Category]]="Travel",Table33[[#This Row],[Account Deposit Amount]]-Table33[[#This Row],[Account Withdrawl Amount]], )</f>
        <v>0</v>
      </c>
      <c r="S33" s="243">
        <f>IF(Table33[[#This Row],[Category]]="Parties Food &amp; Beverages",Table33[[#This Row],[Account Deposit Amount]]-Table33[[#This Row],[Account Withdrawl Amount]], )</f>
        <v>0</v>
      </c>
      <c r="T33" s="243">
        <f>IF(Table33[[#This Row],[Category]]="Service Projects Donation",Table33[[#This Row],[Account Deposit Amount]]-Table33[[#This Row],[Account Withdrawl Amount]], )</f>
        <v>0</v>
      </c>
      <c r="U33" s="243">
        <f>IF(Table33[[#This Row],[Category]]="Cookie Debt",Table33[[#This Row],[Account Deposit Amount]]-Table33[[#This Row],[Account Withdrawl Amount]], )</f>
        <v>0</v>
      </c>
      <c r="V33" s="243">
        <f>IF(Table33[[#This Row],[Category]]="Other Expense",Table33[[#This Row],[Account Deposit Amount]]-Table33[[#This Row],[Account Withdrawl Amount]], )</f>
        <v>0</v>
      </c>
    </row>
    <row r="34" spans="1:22">
      <c r="A34" s="262"/>
      <c r="B34" s="252"/>
      <c r="C34" s="253"/>
      <c r="D34" s="248"/>
      <c r="E34" s="254"/>
      <c r="F34" s="255"/>
      <c r="G34" s="243">
        <f t="shared" si="2"/>
        <v>0</v>
      </c>
      <c r="H34" s="248"/>
      <c r="I34" s="243">
        <f>IF(Table33[[#This Row],[Category]]="Fall Product",Table33[[#This Row],[Account Deposit Amount]]-Table33[[#This Row],[Account Withdrawl Amount]], )</f>
        <v>0</v>
      </c>
      <c r="J34" s="243">
        <f>IF(Table33[[#This Row],[Category]]="Cookies",Table33[[#This Row],[Account Deposit Amount]]-Table33[[#This Row],[Account Withdrawl Amount]], )</f>
        <v>0</v>
      </c>
      <c r="K34" s="243">
        <f>IF(Table33[[#This Row],[Category]]="Additional Money Earning Activities",Table33[[#This Row],[Account Deposit Amount]]-Table33[[#This Row],[Account Withdrawl Amount]], )</f>
        <v>0</v>
      </c>
      <c r="L34" s="243">
        <f>IF(Table33[[#This Row],[Category]]="Sponsorships",Table33[[#This Row],[Account Deposit Amount]]-Table33[[#This Row],[Account Withdrawl Amount]], )</f>
        <v>0</v>
      </c>
      <c r="M34" s="243">
        <f>IF(Table33[[#This Row],[Category]]="Troop Dues",Table33[[#This Row],[Account Deposit Amount]]-Table33[[#This Row],[Account Withdrawl Amount]], )</f>
        <v>0</v>
      </c>
      <c r="N34" s="243">
        <f>IF(Table33[[#This Row],[Category]]="Other Income",Table33[[#This Row],[Account Deposit Amount]]-Table33[[#This Row],[Account Withdrawl Amount]], )</f>
        <v>0</v>
      </c>
      <c r="O34" s="243">
        <f>IF(Table33[[#This Row],[Category]]="Registration",Table33[[#This Row],[Account Deposit Amount]]-Table33[[#This Row],[Account Withdrawl Amount]], )</f>
        <v>0</v>
      </c>
      <c r="P34" s="243">
        <f>IF(Table33[[#This Row],[Category]]="Insignia",Table33[[#This Row],[Account Deposit Amount]]-Table33[[#This Row],[Account Withdrawl Amount]], )</f>
        <v>0</v>
      </c>
      <c r="Q34" s="243">
        <f>IF(Table33[[#This Row],[Category]]="Activities/Program",Table33[[#This Row],[Account Deposit Amount]]-Table33[[#This Row],[Account Withdrawl Amount]], )</f>
        <v>0</v>
      </c>
      <c r="R34" s="243">
        <f>IF(Table33[[#This Row],[Category]]="Travel",Table33[[#This Row],[Account Deposit Amount]]-Table33[[#This Row],[Account Withdrawl Amount]], )</f>
        <v>0</v>
      </c>
      <c r="S34" s="243">
        <f>IF(Table33[[#This Row],[Category]]="Parties Food &amp; Beverages",Table33[[#This Row],[Account Deposit Amount]]-Table33[[#This Row],[Account Withdrawl Amount]], )</f>
        <v>0</v>
      </c>
      <c r="T34" s="243">
        <f>IF(Table33[[#This Row],[Category]]="Service Projects Donation",Table33[[#This Row],[Account Deposit Amount]]-Table33[[#This Row],[Account Withdrawl Amount]], )</f>
        <v>0</v>
      </c>
      <c r="U34" s="243">
        <f>IF(Table33[[#This Row],[Category]]="Cookie Debt",Table33[[#This Row],[Account Deposit Amount]]-Table33[[#This Row],[Account Withdrawl Amount]], )</f>
        <v>0</v>
      </c>
      <c r="V34" s="243">
        <f>IF(Table33[[#This Row],[Category]]="Other Expense",Table33[[#This Row],[Account Deposit Amount]]-Table33[[#This Row],[Account Withdrawl Amount]], )</f>
        <v>0</v>
      </c>
    </row>
    <row r="35" spans="1:22">
      <c r="A35" s="261"/>
      <c r="B35" s="249"/>
      <c r="C35" s="256"/>
      <c r="D35" s="247"/>
      <c r="E35" s="250"/>
      <c r="F35" s="257"/>
      <c r="G35" s="243">
        <f t="shared" si="2"/>
        <v>0</v>
      </c>
      <c r="H35" s="247"/>
      <c r="I35" s="243">
        <f>IF(Table33[[#This Row],[Category]]="Fall Product",Table33[[#This Row],[Account Deposit Amount]]-Table33[[#This Row],[Account Withdrawl Amount]], )</f>
        <v>0</v>
      </c>
      <c r="J35" s="243">
        <f>IF(Table33[[#This Row],[Category]]="Cookies",Table33[[#This Row],[Account Deposit Amount]]-Table33[[#This Row],[Account Withdrawl Amount]], )</f>
        <v>0</v>
      </c>
      <c r="K35" s="243">
        <f>IF(Table33[[#This Row],[Category]]="Additional Money Earning Activities",Table33[[#This Row],[Account Deposit Amount]]-Table33[[#This Row],[Account Withdrawl Amount]], )</f>
        <v>0</v>
      </c>
      <c r="L35" s="243">
        <f>IF(Table33[[#This Row],[Category]]="Sponsorships",Table33[[#This Row],[Account Deposit Amount]]-Table33[[#This Row],[Account Withdrawl Amount]], )</f>
        <v>0</v>
      </c>
      <c r="M35" s="243">
        <f>IF(Table33[[#This Row],[Category]]="Troop Dues",Table33[[#This Row],[Account Deposit Amount]]-Table33[[#This Row],[Account Withdrawl Amount]], )</f>
        <v>0</v>
      </c>
      <c r="N35" s="243">
        <f>IF(Table33[[#This Row],[Category]]="Other Income",Table33[[#This Row],[Account Deposit Amount]]-Table33[[#This Row],[Account Withdrawl Amount]], )</f>
        <v>0</v>
      </c>
      <c r="O35" s="243">
        <f>IF(Table33[[#This Row],[Category]]="Registration",Table33[[#This Row],[Account Deposit Amount]]-Table33[[#This Row],[Account Withdrawl Amount]], )</f>
        <v>0</v>
      </c>
      <c r="P35" s="243">
        <f>IF(Table33[[#This Row],[Category]]="Insignia",Table33[[#This Row],[Account Deposit Amount]]-Table33[[#This Row],[Account Withdrawl Amount]], )</f>
        <v>0</v>
      </c>
      <c r="Q35" s="243">
        <f>IF(Table33[[#This Row],[Category]]="Activities/Program",Table33[[#This Row],[Account Deposit Amount]]-Table33[[#This Row],[Account Withdrawl Amount]], )</f>
        <v>0</v>
      </c>
      <c r="R35" s="243">
        <f>IF(Table33[[#This Row],[Category]]="Travel",Table33[[#This Row],[Account Deposit Amount]]-Table33[[#This Row],[Account Withdrawl Amount]], )</f>
        <v>0</v>
      </c>
      <c r="S35" s="243">
        <f>IF(Table33[[#This Row],[Category]]="Parties Food &amp; Beverages",Table33[[#This Row],[Account Deposit Amount]]-Table33[[#This Row],[Account Withdrawl Amount]], )</f>
        <v>0</v>
      </c>
      <c r="T35" s="243">
        <f>IF(Table33[[#This Row],[Category]]="Service Projects Donation",Table33[[#This Row],[Account Deposit Amount]]-Table33[[#This Row],[Account Withdrawl Amount]], )</f>
        <v>0</v>
      </c>
      <c r="U35" s="243">
        <f>IF(Table33[[#This Row],[Category]]="Cookie Debt",Table33[[#This Row],[Account Deposit Amount]]-Table33[[#This Row],[Account Withdrawl Amount]], )</f>
        <v>0</v>
      </c>
      <c r="V35" s="243">
        <f>IF(Table33[[#This Row],[Category]]="Other Expense",Table33[[#This Row],[Account Deposit Amount]]-Table33[[#This Row],[Account Withdrawl Amount]], )</f>
        <v>0</v>
      </c>
    </row>
    <row r="36" spans="1:22">
      <c r="A36" s="262"/>
      <c r="B36" s="252"/>
      <c r="C36" s="253"/>
      <c r="D36" s="248"/>
      <c r="E36" s="254"/>
      <c r="F36" s="255"/>
      <c r="G36" s="243">
        <f t="shared" si="2"/>
        <v>0</v>
      </c>
      <c r="H36" s="248"/>
      <c r="I36" s="243">
        <f>IF(Table33[[#This Row],[Category]]="Fall Product",Table33[[#This Row],[Account Deposit Amount]]-Table33[[#This Row],[Account Withdrawl Amount]], )</f>
        <v>0</v>
      </c>
      <c r="J36" s="243">
        <f>IF(Table33[[#This Row],[Category]]="Cookies",Table33[[#This Row],[Account Deposit Amount]]-Table33[[#This Row],[Account Withdrawl Amount]], )</f>
        <v>0</v>
      </c>
      <c r="K36" s="243">
        <f>IF(Table33[[#This Row],[Category]]="Additional Money Earning Activities",Table33[[#This Row],[Account Deposit Amount]]-Table33[[#This Row],[Account Withdrawl Amount]], )</f>
        <v>0</v>
      </c>
      <c r="L36" s="243">
        <f>IF(Table33[[#This Row],[Category]]="Sponsorships",Table33[[#This Row],[Account Deposit Amount]]-Table33[[#This Row],[Account Withdrawl Amount]], )</f>
        <v>0</v>
      </c>
      <c r="M36" s="243">
        <f>IF(Table33[[#This Row],[Category]]="Troop Dues",Table33[[#This Row],[Account Deposit Amount]]-Table33[[#This Row],[Account Withdrawl Amount]], )</f>
        <v>0</v>
      </c>
      <c r="N36" s="243">
        <f>IF(Table33[[#This Row],[Category]]="Other Income",Table33[[#This Row],[Account Deposit Amount]]-Table33[[#This Row],[Account Withdrawl Amount]], )</f>
        <v>0</v>
      </c>
      <c r="O36" s="243">
        <f>IF(Table33[[#This Row],[Category]]="Registration",Table33[[#This Row],[Account Deposit Amount]]-Table33[[#This Row],[Account Withdrawl Amount]], )</f>
        <v>0</v>
      </c>
      <c r="P36" s="243">
        <f>IF(Table33[[#This Row],[Category]]="Insignia",Table33[[#This Row],[Account Deposit Amount]]-Table33[[#This Row],[Account Withdrawl Amount]], )</f>
        <v>0</v>
      </c>
      <c r="Q36" s="243">
        <f>IF(Table33[[#This Row],[Category]]="Activities/Program",Table33[[#This Row],[Account Deposit Amount]]-Table33[[#This Row],[Account Withdrawl Amount]], )</f>
        <v>0</v>
      </c>
      <c r="R36" s="243">
        <f>IF(Table33[[#This Row],[Category]]="Travel",Table33[[#This Row],[Account Deposit Amount]]-Table33[[#This Row],[Account Withdrawl Amount]], )</f>
        <v>0</v>
      </c>
      <c r="S36" s="243">
        <f>IF(Table33[[#This Row],[Category]]="Parties Food &amp; Beverages",Table33[[#This Row],[Account Deposit Amount]]-Table33[[#This Row],[Account Withdrawl Amount]], )</f>
        <v>0</v>
      </c>
      <c r="T36" s="243">
        <f>IF(Table33[[#This Row],[Category]]="Service Projects Donation",Table33[[#This Row],[Account Deposit Amount]]-Table33[[#This Row],[Account Withdrawl Amount]], )</f>
        <v>0</v>
      </c>
      <c r="U36" s="243">
        <f>IF(Table33[[#This Row],[Category]]="Cookie Debt",Table33[[#This Row],[Account Deposit Amount]]-Table33[[#This Row],[Account Withdrawl Amount]], )</f>
        <v>0</v>
      </c>
      <c r="V36" s="243">
        <f>IF(Table33[[#This Row],[Category]]="Other Expense",Table33[[#This Row],[Account Deposit Amount]]-Table33[[#This Row],[Account Withdrawl Amount]], )</f>
        <v>0</v>
      </c>
    </row>
    <row r="37" spans="1:22">
      <c r="A37" s="225"/>
      <c r="B37" s="249"/>
      <c r="C37" s="256"/>
      <c r="D37" s="247"/>
      <c r="E37" s="250"/>
      <c r="F37" s="257"/>
      <c r="G37" s="243">
        <f t="shared" si="2"/>
        <v>0</v>
      </c>
      <c r="H37" s="247"/>
      <c r="I37" s="243">
        <f>IF(Table33[[#This Row],[Category]]="Fall Product",Table33[[#This Row],[Account Deposit Amount]]-Table33[[#This Row],[Account Withdrawl Amount]], )</f>
        <v>0</v>
      </c>
      <c r="J37" s="243">
        <f>IF(Table33[[#This Row],[Category]]="Cookies",Table33[[#This Row],[Account Deposit Amount]]-Table33[[#This Row],[Account Withdrawl Amount]], )</f>
        <v>0</v>
      </c>
      <c r="K37" s="243">
        <f>IF(Table33[[#This Row],[Category]]="Additional Money Earning Activities",Table33[[#This Row],[Account Deposit Amount]]-Table33[[#This Row],[Account Withdrawl Amount]], )</f>
        <v>0</v>
      </c>
      <c r="L37" s="243">
        <f>IF(Table33[[#This Row],[Category]]="Sponsorships",Table33[[#This Row],[Account Deposit Amount]]-Table33[[#This Row],[Account Withdrawl Amount]], )</f>
        <v>0</v>
      </c>
      <c r="M37" s="243">
        <f>IF(Table33[[#This Row],[Category]]="Troop Dues",Table33[[#This Row],[Account Deposit Amount]]-Table33[[#This Row],[Account Withdrawl Amount]], )</f>
        <v>0</v>
      </c>
      <c r="N37" s="243">
        <f>IF(Table33[[#This Row],[Category]]="Other Income",Table33[[#This Row],[Account Deposit Amount]]-Table33[[#This Row],[Account Withdrawl Amount]], )</f>
        <v>0</v>
      </c>
      <c r="O37" s="243">
        <f>IF(Table33[[#This Row],[Category]]="Registration",Table33[[#This Row],[Account Deposit Amount]]-Table33[[#This Row],[Account Withdrawl Amount]], )</f>
        <v>0</v>
      </c>
      <c r="P37" s="243">
        <f>IF(Table33[[#This Row],[Category]]="Insignia",Table33[[#This Row],[Account Deposit Amount]]-Table33[[#This Row],[Account Withdrawl Amount]], )</f>
        <v>0</v>
      </c>
      <c r="Q37" s="243">
        <f>IF(Table33[[#This Row],[Category]]="Activities/Program",Table33[[#This Row],[Account Deposit Amount]]-Table33[[#This Row],[Account Withdrawl Amount]], )</f>
        <v>0</v>
      </c>
      <c r="R37" s="243">
        <f>IF(Table33[[#This Row],[Category]]="Travel",Table33[[#This Row],[Account Deposit Amount]]-Table33[[#This Row],[Account Withdrawl Amount]], )</f>
        <v>0</v>
      </c>
      <c r="S37" s="243">
        <f>IF(Table33[[#This Row],[Category]]="Parties Food &amp; Beverages",Table33[[#This Row],[Account Deposit Amount]]-Table33[[#This Row],[Account Withdrawl Amount]], )</f>
        <v>0</v>
      </c>
      <c r="T37" s="243">
        <f>IF(Table33[[#This Row],[Category]]="Service Projects Donation",Table33[[#This Row],[Account Deposit Amount]]-Table33[[#This Row],[Account Withdrawl Amount]], )</f>
        <v>0</v>
      </c>
      <c r="U37" s="243">
        <f>IF(Table33[[#This Row],[Category]]="Cookie Debt",Table33[[#This Row],[Account Deposit Amount]]-Table33[[#This Row],[Account Withdrawl Amount]], )</f>
        <v>0</v>
      </c>
      <c r="V37" s="243">
        <f>IF(Table33[[#This Row],[Category]]="Other Expense",Table33[[#This Row],[Account Deposit Amount]]-Table33[[#This Row],[Account Withdrawl Amount]], )</f>
        <v>0</v>
      </c>
    </row>
    <row r="38" spans="1:22">
      <c r="A38" s="225"/>
      <c r="B38" s="252"/>
      <c r="C38" s="253"/>
      <c r="D38" s="248"/>
      <c r="E38" s="258"/>
      <c r="F38" s="254"/>
      <c r="G38" s="243">
        <f t="shared" si="2"/>
        <v>0</v>
      </c>
      <c r="H38" s="248"/>
      <c r="I38" s="243">
        <f>IF(Table33[[#This Row],[Category]]="Fall Product",Table33[[#This Row],[Account Deposit Amount]]-Table33[[#This Row],[Account Withdrawl Amount]], )</f>
        <v>0</v>
      </c>
      <c r="J38" s="243">
        <f>IF(Table33[[#This Row],[Category]]="Cookies",Table33[[#This Row],[Account Deposit Amount]]-Table33[[#This Row],[Account Withdrawl Amount]], )</f>
        <v>0</v>
      </c>
      <c r="K38" s="243">
        <f>IF(Table33[[#This Row],[Category]]="Additional Money Earning Activities",Table33[[#This Row],[Account Deposit Amount]]-Table33[[#This Row],[Account Withdrawl Amount]], )</f>
        <v>0</v>
      </c>
      <c r="L38" s="243">
        <f>IF(Table33[[#This Row],[Category]]="Sponsorships",Table33[[#This Row],[Account Deposit Amount]]-Table33[[#This Row],[Account Withdrawl Amount]], )</f>
        <v>0</v>
      </c>
      <c r="M38" s="243">
        <f>IF(Table33[[#This Row],[Category]]="Troop Dues",Table33[[#This Row],[Account Deposit Amount]]-Table33[[#This Row],[Account Withdrawl Amount]], )</f>
        <v>0</v>
      </c>
      <c r="N38" s="243">
        <f>IF(Table33[[#This Row],[Category]]="Other Income",Table33[[#This Row],[Account Deposit Amount]]-Table33[[#This Row],[Account Withdrawl Amount]], )</f>
        <v>0</v>
      </c>
      <c r="O38" s="243">
        <f>IF(Table33[[#This Row],[Category]]="Registration",Table33[[#This Row],[Account Deposit Amount]]-Table33[[#This Row],[Account Withdrawl Amount]], )</f>
        <v>0</v>
      </c>
      <c r="P38" s="243">
        <f>IF(Table33[[#This Row],[Category]]="Insignia",Table33[[#This Row],[Account Deposit Amount]]-Table33[[#This Row],[Account Withdrawl Amount]], )</f>
        <v>0</v>
      </c>
      <c r="Q38" s="243">
        <f>IF(Table33[[#This Row],[Category]]="Activities/Program",Table33[[#This Row],[Account Deposit Amount]]-Table33[[#This Row],[Account Withdrawl Amount]], )</f>
        <v>0</v>
      </c>
      <c r="R38" s="243">
        <f>IF(Table33[[#This Row],[Category]]="Travel",Table33[[#This Row],[Account Deposit Amount]]-Table33[[#This Row],[Account Withdrawl Amount]], )</f>
        <v>0</v>
      </c>
      <c r="S38" s="243">
        <f>IF(Table33[[#This Row],[Category]]="Parties Food &amp; Beverages",Table33[[#This Row],[Account Deposit Amount]]-Table33[[#This Row],[Account Withdrawl Amount]], )</f>
        <v>0</v>
      </c>
      <c r="T38" s="243">
        <f>IF(Table33[[#This Row],[Category]]="Service Projects Donation",Table33[[#This Row],[Account Deposit Amount]]-Table33[[#This Row],[Account Withdrawl Amount]], )</f>
        <v>0</v>
      </c>
      <c r="U38" s="243">
        <f>IF(Table33[[#This Row],[Category]]="Cookie Debt",Table33[[#This Row],[Account Deposit Amount]]-Table33[[#This Row],[Account Withdrawl Amount]], )</f>
        <v>0</v>
      </c>
      <c r="V38" s="243">
        <f>IF(Table33[[#This Row],[Category]]="Other Expense",Table33[[#This Row],[Account Deposit Amount]]-Table33[[#This Row],[Account Withdrawl Amount]], )</f>
        <v>0</v>
      </c>
    </row>
    <row r="39" spans="1:22">
      <c r="A39" s="225"/>
      <c r="B39" s="249"/>
      <c r="C39" s="256"/>
      <c r="D39" s="247"/>
      <c r="E39" s="251"/>
      <c r="F39" s="250"/>
      <c r="G39" s="243">
        <f t="shared" si="2"/>
        <v>0</v>
      </c>
      <c r="H39" s="247"/>
      <c r="I39" s="243">
        <f>IF(Table33[[#This Row],[Category]]="Fall Product",Table33[[#This Row],[Account Deposit Amount]]-Table33[[#This Row],[Account Withdrawl Amount]], )</f>
        <v>0</v>
      </c>
      <c r="J39" s="243">
        <f>IF(Table33[[#This Row],[Category]]="Cookies",Table33[[#This Row],[Account Deposit Amount]]-Table33[[#This Row],[Account Withdrawl Amount]], )</f>
        <v>0</v>
      </c>
      <c r="K39" s="243">
        <f>IF(Table33[[#This Row],[Category]]="Additional Money Earning Activities",Table33[[#This Row],[Account Deposit Amount]]-Table33[[#This Row],[Account Withdrawl Amount]], )</f>
        <v>0</v>
      </c>
      <c r="L39" s="243">
        <f>IF(Table33[[#This Row],[Category]]="Sponsorships",Table33[[#This Row],[Account Deposit Amount]]-Table33[[#This Row],[Account Withdrawl Amount]], )</f>
        <v>0</v>
      </c>
      <c r="M39" s="243">
        <f>IF(Table33[[#This Row],[Category]]="Troop Dues",Table33[[#This Row],[Account Deposit Amount]]-Table33[[#This Row],[Account Withdrawl Amount]], )</f>
        <v>0</v>
      </c>
      <c r="N39" s="243">
        <f>IF(Table33[[#This Row],[Category]]="Other Income",Table33[[#This Row],[Account Deposit Amount]]-Table33[[#This Row],[Account Withdrawl Amount]], )</f>
        <v>0</v>
      </c>
      <c r="O39" s="243">
        <f>IF(Table33[[#This Row],[Category]]="Registration",Table33[[#This Row],[Account Deposit Amount]]-Table33[[#This Row],[Account Withdrawl Amount]], )</f>
        <v>0</v>
      </c>
      <c r="P39" s="243">
        <f>IF(Table33[[#This Row],[Category]]="Insignia",Table33[[#This Row],[Account Deposit Amount]]-Table33[[#This Row],[Account Withdrawl Amount]], )</f>
        <v>0</v>
      </c>
      <c r="Q39" s="243">
        <f>IF(Table33[[#This Row],[Category]]="Activities/Program",Table33[[#This Row],[Account Deposit Amount]]-Table33[[#This Row],[Account Withdrawl Amount]], )</f>
        <v>0</v>
      </c>
      <c r="R39" s="243">
        <f>IF(Table33[[#This Row],[Category]]="Travel",Table33[[#This Row],[Account Deposit Amount]]-Table33[[#This Row],[Account Withdrawl Amount]], )</f>
        <v>0</v>
      </c>
      <c r="S39" s="243">
        <f>IF(Table33[[#This Row],[Category]]="Parties Food &amp; Beverages",Table33[[#This Row],[Account Deposit Amount]]-Table33[[#This Row],[Account Withdrawl Amount]], )</f>
        <v>0</v>
      </c>
      <c r="T39" s="243">
        <f>IF(Table33[[#This Row],[Category]]="Service Projects Donation",Table33[[#This Row],[Account Deposit Amount]]-Table33[[#This Row],[Account Withdrawl Amount]], )</f>
        <v>0</v>
      </c>
      <c r="U39" s="243">
        <f>IF(Table33[[#This Row],[Category]]="Cookie Debt",Table33[[#This Row],[Account Deposit Amount]]-Table33[[#This Row],[Account Withdrawl Amount]], )</f>
        <v>0</v>
      </c>
      <c r="V39" s="243">
        <f>IF(Table33[[#This Row],[Category]]="Other Expense",Table33[[#This Row],[Account Deposit Amount]]-Table33[[#This Row],[Account Withdrawl Amount]], )</f>
        <v>0</v>
      </c>
    </row>
    <row r="40" spans="1:22">
      <c r="A40" s="225"/>
      <c r="B40" s="252"/>
      <c r="C40" s="253"/>
      <c r="D40" s="248"/>
      <c r="E40" s="254"/>
      <c r="F40" s="255"/>
      <c r="G40" s="243">
        <f t="shared" si="2"/>
        <v>0</v>
      </c>
      <c r="H40" s="248"/>
      <c r="I40" s="243">
        <f>IF(Table33[[#This Row],[Category]]="Fall Product",Table33[[#This Row],[Account Deposit Amount]]-Table33[[#This Row],[Account Withdrawl Amount]], )</f>
        <v>0</v>
      </c>
      <c r="J40" s="243">
        <f>IF(Table33[[#This Row],[Category]]="Cookies",Table33[[#This Row],[Account Deposit Amount]]-Table33[[#This Row],[Account Withdrawl Amount]], )</f>
        <v>0</v>
      </c>
      <c r="K40" s="243">
        <f>IF(Table33[[#This Row],[Category]]="Additional Money Earning Activities",Table33[[#This Row],[Account Deposit Amount]]-Table33[[#This Row],[Account Withdrawl Amount]], )</f>
        <v>0</v>
      </c>
      <c r="L40" s="243">
        <f>IF(Table33[[#This Row],[Category]]="Sponsorships",Table33[[#This Row],[Account Deposit Amount]]-Table33[[#This Row],[Account Withdrawl Amount]], )</f>
        <v>0</v>
      </c>
      <c r="M40" s="243">
        <f>IF(Table33[[#This Row],[Category]]="Troop Dues",Table33[[#This Row],[Account Deposit Amount]]-Table33[[#This Row],[Account Withdrawl Amount]], )</f>
        <v>0</v>
      </c>
      <c r="N40" s="243">
        <f>IF(Table33[[#This Row],[Category]]="Other Income",Table33[[#This Row],[Account Deposit Amount]]-Table33[[#This Row],[Account Withdrawl Amount]], )</f>
        <v>0</v>
      </c>
      <c r="O40" s="243">
        <f>IF(Table33[[#This Row],[Category]]="Registration",Table33[[#This Row],[Account Deposit Amount]]-Table33[[#This Row],[Account Withdrawl Amount]], )</f>
        <v>0</v>
      </c>
      <c r="P40" s="243">
        <f>IF(Table33[[#This Row],[Category]]="Insignia",Table33[[#This Row],[Account Deposit Amount]]-Table33[[#This Row],[Account Withdrawl Amount]], )</f>
        <v>0</v>
      </c>
      <c r="Q40" s="243">
        <f>IF(Table33[[#This Row],[Category]]="Activities/Program",Table33[[#This Row],[Account Deposit Amount]]-Table33[[#This Row],[Account Withdrawl Amount]], )</f>
        <v>0</v>
      </c>
      <c r="R40" s="243">
        <f>IF(Table33[[#This Row],[Category]]="Travel",Table33[[#This Row],[Account Deposit Amount]]-Table33[[#This Row],[Account Withdrawl Amount]], )</f>
        <v>0</v>
      </c>
      <c r="S40" s="243">
        <f>IF(Table33[[#This Row],[Category]]="Parties Food &amp; Beverages",Table33[[#This Row],[Account Deposit Amount]]-Table33[[#This Row],[Account Withdrawl Amount]], )</f>
        <v>0</v>
      </c>
      <c r="T40" s="243">
        <f>IF(Table33[[#This Row],[Category]]="Service Projects Donation",Table33[[#This Row],[Account Deposit Amount]]-Table33[[#This Row],[Account Withdrawl Amount]], )</f>
        <v>0</v>
      </c>
      <c r="U40" s="243">
        <f>IF(Table33[[#This Row],[Category]]="Cookie Debt",Table33[[#This Row],[Account Deposit Amount]]-Table33[[#This Row],[Account Withdrawl Amount]], )</f>
        <v>0</v>
      </c>
      <c r="V40" s="243">
        <f>IF(Table33[[#This Row],[Category]]="Other Expense",Table33[[#This Row],[Account Deposit Amount]]-Table33[[#This Row],[Account Withdrawl Amount]], )</f>
        <v>0</v>
      </c>
    </row>
    <row r="41" spans="1:22">
      <c r="A41" s="225"/>
      <c r="B41" s="249"/>
      <c r="C41" s="256"/>
      <c r="D41" s="247"/>
      <c r="E41" s="250"/>
      <c r="F41" s="257"/>
      <c r="G41" s="243">
        <f t="shared" si="2"/>
        <v>0</v>
      </c>
      <c r="H41" s="247"/>
      <c r="I41" s="243">
        <f>IF(Table33[[#This Row],[Category]]="Fall Product",Table33[[#This Row],[Account Deposit Amount]]-Table33[[#This Row],[Account Withdrawl Amount]], )</f>
        <v>0</v>
      </c>
      <c r="J41" s="243">
        <f>IF(Table33[[#This Row],[Category]]="Cookies",Table33[[#This Row],[Account Deposit Amount]]-Table33[[#This Row],[Account Withdrawl Amount]], )</f>
        <v>0</v>
      </c>
      <c r="K41" s="243">
        <f>IF(Table33[[#This Row],[Category]]="Additional Money Earning Activities",Table33[[#This Row],[Account Deposit Amount]]-Table33[[#This Row],[Account Withdrawl Amount]], )</f>
        <v>0</v>
      </c>
      <c r="L41" s="243">
        <f>IF(Table33[[#This Row],[Category]]="Sponsorships",Table33[[#This Row],[Account Deposit Amount]]-Table33[[#This Row],[Account Withdrawl Amount]], )</f>
        <v>0</v>
      </c>
      <c r="M41" s="243">
        <f>IF(Table33[[#This Row],[Category]]="Troop Dues",Table33[[#This Row],[Account Deposit Amount]]-Table33[[#This Row],[Account Withdrawl Amount]], )</f>
        <v>0</v>
      </c>
      <c r="N41" s="243">
        <f>IF(Table33[[#This Row],[Category]]="Other Income",Table33[[#This Row],[Account Deposit Amount]]-Table33[[#This Row],[Account Withdrawl Amount]], )</f>
        <v>0</v>
      </c>
      <c r="O41" s="243">
        <f>IF(Table33[[#This Row],[Category]]="Registration",Table33[[#This Row],[Account Deposit Amount]]-Table33[[#This Row],[Account Withdrawl Amount]], )</f>
        <v>0</v>
      </c>
      <c r="P41" s="243">
        <f>IF(Table33[[#This Row],[Category]]="Insignia",Table33[[#This Row],[Account Deposit Amount]]-Table33[[#This Row],[Account Withdrawl Amount]], )</f>
        <v>0</v>
      </c>
      <c r="Q41" s="243">
        <f>IF(Table33[[#This Row],[Category]]="Activities/Program",Table33[[#This Row],[Account Deposit Amount]]-Table33[[#This Row],[Account Withdrawl Amount]], )</f>
        <v>0</v>
      </c>
      <c r="R41" s="243">
        <f>IF(Table33[[#This Row],[Category]]="Travel",Table33[[#This Row],[Account Deposit Amount]]-Table33[[#This Row],[Account Withdrawl Amount]], )</f>
        <v>0</v>
      </c>
      <c r="S41" s="243">
        <f>IF(Table33[[#This Row],[Category]]="Parties Food &amp; Beverages",Table33[[#This Row],[Account Deposit Amount]]-Table33[[#This Row],[Account Withdrawl Amount]], )</f>
        <v>0</v>
      </c>
      <c r="T41" s="243">
        <f>IF(Table33[[#This Row],[Category]]="Service Projects Donation",Table33[[#This Row],[Account Deposit Amount]]-Table33[[#This Row],[Account Withdrawl Amount]], )</f>
        <v>0</v>
      </c>
      <c r="U41" s="243">
        <f>IF(Table33[[#This Row],[Category]]="Cookie Debt",Table33[[#This Row],[Account Deposit Amount]]-Table33[[#This Row],[Account Withdrawl Amount]], )</f>
        <v>0</v>
      </c>
      <c r="V41" s="243">
        <f>IF(Table33[[#This Row],[Category]]="Other Expense",Table33[[#This Row],[Account Deposit Amount]]-Table33[[#This Row],[Account Withdrawl Amount]], )</f>
        <v>0</v>
      </c>
    </row>
    <row r="42" spans="1:22">
      <c r="A42" s="225"/>
      <c r="B42" s="252"/>
      <c r="C42" s="253"/>
      <c r="D42" s="248"/>
      <c r="E42" s="258"/>
      <c r="F42" s="254"/>
      <c r="G42" s="243">
        <f t="shared" si="2"/>
        <v>0</v>
      </c>
      <c r="H42" s="248"/>
      <c r="I42" s="243">
        <f>IF(Table33[[#This Row],[Category]]="Fall Product",Table33[[#This Row],[Account Deposit Amount]]-Table33[[#This Row],[Account Withdrawl Amount]], )</f>
        <v>0</v>
      </c>
      <c r="J42" s="243">
        <f>IF(Table33[[#This Row],[Category]]="Cookies",Table33[[#This Row],[Account Deposit Amount]]-Table33[[#This Row],[Account Withdrawl Amount]], )</f>
        <v>0</v>
      </c>
      <c r="K42" s="243">
        <f>IF(Table33[[#This Row],[Category]]="Additional Money Earning Activities",Table33[[#This Row],[Account Deposit Amount]]-Table33[[#This Row],[Account Withdrawl Amount]], )</f>
        <v>0</v>
      </c>
      <c r="L42" s="243">
        <f>IF(Table33[[#This Row],[Category]]="Sponsorships",Table33[[#This Row],[Account Deposit Amount]]-Table33[[#This Row],[Account Withdrawl Amount]], )</f>
        <v>0</v>
      </c>
      <c r="M42" s="243">
        <f>IF(Table33[[#This Row],[Category]]="Troop Dues",Table33[[#This Row],[Account Deposit Amount]]-Table33[[#This Row],[Account Withdrawl Amount]], )</f>
        <v>0</v>
      </c>
      <c r="N42" s="243">
        <f>IF(Table33[[#This Row],[Category]]="Other Income",Table33[[#This Row],[Account Deposit Amount]]-Table33[[#This Row],[Account Withdrawl Amount]], )</f>
        <v>0</v>
      </c>
      <c r="O42" s="243">
        <f>IF(Table33[[#This Row],[Category]]="Registration",Table33[[#This Row],[Account Deposit Amount]]-Table33[[#This Row],[Account Withdrawl Amount]], )</f>
        <v>0</v>
      </c>
      <c r="P42" s="243">
        <f>IF(Table33[[#This Row],[Category]]="Insignia",Table33[[#This Row],[Account Deposit Amount]]-Table33[[#This Row],[Account Withdrawl Amount]], )</f>
        <v>0</v>
      </c>
      <c r="Q42" s="243">
        <f>IF(Table33[[#This Row],[Category]]="Activities/Program",Table33[[#This Row],[Account Deposit Amount]]-Table33[[#This Row],[Account Withdrawl Amount]], )</f>
        <v>0</v>
      </c>
      <c r="R42" s="243">
        <f>IF(Table33[[#This Row],[Category]]="Travel",Table33[[#This Row],[Account Deposit Amount]]-Table33[[#This Row],[Account Withdrawl Amount]], )</f>
        <v>0</v>
      </c>
      <c r="S42" s="243">
        <f>IF(Table33[[#This Row],[Category]]="Parties Food &amp; Beverages",Table33[[#This Row],[Account Deposit Amount]]-Table33[[#This Row],[Account Withdrawl Amount]], )</f>
        <v>0</v>
      </c>
      <c r="T42" s="243">
        <f>IF(Table33[[#This Row],[Category]]="Service Projects Donation",Table33[[#This Row],[Account Deposit Amount]]-Table33[[#This Row],[Account Withdrawl Amount]], )</f>
        <v>0</v>
      </c>
      <c r="U42" s="243">
        <f>IF(Table33[[#This Row],[Category]]="Cookie Debt",Table33[[#This Row],[Account Deposit Amount]]-Table33[[#This Row],[Account Withdrawl Amount]], )</f>
        <v>0</v>
      </c>
      <c r="V42" s="243">
        <f>IF(Table33[[#This Row],[Category]]="Other Expense",Table33[[#This Row],[Account Deposit Amount]]-Table33[[#This Row],[Account Withdrawl Amount]], )</f>
        <v>0</v>
      </c>
    </row>
    <row r="43" spans="1:22">
      <c r="A43" s="225"/>
      <c r="B43" s="249"/>
      <c r="C43" s="256"/>
      <c r="D43" s="247"/>
      <c r="E43" s="250"/>
      <c r="F43" s="257"/>
      <c r="G43" s="243">
        <f t="shared" si="2"/>
        <v>0</v>
      </c>
      <c r="H43" s="247"/>
      <c r="I43" s="243">
        <f>IF(Table33[[#This Row],[Category]]="Fall Product",Table33[[#This Row],[Account Deposit Amount]]-Table33[[#This Row],[Account Withdrawl Amount]], )</f>
        <v>0</v>
      </c>
      <c r="J43" s="243">
        <f>IF(Table33[[#This Row],[Category]]="Cookies",Table33[[#This Row],[Account Deposit Amount]]-Table33[[#This Row],[Account Withdrawl Amount]], )</f>
        <v>0</v>
      </c>
      <c r="K43" s="243">
        <f>IF(Table33[[#This Row],[Category]]="Additional Money Earning Activities",Table33[[#This Row],[Account Deposit Amount]]-Table33[[#This Row],[Account Withdrawl Amount]], )</f>
        <v>0</v>
      </c>
      <c r="L43" s="243">
        <f>IF(Table33[[#This Row],[Category]]="Sponsorships",Table33[[#This Row],[Account Deposit Amount]]-Table33[[#This Row],[Account Withdrawl Amount]], )</f>
        <v>0</v>
      </c>
      <c r="M43" s="243">
        <f>IF(Table33[[#This Row],[Category]]="Troop Dues",Table33[[#This Row],[Account Deposit Amount]]-Table33[[#This Row],[Account Withdrawl Amount]], )</f>
        <v>0</v>
      </c>
      <c r="N43" s="243">
        <f>IF(Table33[[#This Row],[Category]]="Other Income",Table33[[#This Row],[Account Deposit Amount]]-Table33[[#This Row],[Account Withdrawl Amount]], )</f>
        <v>0</v>
      </c>
      <c r="O43" s="243">
        <f>IF(Table33[[#This Row],[Category]]="Registration",Table33[[#This Row],[Account Deposit Amount]]-Table33[[#This Row],[Account Withdrawl Amount]], )</f>
        <v>0</v>
      </c>
      <c r="P43" s="243">
        <f>IF(Table33[[#This Row],[Category]]="Insignia",Table33[[#This Row],[Account Deposit Amount]]-Table33[[#This Row],[Account Withdrawl Amount]], )</f>
        <v>0</v>
      </c>
      <c r="Q43" s="243">
        <f>IF(Table33[[#This Row],[Category]]="Activities/Program",Table33[[#This Row],[Account Deposit Amount]]-Table33[[#This Row],[Account Withdrawl Amount]], )</f>
        <v>0</v>
      </c>
      <c r="R43" s="243">
        <f>IF(Table33[[#This Row],[Category]]="Travel",Table33[[#This Row],[Account Deposit Amount]]-Table33[[#This Row],[Account Withdrawl Amount]], )</f>
        <v>0</v>
      </c>
      <c r="S43" s="243">
        <f>IF(Table33[[#This Row],[Category]]="Parties Food &amp; Beverages",Table33[[#This Row],[Account Deposit Amount]]-Table33[[#This Row],[Account Withdrawl Amount]], )</f>
        <v>0</v>
      </c>
      <c r="T43" s="243">
        <f>IF(Table33[[#This Row],[Category]]="Service Projects Donation",Table33[[#This Row],[Account Deposit Amount]]-Table33[[#This Row],[Account Withdrawl Amount]], )</f>
        <v>0</v>
      </c>
      <c r="U43" s="243">
        <f>IF(Table33[[#This Row],[Category]]="Cookie Debt",Table33[[#This Row],[Account Deposit Amount]]-Table33[[#This Row],[Account Withdrawl Amount]], )</f>
        <v>0</v>
      </c>
      <c r="V43" s="243">
        <f>IF(Table33[[#This Row],[Category]]="Other Expense",Table33[[#This Row],[Account Deposit Amount]]-Table33[[#This Row],[Account Withdrawl Amount]], )</f>
        <v>0</v>
      </c>
    </row>
    <row r="44" spans="1:22">
      <c r="A44" s="225"/>
      <c r="B44" s="252"/>
      <c r="C44" s="253"/>
      <c r="D44" s="248"/>
      <c r="E44" s="254"/>
      <c r="F44" s="255"/>
      <c r="G44" s="243">
        <f t="shared" si="2"/>
        <v>0</v>
      </c>
      <c r="H44" s="248"/>
      <c r="I44" s="243">
        <f>IF(Table33[[#This Row],[Category]]="Fall Product",Table33[[#This Row],[Account Deposit Amount]]-Table33[[#This Row],[Account Withdrawl Amount]], )</f>
        <v>0</v>
      </c>
      <c r="J44" s="243">
        <f>IF(Table33[[#This Row],[Category]]="Cookies",Table33[[#This Row],[Account Deposit Amount]]-Table33[[#This Row],[Account Withdrawl Amount]], )</f>
        <v>0</v>
      </c>
      <c r="K44" s="243">
        <f>IF(Table33[[#This Row],[Category]]="Additional Money Earning Activities",Table33[[#This Row],[Account Deposit Amount]]-Table33[[#This Row],[Account Withdrawl Amount]], )</f>
        <v>0</v>
      </c>
      <c r="L44" s="243">
        <f>IF(Table33[[#This Row],[Category]]="Sponsorships",Table33[[#This Row],[Account Deposit Amount]]-Table33[[#This Row],[Account Withdrawl Amount]], )</f>
        <v>0</v>
      </c>
      <c r="M44" s="243">
        <f>IF(Table33[[#This Row],[Category]]="Troop Dues",Table33[[#This Row],[Account Deposit Amount]]-Table33[[#This Row],[Account Withdrawl Amount]], )</f>
        <v>0</v>
      </c>
      <c r="N44" s="243">
        <f>IF(Table33[[#This Row],[Category]]="Other Income",Table33[[#This Row],[Account Deposit Amount]]-Table33[[#This Row],[Account Withdrawl Amount]], )</f>
        <v>0</v>
      </c>
      <c r="O44" s="243">
        <f>IF(Table33[[#This Row],[Category]]="Registration",Table33[[#This Row],[Account Deposit Amount]]-Table33[[#This Row],[Account Withdrawl Amount]], )</f>
        <v>0</v>
      </c>
      <c r="P44" s="243">
        <f>IF(Table33[[#This Row],[Category]]="Insignia",Table33[[#This Row],[Account Deposit Amount]]-Table33[[#This Row],[Account Withdrawl Amount]], )</f>
        <v>0</v>
      </c>
      <c r="Q44" s="243">
        <f>IF(Table33[[#This Row],[Category]]="Activities/Program",Table33[[#This Row],[Account Deposit Amount]]-Table33[[#This Row],[Account Withdrawl Amount]], )</f>
        <v>0</v>
      </c>
      <c r="R44" s="243">
        <f>IF(Table33[[#This Row],[Category]]="Travel",Table33[[#This Row],[Account Deposit Amount]]-Table33[[#This Row],[Account Withdrawl Amount]], )</f>
        <v>0</v>
      </c>
      <c r="S44" s="243">
        <f>IF(Table33[[#This Row],[Category]]="Parties Food &amp; Beverages",Table33[[#This Row],[Account Deposit Amount]]-Table33[[#This Row],[Account Withdrawl Amount]], )</f>
        <v>0</v>
      </c>
      <c r="T44" s="243">
        <f>IF(Table33[[#This Row],[Category]]="Service Projects Donation",Table33[[#This Row],[Account Deposit Amount]]-Table33[[#This Row],[Account Withdrawl Amount]], )</f>
        <v>0</v>
      </c>
      <c r="U44" s="243">
        <f>IF(Table33[[#This Row],[Category]]="Cookie Debt",Table33[[#This Row],[Account Deposit Amount]]-Table33[[#This Row],[Account Withdrawl Amount]], )</f>
        <v>0</v>
      </c>
      <c r="V44" s="243">
        <f>IF(Table33[[#This Row],[Category]]="Other Expense",Table33[[#This Row],[Account Deposit Amount]]-Table33[[#This Row],[Account Withdrawl Amount]], )</f>
        <v>0</v>
      </c>
    </row>
    <row r="45" spans="1:22">
      <c r="A45" s="225"/>
      <c r="B45" s="249"/>
      <c r="C45" s="256"/>
      <c r="D45" s="247"/>
      <c r="E45" s="250"/>
      <c r="F45" s="257"/>
      <c r="G45" s="243">
        <f t="shared" si="2"/>
        <v>0</v>
      </c>
      <c r="H45" s="247"/>
      <c r="I45" s="243">
        <f>IF(Table33[[#This Row],[Category]]="Fall Product",Table33[[#This Row],[Account Deposit Amount]]-Table33[[#This Row],[Account Withdrawl Amount]], )</f>
        <v>0</v>
      </c>
      <c r="J45" s="243">
        <f>IF(Table33[[#This Row],[Category]]="Cookies",Table33[[#This Row],[Account Deposit Amount]]-Table33[[#This Row],[Account Withdrawl Amount]], )</f>
        <v>0</v>
      </c>
      <c r="K45" s="243">
        <f>IF(Table33[[#This Row],[Category]]="Additional Money Earning Activities",Table33[[#This Row],[Account Deposit Amount]]-Table33[[#This Row],[Account Withdrawl Amount]], )</f>
        <v>0</v>
      </c>
      <c r="L45" s="243">
        <f>IF(Table33[[#This Row],[Category]]="Sponsorships",Table33[[#This Row],[Account Deposit Amount]]-Table33[[#This Row],[Account Withdrawl Amount]], )</f>
        <v>0</v>
      </c>
      <c r="M45" s="243">
        <f>IF(Table33[[#This Row],[Category]]="Troop Dues",Table33[[#This Row],[Account Deposit Amount]]-Table33[[#This Row],[Account Withdrawl Amount]], )</f>
        <v>0</v>
      </c>
      <c r="N45" s="243">
        <f>IF(Table33[[#This Row],[Category]]="Other Income",Table33[[#This Row],[Account Deposit Amount]]-Table33[[#This Row],[Account Withdrawl Amount]], )</f>
        <v>0</v>
      </c>
      <c r="O45" s="243">
        <f>IF(Table33[[#This Row],[Category]]="Registration",Table33[[#This Row],[Account Deposit Amount]]-Table33[[#This Row],[Account Withdrawl Amount]], )</f>
        <v>0</v>
      </c>
      <c r="P45" s="243">
        <f>IF(Table33[[#This Row],[Category]]="Insignia",Table33[[#This Row],[Account Deposit Amount]]-Table33[[#This Row],[Account Withdrawl Amount]], )</f>
        <v>0</v>
      </c>
      <c r="Q45" s="243">
        <f>IF(Table33[[#This Row],[Category]]="Activities/Program",Table33[[#This Row],[Account Deposit Amount]]-Table33[[#This Row],[Account Withdrawl Amount]], )</f>
        <v>0</v>
      </c>
      <c r="R45" s="243">
        <f>IF(Table33[[#This Row],[Category]]="Travel",Table33[[#This Row],[Account Deposit Amount]]-Table33[[#This Row],[Account Withdrawl Amount]], )</f>
        <v>0</v>
      </c>
      <c r="S45" s="243">
        <f>IF(Table33[[#This Row],[Category]]="Parties Food &amp; Beverages",Table33[[#This Row],[Account Deposit Amount]]-Table33[[#This Row],[Account Withdrawl Amount]], )</f>
        <v>0</v>
      </c>
      <c r="T45" s="243">
        <f>IF(Table33[[#This Row],[Category]]="Service Projects Donation",Table33[[#This Row],[Account Deposit Amount]]-Table33[[#This Row],[Account Withdrawl Amount]], )</f>
        <v>0</v>
      </c>
      <c r="U45" s="243">
        <f>IF(Table33[[#This Row],[Category]]="Cookie Debt",Table33[[#This Row],[Account Deposit Amount]]-Table33[[#This Row],[Account Withdrawl Amount]], )</f>
        <v>0</v>
      </c>
      <c r="V45" s="243">
        <f>IF(Table33[[#This Row],[Category]]="Other Expense",Table33[[#This Row],[Account Deposit Amount]]-Table33[[#This Row],[Account Withdrawl Amount]], )</f>
        <v>0</v>
      </c>
    </row>
    <row r="46" spans="1:22">
      <c r="A46" s="225"/>
      <c r="B46" s="252"/>
      <c r="C46" s="253"/>
      <c r="D46" s="248"/>
      <c r="E46" s="254"/>
      <c r="F46" s="255"/>
      <c r="G46" s="243">
        <f t="shared" si="2"/>
        <v>0</v>
      </c>
      <c r="H46" s="248"/>
      <c r="I46" s="243">
        <f>IF(Table33[[#This Row],[Category]]="Fall Product",Table33[[#This Row],[Account Deposit Amount]]-Table33[[#This Row],[Account Withdrawl Amount]], )</f>
        <v>0</v>
      </c>
      <c r="J46" s="243">
        <f>IF(Table33[[#This Row],[Category]]="Cookies",Table33[[#This Row],[Account Deposit Amount]]-Table33[[#This Row],[Account Withdrawl Amount]], )</f>
        <v>0</v>
      </c>
      <c r="K46" s="243">
        <f>IF(Table33[[#This Row],[Category]]="Additional Money Earning Activities",Table33[[#This Row],[Account Deposit Amount]]-Table33[[#This Row],[Account Withdrawl Amount]], )</f>
        <v>0</v>
      </c>
      <c r="L46" s="243">
        <f>IF(Table33[[#This Row],[Category]]="Sponsorships",Table33[[#This Row],[Account Deposit Amount]]-Table33[[#This Row],[Account Withdrawl Amount]], )</f>
        <v>0</v>
      </c>
      <c r="M46" s="243">
        <f>IF(Table33[[#This Row],[Category]]="Troop Dues",Table33[[#This Row],[Account Deposit Amount]]-Table33[[#This Row],[Account Withdrawl Amount]], )</f>
        <v>0</v>
      </c>
      <c r="N46" s="243">
        <f>IF(Table33[[#This Row],[Category]]="Other Income",Table33[[#This Row],[Account Deposit Amount]]-Table33[[#This Row],[Account Withdrawl Amount]], )</f>
        <v>0</v>
      </c>
      <c r="O46" s="243">
        <f>IF(Table33[[#This Row],[Category]]="Registration",Table33[[#This Row],[Account Deposit Amount]]-Table33[[#This Row],[Account Withdrawl Amount]], )</f>
        <v>0</v>
      </c>
      <c r="P46" s="243">
        <f>IF(Table33[[#This Row],[Category]]="Insignia",Table33[[#This Row],[Account Deposit Amount]]-Table33[[#This Row],[Account Withdrawl Amount]], )</f>
        <v>0</v>
      </c>
      <c r="Q46" s="243">
        <f>IF(Table33[[#This Row],[Category]]="Activities/Program",Table33[[#This Row],[Account Deposit Amount]]-Table33[[#This Row],[Account Withdrawl Amount]], )</f>
        <v>0</v>
      </c>
      <c r="R46" s="243">
        <f>IF(Table33[[#This Row],[Category]]="Travel",Table33[[#This Row],[Account Deposit Amount]]-Table33[[#This Row],[Account Withdrawl Amount]], )</f>
        <v>0</v>
      </c>
      <c r="S46" s="243">
        <f>IF(Table33[[#This Row],[Category]]="Parties Food &amp; Beverages",Table33[[#This Row],[Account Deposit Amount]]-Table33[[#This Row],[Account Withdrawl Amount]], )</f>
        <v>0</v>
      </c>
      <c r="T46" s="243">
        <f>IF(Table33[[#This Row],[Category]]="Service Projects Donation",Table33[[#This Row],[Account Deposit Amount]]-Table33[[#This Row],[Account Withdrawl Amount]], )</f>
        <v>0</v>
      </c>
      <c r="U46" s="243">
        <f>IF(Table33[[#This Row],[Category]]="Cookie Debt",Table33[[#This Row],[Account Deposit Amount]]-Table33[[#This Row],[Account Withdrawl Amount]], )</f>
        <v>0</v>
      </c>
      <c r="V46" s="243">
        <f>IF(Table33[[#This Row],[Category]]="Other Expense",Table33[[#This Row],[Account Deposit Amount]]-Table33[[#This Row],[Account Withdrawl Amount]], )</f>
        <v>0</v>
      </c>
    </row>
    <row r="47" spans="1:22">
      <c r="A47" s="225"/>
      <c r="B47" s="249"/>
      <c r="C47" s="256"/>
      <c r="D47" s="247"/>
      <c r="E47" s="250"/>
      <c r="F47" s="257"/>
      <c r="G47" s="243">
        <f t="shared" si="2"/>
        <v>0</v>
      </c>
      <c r="H47" s="247"/>
      <c r="I47" s="243">
        <f>IF(Table33[[#This Row],[Category]]="Fall Product",Table33[[#This Row],[Account Deposit Amount]]-Table33[[#This Row],[Account Withdrawl Amount]], )</f>
        <v>0</v>
      </c>
      <c r="J47" s="243">
        <f>IF(Table33[[#This Row],[Category]]="Cookies",Table33[[#This Row],[Account Deposit Amount]]-Table33[[#This Row],[Account Withdrawl Amount]], )</f>
        <v>0</v>
      </c>
      <c r="K47" s="243">
        <f>IF(Table33[[#This Row],[Category]]="Additional Money Earning Activities",Table33[[#This Row],[Account Deposit Amount]]-Table33[[#This Row],[Account Withdrawl Amount]], )</f>
        <v>0</v>
      </c>
      <c r="L47" s="243">
        <f>IF(Table33[[#This Row],[Category]]="Sponsorships",Table33[[#This Row],[Account Deposit Amount]]-Table33[[#This Row],[Account Withdrawl Amount]], )</f>
        <v>0</v>
      </c>
      <c r="M47" s="243">
        <f>IF(Table33[[#This Row],[Category]]="Troop Dues",Table33[[#This Row],[Account Deposit Amount]]-Table33[[#This Row],[Account Withdrawl Amount]], )</f>
        <v>0</v>
      </c>
      <c r="N47" s="243">
        <f>IF(Table33[[#This Row],[Category]]="Other Income",Table33[[#This Row],[Account Deposit Amount]]-Table33[[#This Row],[Account Withdrawl Amount]], )</f>
        <v>0</v>
      </c>
      <c r="O47" s="243">
        <f>IF(Table33[[#This Row],[Category]]="Registration",Table33[[#This Row],[Account Deposit Amount]]-Table33[[#This Row],[Account Withdrawl Amount]], )</f>
        <v>0</v>
      </c>
      <c r="P47" s="243">
        <f>IF(Table33[[#This Row],[Category]]="Insignia",Table33[[#This Row],[Account Deposit Amount]]-Table33[[#This Row],[Account Withdrawl Amount]], )</f>
        <v>0</v>
      </c>
      <c r="Q47" s="243">
        <f>IF(Table33[[#This Row],[Category]]="Activities/Program",Table33[[#This Row],[Account Deposit Amount]]-Table33[[#This Row],[Account Withdrawl Amount]], )</f>
        <v>0</v>
      </c>
      <c r="R47" s="243">
        <f>IF(Table33[[#This Row],[Category]]="Travel",Table33[[#This Row],[Account Deposit Amount]]-Table33[[#This Row],[Account Withdrawl Amount]], )</f>
        <v>0</v>
      </c>
      <c r="S47" s="243">
        <f>IF(Table33[[#This Row],[Category]]="Parties Food &amp; Beverages",Table33[[#This Row],[Account Deposit Amount]]-Table33[[#This Row],[Account Withdrawl Amount]], )</f>
        <v>0</v>
      </c>
      <c r="T47" s="243">
        <f>IF(Table33[[#This Row],[Category]]="Service Projects Donation",Table33[[#This Row],[Account Deposit Amount]]-Table33[[#This Row],[Account Withdrawl Amount]], )</f>
        <v>0</v>
      </c>
      <c r="U47" s="243">
        <f>IF(Table33[[#This Row],[Category]]="Cookie Debt",Table33[[#This Row],[Account Deposit Amount]]-Table33[[#This Row],[Account Withdrawl Amount]], )</f>
        <v>0</v>
      </c>
      <c r="V47" s="243">
        <f>IF(Table33[[#This Row],[Category]]="Other Expense",Table33[[#This Row],[Account Deposit Amount]]-Table33[[#This Row],[Account Withdrawl Amount]], )</f>
        <v>0</v>
      </c>
    </row>
    <row r="48" spans="1:22">
      <c r="A48" s="225"/>
      <c r="B48" s="252"/>
      <c r="C48" s="253"/>
      <c r="D48" s="248"/>
      <c r="E48" s="254"/>
      <c r="F48" s="255"/>
      <c r="G48" s="243">
        <f t="shared" si="2"/>
        <v>0</v>
      </c>
      <c r="H48" s="248"/>
      <c r="I48" s="243">
        <f>IF(Table33[[#This Row],[Category]]="Fall Product",Table33[[#This Row],[Account Deposit Amount]]-Table33[[#This Row],[Account Withdrawl Amount]], )</f>
        <v>0</v>
      </c>
      <c r="J48" s="243">
        <f>IF(Table33[[#This Row],[Category]]="Cookies",Table33[[#This Row],[Account Deposit Amount]]-Table33[[#This Row],[Account Withdrawl Amount]], )</f>
        <v>0</v>
      </c>
      <c r="K48" s="243">
        <f>IF(Table33[[#This Row],[Category]]="Additional Money Earning Activities",Table33[[#This Row],[Account Deposit Amount]]-Table33[[#This Row],[Account Withdrawl Amount]], )</f>
        <v>0</v>
      </c>
      <c r="L48" s="243">
        <f>IF(Table33[[#This Row],[Category]]="Sponsorships",Table33[[#This Row],[Account Deposit Amount]]-Table33[[#This Row],[Account Withdrawl Amount]], )</f>
        <v>0</v>
      </c>
      <c r="M48" s="243">
        <f>IF(Table33[[#This Row],[Category]]="Troop Dues",Table33[[#This Row],[Account Deposit Amount]]-Table33[[#This Row],[Account Withdrawl Amount]], )</f>
        <v>0</v>
      </c>
      <c r="N48" s="243">
        <f>IF(Table33[[#This Row],[Category]]="Other Income",Table33[[#This Row],[Account Deposit Amount]]-Table33[[#This Row],[Account Withdrawl Amount]], )</f>
        <v>0</v>
      </c>
      <c r="O48" s="243">
        <f>IF(Table33[[#This Row],[Category]]="Registration",Table33[[#This Row],[Account Deposit Amount]]-Table33[[#This Row],[Account Withdrawl Amount]], )</f>
        <v>0</v>
      </c>
      <c r="P48" s="243">
        <f>IF(Table33[[#This Row],[Category]]="Insignia",Table33[[#This Row],[Account Deposit Amount]]-Table33[[#This Row],[Account Withdrawl Amount]], )</f>
        <v>0</v>
      </c>
      <c r="Q48" s="243">
        <f>IF(Table33[[#This Row],[Category]]="Activities/Program",Table33[[#This Row],[Account Deposit Amount]]-Table33[[#This Row],[Account Withdrawl Amount]], )</f>
        <v>0</v>
      </c>
      <c r="R48" s="243">
        <f>IF(Table33[[#This Row],[Category]]="Travel",Table33[[#This Row],[Account Deposit Amount]]-Table33[[#This Row],[Account Withdrawl Amount]], )</f>
        <v>0</v>
      </c>
      <c r="S48" s="243">
        <f>IF(Table33[[#This Row],[Category]]="Parties Food &amp; Beverages",Table33[[#This Row],[Account Deposit Amount]]-Table33[[#This Row],[Account Withdrawl Amount]], )</f>
        <v>0</v>
      </c>
      <c r="T48" s="243">
        <f>IF(Table33[[#This Row],[Category]]="Service Projects Donation",Table33[[#This Row],[Account Deposit Amount]]-Table33[[#This Row],[Account Withdrawl Amount]], )</f>
        <v>0</v>
      </c>
      <c r="U48" s="243">
        <f>IF(Table33[[#This Row],[Category]]="Cookie Debt",Table33[[#This Row],[Account Deposit Amount]]-Table33[[#This Row],[Account Withdrawl Amount]], )</f>
        <v>0</v>
      </c>
      <c r="V48" s="243">
        <f>IF(Table33[[#This Row],[Category]]="Other Expense",Table33[[#This Row],[Account Deposit Amount]]-Table33[[#This Row],[Account Withdrawl Amount]], )</f>
        <v>0</v>
      </c>
    </row>
    <row r="49" spans="1:22">
      <c r="A49" s="225"/>
      <c r="B49" s="249"/>
      <c r="C49" s="256"/>
      <c r="D49" s="247"/>
      <c r="E49" s="250"/>
      <c r="F49" s="257"/>
      <c r="G49" s="243">
        <f t="shared" si="2"/>
        <v>0</v>
      </c>
      <c r="H49" s="247"/>
      <c r="I49" s="243">
        <f>IF(Table33[[#This Row],[Category]]="Fall Product",Table33[[#This Row],[Account Deposit Amount]]-Table33[[#This Row],[Account Withdrawl Amount]], )</f>
        <v>0</v>
      </c>
      <c r="J49" s="243">
        <f>IF(Table33[[#This Row],[Category]]="Cookies",Table33[[#This Row],[Account Deposit Amount]]-Table33[[#This Row],[Account Withdrawl Amount]], )</f>
        <v>0</v>
      </c>
      <c r="K49" s="243">
        <f>IF(Table33[[#This Row],[Category]]="Additional Money Earning Activities",Table33[[#This Row],[Account Deposit Amount]]-Table33[[#This Row],[Account Withdrawl Amount]], )</f>
        <v>0</v>
      </c>
      <c r="L49" s="243">
        <f>IF(Table33[[#This Row],[Category]]="Sponsorships",Table33[[#This Row],[Account Deposit Amount]]-Table33[[#This Row],[Account Withdrawl Amount]], )</f>
        <v>0</v>
      </c>
      <c r="M49" s="243">
        <f>IF(Table33[[#This Row],[Category]]="Troop Dues",Table33[[#This Row],[Account Deposit Amount]]-Table33[[#This Row],[Account Withdrawl Amount]], )</f>
        <v>0</v>
      </c>
      <c r="N49" s="243">
        <f>IF(Table33[[#This Row],[Category]]="Other Income",Table33[[#This Row],[Account Deposit Amount]]-Table33[[#This Row],[Account Withdrawl Amount]], )</f>
        <v>0</v>
      </c>
      <c r="O49" s="243">
        <f>IF(Table33[[#This Row],[Category]]="Registration",Table33[[#This Row],[Account Deposit Amount]]-Table33[[#This Row],[Account Withdrawl Amount]], )</f>
        <v>0</v>
      </c>
      <c r="P49" s="243">
        <f>IF(Table33[[#This Row],[Category]]="Insignia",Table33[[#This Row],[Account Deposit Amount]]-Table33[[#This Row],[Account Withdrawl Amount]], )</f>
        <v>0</v>
      </c>
      <c r="Q49" s="243">
        <f>IF(Table33[[#This Row],[Category]]="Activities/Program",Table33[[#This Row],[Account Deposit Amount]]-Table33[[#This Row],[Account Withdrawl Amount]], )</f>
        <v>0</v>
      </c>
      <c r="R49" s="243">
        <f>IF(Table33[[#This Row],[Category]]="Travel",Table33[[#This Row],[Account Deposit Amount]]-Table33[[#This Row],[Account Withdrawl Amount]], )</f>
        <v>0</v>
      </c>
      <c r="S49" s="243">
        <f>IF(Table33[[#This Row],[Category]]="Parties Food &amp; Beverages",Table33[[#This Row],[Account Deposit Amount]]-Table33[[#This Row],[Account Withdrawl Amount]], )</f>
        <v>0</v>
      </c>
      <c r="T49" s="243">
        <f>IF(Table33[[#This Row],[Category]]="Service Projects Donation",Table33[[#This Row],[Account Deposit Amount]]-Table33[[#This Row],[Account Withdrawl Amount]], )</f>
        <v>0</v>
      </c>
      <c r="U49" s="243">
        <f>IF(Table33[[#This Row],[Category]]="Cookie Debt",Table33[[#This Row],[Account Deposit Amount]]-Table33[[#This Row],[Account Withdrawl Amount]], )</f>
        <v>0</v>
      </c>
      <c r="V49" s="243">
        <f>IF(Table33[[#This Row],[Category]]="Other Expense",Table33[[#This Row],[Account Deposit Amount]]-Table33[[#This Row],[Account Withdrawl Amount]], )</f>
        <v>0</v>
      </c>
    </row>
    <row r="50" spans="1:22">
      <c r="A50" s="225"/>
      <c r="B50" s="252"/>
      <c r="C50" s="253"/>
      <c r="D50" s="248"/>
      <c r="E50" s="254"/>
      <c r="F50" s="255"/>
      <c r="G50" s="243">
        <f t="shared" si="2"/>
        <v>0</v>
      </c>
      <c r="H50" s="248"/>
      <c r="I50" s="243">
        <f>IF(Table33[[#This Row],[Category]]="Fall Product",Table33[[#This Row],[Account Deposit Amount]]-Table33[[#This Row],[Account Withdrawl Amount]], )</f>
        <v>0</v>
      </c>
      <c r="J50" s="243">
        <f>IF(Table33[[#This Row],[Category]]="Cookies",Table33[[#This Row],[Account Deposit Amount]]-Table33[[#This Row],[Account Withdrawl Amount]], )</f>
        <v>0</v>
      </c>
      <c r="K50" s="243">
        <f>IF(Table33[[#This Row],[Category]]="Additional Money Earning Activities",Table33[[#This Row],[Account Deposit Amount]]-Table33[[#This Row],[Account Withdrawl Amount]], )</f>
        <v>0</v>
      </c>
      <c r="L50" s="243">
        <f>IF(Table33[[#This Row],[Category]]="Sponsorships",Table33[[#This Row],[Account Deposit Amount]]-Table33[[#This Row],[Account Withdrawl Amount]], )</f>
        <v>0</v>
      </c>
      <c r="M50" s="243">
        <f>IF(Table33[[#This Row],[Category]]="Troop Dues",Table33[[#This Row],[Account Deposit Amount]]-Table33[[#This Row],[Account Withdrawl Amount]], )</f>
        <v>0</v>
      </c>
      <c r="N50" s="243">
        <f>IF(Table33[[#This Row],[Category]]="Other Income",Table33[[#This Row],[Account Deposit Amount]]-Table33[[#This Row],[Account Withdrawl Amount]], )</f>
        <v>0</v>
      </c>
      <c r="O50" s="243">
        <f>IF(Table33[[#This Row],[Category]]="Registration",Table33[[#This Row],[Account Deposit Amount]]-Table33[[#This Row],[Account Withdrawl Amount]], )</f>
        <v>0</v>
      </c>
      <c r="P50" s="243">
        <f>IF(Table33[[#This Row],[Category]]="Insignia",Table33[[#This Row],[Account Deposit Amount]]-Table33[[#This Row],[Account Withdrawl Amount]], )</f>
        <v>0</v>
      </c>
      <c r="Q50" s="243">
        <f>IF(Table33[[#This Row],[Category]]="Activities/Program",Table33[[#This Row],[Account Deposit Amount]]-Table33[[#This Row],[Account Withdrawl Amount]], )</f>
        <v>0</v>
      </c>
      <c r="R50" s="243">
        <f>IF(Table33[[#This Row],[Category]]="Travel",Table33[[#This Row],[Account Deposit Amount]]-Table33[[#This Row],[Account Withdrawl Amount]], )</f>
        <v>0</v>
      </c>
      <c r="S50" s="243">
        <f>IF(Table33[[#This Row],[Category]]="Parties Food &amp; Beverages",Table33[[#This Row],[Account Deposit Amount]]-Table33[[#This Row],[Account Withdrawl Amount]], )</f>
        <v>0</v>
      </c>
      <c r="T50" s="243">
        <f>IF(Table33[[#This Row],[Category]]="Service Projects Donation",Table33[[#This Row],[Account Deposit Amount]]-Table33[[#This Row],[Account Withdrawl Amount]], )</f>
        <v>0</v>
      </c>
      <c r="U50" s="243">
        <f>IF(Table33[[#This Row],[Category]]="Cookie Debt",Table33[[#This Row],[Account Deposit Amount]]-Table33[[#This Row],[Account Withdrawl Amount]], )</f>
        <v>0</v>
      </c>
      <c r="V50" s="243">
        <f>IF(Table33[[#This Row],[Category]]="Other Expense",Table33[[#This Row],[Account Deposit Amount]]-Table33[[#This Row],[Account Withdrawl Amount]], )</f>
        <v>0</v>
      </c>
    </row>
    <row r="51" spans="1:22">
      <c r="A51" s="225"/>
      <c r="B51" s="249"/>
      <c r="C51" s="256"/>
      <c r="D51" s="247"/>
      <c r="E51" s="250"/>
      <c r="F51" s="257"/>
      <c r="G51" s="243">
        <f t="shared" si="2"/>
        <v>0</v>
      </c>
      <c r="H51" s="247"/>
      <c r="I51" s="243">
        <f>IF(Table33[[#This Row],[Category]]="Fall Product",Table33[[#This Row],[Account Deposit Amount]]-Table33[[#This Row],[Account Withdrawl Amount]], )</f>
        <v>0</v>
      </c>
      <c r="J51" s="243">
        <f>IF(Table33[[#This Row],[Category]]="Cookies",Table33[[#This Row],[Account Deposit Amount]]-Table33[[#This Row],[Account Withdrawl Amount]], )</f>
        <v>0</v>
      </c>
      <c r="K51" s="243">
        <f>IF(Table33[[#This Row],[Category]]="Additional Money Earning Activities",Table33[[#This Row],[Account Deposit Amount]]-Table33[[#This Row],[Account Withdrawl Amount]], )</f>
        <v>0</v>
      </c>
      <c r="L51" s="243">
        <f>IF(Table33[[#This Row],[Category]]="Sponsorships",Table33[[#This Row],[Account Deposit Amount]]-Table33[[#This Row],[Account Withdrawl Amount]], )</f>
        <v>0</v>
      </c>
      <c r="M51" s="243">
        <f>IF(Table33[[#This Row],[Category]]="Troop Dues",Table33[[#This Row],[Account Deposit Amount]]-Table33[[#This Row],[Account Withdrawl Amount]], )</f>
        <v>0</v>
      </c>
      <c r="N51" s="243">
        <f>IF(Table33[[#This Row],[Category]]="Other Income",Table33[[#This Row],[Account Deposit Amount]]-Table33[[#This Row],[Account Withdrawl Amount]], )</f>
        <v>0</v>
      </c>
      <c r="O51" s="243">
        <f>IF(Table33[[#This Row],[Category]]="Registration",Table33[[#This Row],[Account Deposit Amount]]-Table33[[#This Row],[Account Withdrawl Amount]], )</f>
        <v>0</v>
      </c>
      <c r="P51" s="243">
        <f>IF(Table33[[#This Row],[Category]]="Insignia",Table33[[#This Row],[Account Deposit Amount]]-Table33[[#This Row],[Account Withdrawl Amount]], )</f>
        <v>0</v>
      </c>
      <c r="Q51" s="243">
        <f>IF(Table33[[#This Row],[Category]]="Activities/Program",Table33[[#This Row],[Account Deposit Amount]]-Table33[[#This Row],[Account Withdrawl Amount]], )</f>
        <v>0</v>
      </c>
      <c r="R51" s="243">
        <f>IF(Table33[[#This Row],[Category]]="Travel",Table33[[#This Row],[Account Deposit Amount]]-Table33[[#This Row],[Account Withdrawl Amount]], )</f>
        <v>0</v>
      </c>
      <c r="S51" s="243">
        <f>IF(Table33[[#This Row],[Category]]="Parties Food &amp; Beverages",Table33[[#This Row],[Account Deposit Amount]]-Table33[[#This Row],[Account Withdrawl Amount]], )</f>
        <v>0</v>
      </c>
      <c r="T51" s="243">
        <f>IF(Table33[[#This Row],[Category]]="Service Projects Donation",Table33[[#This Row],[Account Deposit Amount]]-Table33[[#This Row],[Account Withdrawl Amount]], )</f>
        <v>0</v>
      </c>
      <c r="U51" s="243">
        <f>IF(Table33[[#This Row],[Category]]="Cookie Debt",Table33[[#This Row],[Account Deposit Amount]]-Table33[[#This Row],[Account Withdrawl Amount]], )</f>
        <v>0</v>
      </c>
      <c r="V51" s="243">
        <f>IF(Table33[[#This Row],[Category]]="Other Expense",Table33[[#This Row],[Account Deposit Amount]]-Table33[[#This Row],[Account Withdrawl Amount]], )</f>
        <v>0</v>
      </c>
    </row>
    <row r="52" spans="1:22">
      <c r="A52" s="225"/>
      <c r="B52" s="252"/>
      <c r="C52" s="253"/>
      <c r="D52" s="248"/>
      <c r="E52" s="254"/>
      <c r="F52" s="255"/>
      <c r="G52" s="243">
        <f t="shared" si="2"/>
        <v>0</v>
      </c>
      <c r="H52" s="248"/>
      <c r="I52" s="243">
        <f>IF(Table33[[#This Row],[Category]]="Fall Product",Table33[[#This Row],[Account Deposit Amount]]-Table33[[#This Row],[Account Withdrawl Amount]], )</f>
        <v>0</v>
      </c>
      <c r="J52" s="243">
        <f>IF(Table33[[#This Row],[Category]]="Cookies",Table33[[#This Row],[Account Deposit Amount]]-Table33[[#This Row],[Account Withdrawl Amount]], )</f>
        <v>0</v>
      </c>
      <c r="K52" s="243">
        <f>IF(Table33[[#This Row],[Category]]="Additional Money Earning Activities",Table33[[#This Row],[Account Deposit Amount]]-Table33[[#This Row],[Account Withdrawl Amount]], )</f>
        <v>0</v>
      </c>
      <c r="L52" s="243">
        <f>IF(Table33[[#This Row],[Category]]="Sponsorships",Table33[[#This Row],[Account Deposit Amount]]-Table33[[#This Row],[Account Withdrawl Amount]], )</f>
        <v>0</v>
      </c>
      <c r="M52" s="243">
        <f>IF(Table33[[#This Row],[Category]]="Troop Dues",Table33[[#This Row],[Account Deposit Amount]]-Table33[[#This Row],[Account Withdrawl Amount]], )</f>
        <v>0</v>
      </c>
      <c r="N52" s="243">
        <f>IF(Table33[[#This Row],[Category]]="Other Income",Table33[[#This Row],[Account Deposit Amount]]-Table33[[#This Row],[Account Withdrawl Amount]], )</f>
        <v>0</v>
      </c>
      <c r="O52" s="243">
        <f>IF(Table33[[#This Row],[Category]]="Registration",Table33[[#This Row],[Account Deposit Amount]]-Table33[[#This Row],[Account Withdrawl Amount]], )</f>
        <v>0</v>
      </c>
      <c r="P52" s="243">
        <f>IF(Table33[[#This Row],[Category]]="Insignia",Table33[[#This Row],[Account Deposit Amount]]-Table33[[#This Row],[Account Withdrawl Amount]], )</f>
        <v>0</v>
      </c>
      <c r="Q52" s="243">
        <f>IF(Table33[[#This Row],[Category]]="Activities/Program",Table33[[#This Row],[Account Deposit Amount]]-Table33[[#This Row],[Account Withdrawl Amount]], )</f>
        <v>0</v>
      </c>
      <c r="R52" s="243">
        <f>IF(Table33[[#This Row],[Category]]="Travel",Table33[[#This Row],[Account Deposit Amount]]-Table33[[#This Row],[Account Withdrawl Amount]], )</f>
        <v>0</v>
      </c>
      <c r="S52" s="243">
        <f>IF(Table33[[#This Row],[Category]]="Parties Food &amp; Beverages",Table33[[#This Row],[Account Deposit Amount]]-Table33[[#This Row],[Account Withdrawl Amount]], )</f>
        <v>0</v>
      </c>
      <c r="T52" s="243">
        <f>IF(Table33[[#This Row],[Category]]="Service Projects Donation",Table33[[#This Row],[Account Deposit Amount]]-Table33[[#This Row],[Account Withdrawl Amount]], )</f>
        <v>0</v>
      </c>
      <c r="U52" s="243">
        <f>IF(Table33[[#This Row],[Category]]="Cookie Debt",Table33[[#This Row],[Account Deposit Amount]]-Table33[[#This Row],[Account Withdrawl Amount]], )</f>
        <v>0</v>
      </c>
      <c r="V52" s="243">
        <f>IF(Table33[[#This Row],[Category]]="Other Expense",Table33[[#This Row],[Account Deposit Amount]]-Table33[[#This Row],[Account Withdrawl Amount]], )</f>
        <v>0</v>
      </c>
    </row>
    <row r="53" spans="1:22">
      <c r="A53" s="225"/>
      <c r="B53" s="249"/>
      <c r="C53" s="256"/>
      <c r="D53" s="247"/>
      <c r="E53" s="250"/>
      <c r="F53" s="257"/>
      <c r="G53" s="243">
        <f t="shared" si="2"/>
        <v>0</v>
      </c>
      <c r="H53" s="247"/>
      <c r="I53" s="243">
        <f>IF(Table33[[#This Row],[Category]]="Fall Product",Table33[[#This Row],[Account Deposit Amount]]-Table33[[#This Row],[Account Withdrawl Amount]], )</f>
        <v>0</v>
      </c>
      <c r="J53" s="243">
        <f>IF(Table33[[#This Row],[Category]]="Cookies",Table33[[#This Row],[Account Deposit Amount]]-Table33[[#This Row],[Account Withdrawl Amount]], )</f>
        <v>0</v>
      </c>
      <c r="K53" s="243">
        <f>IF(Table33[[#This Row],[Category]]="Additional Money Earning Activities",Table33[[#This Row],[Account Deposit Amount]]-Table33[[#This Row],[Account Withdrawl Amount]], )</f>
        <v>0</v>
      </c>
      <c r="L53" s="243">
        <f>IF(Table33[[#This Row],[Category]]="Sponsorships",Table33[[#This Row],[Account Deposit Amount]]-Table33[[#This Row],[Account Withdrawl Amount]], )</f>
        <v>0</v>
      </c>
      <c r="M53" s="243">
        <f>IF(Table33[[#This Row],[Category]]="Troop Dues",Table33[[#This Row],[Account Deposit Amount]]-Table33[[#This Row],[Account Withdrawl Amount]], )</f>
        <v>0</v>
      </c>
      <c r="N53" s="243">
        <f>IF(Table33[[#This Row],[Category]]="Other Income",Table33[[#This Row],[Account Deposit Amount]]-Table33[[#This Row],[Account Withdrawl Amount]], )</f>
        <v>0</v>
      </c>
      <c r="O53" s="243">
        <f>IF(Table33[[#This Row],[Category]]="Registration",Table33[[#This Row],[Account Deposit Amount]]-Table33[[#This Row],[Account Withdrawl Amount]], )</f>
        <v>0</v>
      </c>
      <c r="P53" s="243">
        <f>IF(Table33[[#This Row],[Category]]="Insignia",Table33[[#This Row],[Account Deposit Amount]]-Table33[[#This Row],[Account Withdrawl Amount]], )</f>
        <v>0</v>
      </c>
      <c r="Q53" s="243">
        <f>IF(Table33[[#This Row],[Category]]="Activities/Program",Table33[[#This Row],[Account Deposit Amount]]-Table33[[#This Row],[Account Withdrawl Amount]], )</f>
        <v>0</v>
      </c>
      <c r="R53" s="243">
        <f>IF(Table33[[#This Row],[Category]]="Travel",Table33[[#This Row],[Account Deposit Amount]]-Table33[[#This Row],[Account Withdrawl Amount]], )</f>
        <v>0</v>
      </c>
      <c r="S53" s="243">
        <f>IF(Table33[[#This Row],[Category]]="Parties Food &amp; Beverages",Table33[[#This Row],[Account Deposit Amount]]-Table33[[#This Row],[Account Withdrawl Amount]], )</f>
        <v>0</v>
      </c>
      <c r="T53" s="243">
        <f>IF(Table33[[#This Row],[Category]]="Service Projects Donation",Table33[[#This Row],[Account Deposit Amount]]-Table33[[#This Row],[Account Withdrawl Amount]], )</f>
        <v>0</v>
      </c>
      <c r="U53" s="243">
        <f>IF(Table33[[#This Row],[Category]]="Cookie Debt",Table33[[#This Row],[Account Deposit Amount]]-Table33[[#This Row],[Account Withdrawl Amount]], )</f>
        <v>0</v>
      </c>
      <c r="V53" s="243">
        <f>IF(Table33[[#This Row],[Category]]="Other Expense",Table33[[#This Row],[Account Deposit Amount]]-Table33[[#This Row],[Account Withdrawl Amount]], )</f>
        <v>0</v>
      </c>
    </row>
    <row r="54" spans="1:22">
      <c r="A54" s="225"/>
      <c r="B54" s="252"/>
      <c r="C54" s="253"/>
      <c r="D54" s="248"/>
      <c r="E54" s="254"/>
      <c r="F54" s="255"/>
      <c r="G54" s="243">
        <f t="shared" si="2"/>
        <v>0</v>
      </c>
      <c r="H54" s="248"/>
      <c r="I54" s="243">
        <f>IF(Table33[[#This Row],[Category]]="Fall Product",Table33[[#This Row],[Account Deposit Amount]]-Table33[[#This Row],[Account Withdrawl Amount]], )</f>
        <v>0</v>
      </c>
      <c r="J54" s="243">
        <f>IF(Table33[[#This Row],[Category]]="Cookies",Table33[[#This Row],[Account Deposit Amount]]-Table33[[#This Row],[Account Withdrawl Amount]], )</f>
        <v>0</v>
      </c>
      <c r="K54" s="243">
        <f>IF(Table33[[#This Row],[Category]]="Additional Money Earning Activities",Table33[[#This Row],[Account Deposit Amount]]-Table33[[#This Row],[Account Withdrawl Amount]], )</f>
        <v>0</v>
      </c>
      <c r="L54" s="243">
        <f>IF(Table33[[#This Row],[Category]]="Sponsorships",Table33[[#This Row],[Account Deposit Amount]]-Table33[[#This Row],[Account Withdrawl Amount]], )</f>
        <v>0</v>
      </c>
      <c r="M54" s="243">
        <f>IF(Table33[[#This Row],[Category]]="Troop Dues",Table33[[#This Row],[Account Deposit Amount]]-Table33[[#This Row],[Account Withdrawl Amount]], )</f>
        <v>0</v>
      </c>
      <c r="N54" s="243">
        <f>IF(Table33[[#This Row],[Category]]="Other Income",Table33[[#This Row],[Account Deposit Amount]]-Table33[[#This Row],[Account Withdrawl Amount]], )</f>
        <v>0</v>
      </c>
      <c r="O54" s="243">
        <f>IF(Table33[[#This Row],[Category]]="Registration",Table33[[#This Row],[Account Deposit Amount]]-Table33[[#This Row],[Account Withdrawl Amount]], )</f>
        <v>0</v>
      </c>
      <c r="P54" s="243">
        <f>IF(Table33[[#This Row],[Category]]="Insignia",Table33[[#This Row],[Account Deposit Amount]]-Table33[[#This Row],[Account Withdrawl Amount]], )</f>
        <v>0</v>
      </c>
      <c r="Q54" s="243">
        <f>IF(Table33[[#This Row],[Category]]="Activities/Program",Table33[[#This Row],[Account Deposit Amount]]-Table33[[#This Row],[Account Withdrawl Amount]], )</f>
        <v>0</v>
      </c>
      <c r="R54" s="243">
        <f>IF(Table33[[#This Row],[Category]]="Travel",Table33[[#This Row],[Account Deposit Amount]]-Table33[[#This Row],[Account Withdrawl Amount]], )</f>
        <v>0</v>
      </c>
      <c r="S54" s="243">
        <f>IF(Table33[[#This Row],[Category]]="Parties Food &amp; Beverages",Table33[[#This Row],[Account Deposit Amount]]-Table33[[#This Row],[Account Withdrawl Amount]], )</f>
        <v>0</v>
      </c>
      <c r="T54" s="243">
        <f>IF(Table33[[#This Row],[Category]]="Service Projects Donation",Table33[[#This Row],[Account Deposit Amount]]-Table33[[#This Row],[Account Withdrawl Amount]], )</f>
        <v>0</v>
      </c>
      <c r="U54" s="243">
        <f>IF(Table33[[#This Row],[Category]]="Cookie Debt",Table33[[#This Row],[Account Deposit Amount]]-Table33[[#This Row],[Account Withdrawl Amount]], )</f>
        <v>0</v>
      </c>
      <c r="V54" s="243">
        <f>IF(Table33[[#This Row],[Category]]="Other Expense",Table33[[#This Row],[Account Deposit Amount]]-Table33[[#This Row],[Account Withdrawl Amount]], )</f>
        <v>0</v>
      </c>
    </row>
    <row r="55" spans="1:22">
      <c r="A55" s="225"/>
      <c r="B55" s="249"/>
      <c r="C55" s="256"/>
      <c r="D55" s="247"/>
      <c r="E55" s="250"/>
      <c r="F55" s="257"/>
      <c r="G55" s="243">
        <f t="shared" si="2"/>
        <v>0</v>
      </c>
      <c r="H55" s="247"/>
      <c r="I55" s="243">
        <f>IF(Table33[[#This Row],[Category]]="Fall Product",Table33[[#This Row],[Account Deposit Amount]]-Table33[[#This Row],[Account Withdrawl Amount]], )</f>
        <v>0</v>
      </c>
      <c r="J55" s="243">
        <f>IF(Table33[[#This Row],[Category]]="Cookies",Table33[[#This Row],[Account Deposit Amount]]-Table33[[#This Row],[Account Withdrawl Amount]], )</f>
        <v>0</v>
      </c>
      <c r="K55" s="243">
        <f>IF(Table33[[#This Row],[Category]]="Additional Money Earning Activities",Table33[[#This Row],[Account Deposit Amount]]-Table33[[#This Row],[Account Withdrawl Amount]], )</f>
        <v>0</v>
      </c>
      <c r="L55" s="243">
        <f>IF(Table33[[#This Row],[Category]]="Sponsorships",Table33[[#This Row],[Account Deposit Amount]]-Table33[[#This Row],[Account Withdrawl Amount]], )</f>
        <v>0</v>
      </c>
      <c r="M55" s="243">
        <f>IF(Table33[[#This Row],[Category]]="Troop Dues",Table33[[#This Row],[Account Deposit Amount]]-Table33[[#This Row],[Account Withdrawl Amount]], )</f>
        <v>0</v>
      </c>
      <c r="N55" s="243">
        <f>IF(Table33[[#This Row],[Category]]="Other Income",Table33[[#This Row],[Account Deposit Amount]]-Table33[[#This Row],[Account Withdrawl Amount]], )</f>
        <v>0</v>
      </c>
      <c r="O55" s="243">
        <f>IF(Table33[[#This Row],[Category]]="Registration",Table33[[#This Row],[Account Deposit Amount]]-Table33[[#This Row],[Account Withdrawl Amount]], )</f>
        <v>0</v>
      </c>
      <c r="P55" s="243">
        <f>IF(Table33[[#This Row],[Category]]="Insignia",Table33[[#This Row],[Account Deposit Amount]]-Table33[[#This Row],[Account Withdrawl Amount]], )</f>
        <v>0</v>
      </c>
      <c r="Q55" s="243">
        <f>IF(Table33[[#This Row],[Category]]="Activities/Program",Table33[[#This Row],[Account Deposit Amount]]-Table33[[#This Row],[Account Withdrawl Amount]], )</f>
        <v>0</v>
      </c>
      <c r="R55" s="243">
        <f>IF(Table33[[#This Row],[Category]]="Travel",Table33[[#This Row],[Account Deposit Amount]]-Table33[[#This Row],[Account Withdrawl Amount]], )</f>
        <v>0</v>
      </c>
      <c r="S55" s="243">
        <f>IF(Table33[[#This Row],[Category]]="Parties Food &amp; Beverages",Table33[[#This Row],[Account Deposit Amount]]-Table33[[#This Row],[Account Withdrawl Amount]], )</f>
        <v>0</v>
      </c>
      <c r="T55" s="243">
        <f>IF(Table33[[#This Row],[Category]]="Service Projects Donation",Table33[[#This Row],[Account Deposit Amount]]-Table33[[#This Row],[Account Withdrawl Amount]], )</f>
        <v>0</v>
      </c>
      <c r="U55" s="243">
        <f>IF(Table33[[#This Row],[Category]]="Cookie Debt",Table33[[#This Row],[Account Deposit Amount]]-Table33[[#This Row],[Account Withdrawl Amount]], )</f>
        <v>0</v>
      </c>
      <c r="V55" s="243">
        <f>IF(Table33[[#This Row],[Category]]="Other Expense",Table33[[#This Row],[Account Deposit Amount]]-Table33[[#This Row],[Account Withdrawl Amount]], )</f>
        <v>0</v>
      </c>
    </row>
    <row r="56" spans="1:22">
      <c r="A56" s="225"/>
      <c r="B56" s="252"/>
      <c r="C56" s="253"/>
      <c r="D56" s="248"/>
      <c r="E56" s="254"/>
      <c r="F56" s="255"/>
      <c r="G56" s="243">
        <f t="shared" si="2"/>
        <v>0</v>
      </c>
      <c r="H56" s="248"/>
      <c r="I56" s="243">
        <f>IF(Table33[[#This Row],[Category]]="Fall Product",Table33[[#This Row],[Account Deposit Amount]]-Table33[[#This Row],[Account Withdrawl Amount]], )</f>
        <v>0</v>
      </c>
      <c r="J56" s="243">
        <f>IF(Table33[[#This Row],[Category]]="Cookies",Table33[[#This Row],[Account Deposit Amount]]-Table33[[#This Row],[Account Withdrawl Amount]], )</f>
        <v>0</v>
      </c>
      <c r="K56" s="243">
        <f>IF(Table33[[#This Row],[Category]]="Additional Money Earning Activities",Table33[[#This Row],[Account Deposit Amount]]-Table33[[#This Row],[Account Withdrawl Amount]], )</f>
        <v>0</v>
      </c>
      <c r="L56" s="243">
        <f>IF(Table33[[#This Row],[Category]]="Sponsorships",Table33[[#This Row],[Account Deposit Amount]]-Table33[[#This Row],[Account Withdrawl Amount]], )</f>
        <v>0</v>
      </c>
      <c r="M56" s="243">
        <f>IF(Table33[[#This Row],[Category]]="Troop Dues",Table33[[#This Row],[Account Deposit Amount]]-Table33[[#This Row],[Account Withdrawl Amount]], )</f>
        <v>0</v>
      </c>
      <c r="N56" s="243">
        <f>IF(Table33[[#This Row],[Category]]="Other Income",Table33[[#This Row],[Account Deposit Amount]]-Table33[[#This Row],[Account Withdrawl Amount]], )</f>
        <v>0</v>
      </c>
      <c r="O56" s="243">
        <f>IF(Table33[[#This Row],[Category]]="Registration",Table33[[#This Row],[Account Deposit Amount]]-Table33[[#This Row],[Account Withdrawl Amount]], )</f>
        <v>0</v>
      </c>
      <c r="P56" s="243">
        <f>IF(Table33[[#This Row],[Category]]="Insignia",Table33[[#This Row],[Account Deposit Amount]]-Table33[[#This Row],[Account Withdrawl Amount]], )</f>
        <v>0</v>
      </c>
      <c r="Q56" s="243">
        <f>IF(Table33[[#This Row],[Category]]="Activities/Program",Table33[[#This Row],[Account Deposit Amount]]-Table33[[#This Row],[Account Withdrawl Amount]], )</f>
        <v>0</v>
      </c>
      <c r="R56" s="243">
        <f>IF(Table33[[#This Row],[Category]]="Travel",Table33[[#This Row],[Account Deposit Amount]]-Table33[[#This Row],[Account Withdrawl Amount]], )</f>
        <v>0</v>
      </c>
      <c r="S56" s="243">
        <f>IF(Table33[[#This Row],[Category]]="Parties Food &amp; Beverages",Table33[[#This Row],[Account Deposit Amount]]-Table33[[#This Row],[Account Withdrawl Amount]], )</f>
        <v>0</v>
      </c>
      <c r="T56" s="243">
        <f>IF(Table33[[#This Row],[Category]]="Service Projects Donation",Table33[[#This Row],[Account Deposit Amount]]-Table33[[#This Row],[Account Withdrawl Amount]], )</f>
        <v>0</v>
      </c>
      <c r="U56" s="243">
        <f>IF(Table33[[#This Row],[Category]]="Cookie Debt",Table33[[#This Row],[Account Deposit Amount]]-Table33[[#This Row],[Account Withdrawl Amount]], )</f>
        <v>0</v>
      </c>
      <c r="V56" s="243">
        <f>IF(Table33[[#This Row],[Category]]="Other Expense",Table33[[#This Row],[Account Deposit Amount]]-Table33[[#This Row],[Account Withdrawl Amount]], )</f>
        <v>0</v>
      </c>
    </row>
    <row r="57" spans="1:22">
      <c r="A57" s="225"/>
      <c r="B57" s="249"/>
      <c r="C57" s="256"/>
      <c r="D57" s="247"/>
      <c r="E57" s="250"/>
      <c r="F57" s="257"/>
      <c r="G57" s="243">
        <f t="shared" si="2"/>
        <v>0</v>
      </c>
      <c r="H57" s="247"/>
      <c r="I57" s="243">
        <f>IF(Table33[[#This Row],[Category]]="Fall Product",Table33[[#This Row],[Account Deposit Amount]]-Table33[[#This Row],[Account Withdrawl Amount]], )</f>
        <v>0</v>
      </c>
      <c r="J57" s="243">
        <f>IF(Table33[[#This Row],[Category]]="Cookies",Table33[[#This Row],[Account Deposit Amount]]-Table33[[#This Row],[Account Withdrawl Amount]], )</f>
        <v>0</v>
      </c>
      <c r="K57" s="243">
        <f>IF(Table33[[#This Row],[Category]]="Additional Money Earning Activities",Table33[[#This Row],[Account Deposit Amount]]-Table33[[#This Row],[Account Withdrawl Amount]], )</f>
        <v>0</v>
      </c>
      <c r="L57" s="243">
        <f>IF(Table33[[#This Row],[Category]]="Sponsorships",Table33[[#This Row],[Account Deposit Amount]]-Table33[[#This Row],[Account Withdrawl Amount]], )</f>
        <v>0</v>
      </c>
      <c r="M57" s="243">
        <f>IF(Table33[[#This Row],[Category]]="Troop Dues",Table33[[#This Row],[Account Deposit Amount]]-Table33[[#This Row],[Account Withdrawl Amount]], )</f>
        <v>0</v>
      </c>
      <c r="N57" s="243">
        <f>IF(Table33[[#This Row],[Category]]="Other Income",Table33[[#This Row],[Account Deposit Amount]]-Table33[[#This Row],[Account Withdrawl Amount]], )</f>
        <v>0</v>
      </c>
      <c r="O57" s="243">
        <f>IF(Table33[[#This Row],[Category]]="Registration",Table33[[#This Row],[Account Deposit Amount]]-Table33[[#This Row],[Account Withdrawl Amount]], )</f>
        <v>0</v>
      </c>
      <c r="P57" s="243">
        <f>IF(Table33[[#This Row],[Category]]="Insignia",Table33[[#This Row],[Account Deposit Amount]]-Table33[[#This Row],[Account Withdrawl Amount]], )</f>
        <v>0</v>
      </c>
      <c r="Q57" s="243">
        <f>IF(Table33[[#This Row],[Category]]="Activities/Program",Table33[[#This Row],[Account Deposit Amount]]-Table33[[#This Row],[Account Withdrawl Amount]], )</f>
        <v>0</v>
      </c>
      <c r="R57" s="243">
        <f>IF(Table33[[#This Row],[Category]]="Travel",Table33[[#This Row],[Account Deposit Amount]]-Table33[[#This Row],[Account Withdrawl Amount]], )</f>
        <v>0</v>
      </c>
      <c r="S57" s="243">
        <f>IF(Table33[[#This Row],[Category]]="Parties Food &amp; Beverages",Table33[[#This Row],[Account Deposit Amount]]-Table33[[#This Row],[Account Withdrawl Amount]], )</f>
        <v>0</v>
      </c>
      <c r="T57" s="243">
        <f>IF(Table33[[#This Row],[Category]]="Service Projects Donation",Table33[[#This Row],[Account Deposit Amount]]-Table33[[#This Row],[Account Withdrawl Amount]], )</f>
        <v>0</v>
      </c>
      <c r="U57" s="243">
        <f>IF(Table33[[#This Row],[Category]]="Cookie Debt",Table33[[#This Row],[Account Deposit Amount]]-Table33[[#This Row],[Account Withdrawl Amount]], )</f>
        <v>0</v>
      </c>
      <c r="V57" s="243">
        <f>IF(Table33[[#This Row],[Category]]="Other Expense",Table33[[#This Row],[Account Deposit Amount]]-Table33[[#This Row],[Account Withdrawl Amount]], )</f>
        <v>0</v>
      </c>
    </row>
    <row r="58" spans="1:22">
      <c r="A58" s="225"/>
      <c r="B58" s="252"/>
      <c r="C58" s="253"/>
      <c r="D58" s="259"/>
      <c r="E58" s="254"/>
      <c r="F58" s="255"/>
      <c r="G58" s="243">
        <f t="shared" si="2"/>
        <v>0</v>
      </c>
      <c r="H58" s="248"/>
      <c r="I58" s="243">
        <f>IF(Table33[[#This Row],[Category]]="Fall Product",Table33[[#This Row],[Account Deposit Amount]]-Table33[[#This Row],[Account Withdrawl Amount]], )</f>
        <v>0</v>
      </c>
      <c r="J58" s="243">
        <f>IF(Table33[[#This Row],[Category]]="Cookies",Table33[[#This Row],[Account Deposit Amount]]-Table33[[#This Row],[Account Withdrawl Amount]], )</f>
        <v>0</v>
      </c>
      <c r="K58" s="243">
        <f>IF(Table33[[#This Row],[Category]]="Additional Money Earning Activities",Table33[[#This Row],[Account Deposit Amount]]-Table33[[#This Row],[Account Withdrawl Amount]], )</f>
        <v>0</v>
      </c>
      <c r="L58" s="243">
        <f>IF(Table33[[#This Row],[Category]]="Sponsorships",Table33[[#This Row],[Account Deposit Amount]]-Table33[[#This Row],[Account Withdrawl Amount]], )</f>
        <v>0</v>
      </c>
      <c r="M58" s="243">
        <f>IF(Table33[[#This Row],[Category]]="Troop Dues",Table33[[#This Row],[Account Deposit Amount]]-Table33[[#This Row],[Account Withdrawl Amount]], )</f>
        <v>0</v>
      </c>
      <c r="N58" s="243">
        <f>IF(Table33[[#This Row],[Category]]="Other Income",Table33[[#This Row],[Account Deposit Amount]]-Table33[[#This Row],[Account Withdrawl Amount]], )</f>
        <v>0</v>
      </c>
      <c r="O58" s="243">
        <f>IF(Table33[[#This Row],[Category]]="Registration",Table33[[#This Row],[Account Deposit Amount]]-Table33[[#This Row],[Account Withdrawl Amount]], )</f>
        <v>0</v>
      </c>
      <c r="P58" s="243">
        <f>IF(Table33[[#This Row],[Category]]="Insignia",Table33[[#This Row],[Account Deposit Amount]]-Table33[[#This Row],[Account Withdrawl Amount]], )</f>
        <v>0</v>
      </c>
      <c r="Q58" s="243">
        <f>IF(Table33[[#This Row],[Category]]="Activities/Program",Table33[[#This Row],[Account Deposit Amount]]-Table33[[#This Row],[Account Withdrawl Amount]], )</f>
        <v>0</v>
      </c>
      <c r="R58" s="243">
        <f>IF(Table33[[#This Row],[Category]]="Travel",Table33[[#This Row],[Account Deposit Amount]]-Table33[[#This Row],[Account Withdrawl Amount]], )</f>
        <v>0</v>
      </c>
      <c r="S58" s="243">
        <f>IF(Table33[[#This Row],[Category]]="Parties Food &amp; Beverages",Table33[[#This Row],[Account Deposit Amount]]-Table33[[#This Row],[Account Withdrawl Amount]], )</f>
        <v>0</v>
      </c>
      <c r="T58" s="243">
        <f>IF(Table33[[#This Row],[Category]]="Service Projects Donation",Table33[[#This Row],[Account Deposit Amount]]-Table33[[#This Row],[Account Withdrawl Amount]], )</f>
        <v>0</v>
      </c>
      <c r="U58" s="243">
        <f>IF(Table33[[#This Row],[Category]]="Cookie Debt",Table33[[#This Row],[Account Deposit Amount]]-Table33[[#This Row],[Account Withdrawl Amount]], )</f>
        <v>0</v>
      </c>
      <c r="V58" s="243">
        <f>IF(Table33[[#This Row],[Category]]="Other Expense",Table33[[#This Row],[Account Deposit Amount]]-Table33[[#This Row],[Account Withdrawl Amount]], )</f>
        <v>0</v>
      </c>
    </row>
    <row r="59" spans="1:22">
      <c r="A59" s="225"/>
      <c r="B59" s="249"/>
      <c r="C59" s="256"/>
      <c r="D59" s="247"/>
      <c r="E59" s="250"/>
      <c r="F59" s="257"/>
      <c r="G59" s="243">
        <f t="shared" si="2"/>
        <v>0</v>
      </c>
      <c r="H59" s="247"/>
      <c r="I59" s="243">
        <f>IF(Table33[[#This Row],[Category]]="Fall Product",Table33[[#This Row],[Account Deposit Amount]]-Table33[[#This Row],[Account Withdrawl Amount]], )</f>
        <v>0</v>
      </c>
      <c r="J59" s="243">
        <f>IF(Table33[[#This Row],[Category]]="Cookies",Table33[[#This Row],[Account Deposit Amount]]-Table33[[#This Row],[Account Withdrawl Amount]], )</f>
        <v>0</v>
      </c>
      <c r="K59" s="243">
        <f>IF(Table33[[#This Row],[Category]]="Additional Money Earning Activities",Table33[[#This Row],[Account Deposit Amount]]-Table33[[#This Row],[Account Withdrawl Amount]], )</f>
        <v>0</v>
      </c>
      <c r="L59" s="243">
        <f>IF(Table33[[#This Row],[Category]]="Sponsorships",Table33[[#This Row],[Account Deposit Amount]]-Table33[[#This Row],[Account Withdrawl Amount]], )</f>
        <v>0</v>
      </c>
      <c r="M59" s="243">
        <f>IF(Table33[[#This Row],[Category]]="Troop Dues",Table33[[#This Row],[Account Deposit Amount]]-Table33[[#This Row],[Account Withdrawl Amount]], )</f>
        <v>0</v>
      </c>
      <c r="N59" s="243">
        <f>IF(Table33[[#This Row],[Category]]="Other Income",Table33[[#This Row],[Account Deposit Amount]]-Table33[[#This Row],[Account Withdrawl Amount]], )</f>
        <v>0</v>
      </c>
      <c r="O59" s="243">
        <f>IF(Table33[[#This Row],[Category]]="Registration",Table33[[#This Row],[Account Deposit Amount]]-Table33[[#This Row],[Account Withdrawl Amount]], )</f>
        <v>0</v>
      </c>
      <c r="P59" s="243">
        <f>IF(Table33[[#This Row],[Category]]="Insignia",Table33[[#This Row],[Account Deposit Amount]]-Table33[[#This Row],[Account Withdrawl Amount]], )</f>
        <v>0</v>
      </c>
      <c r="Q59" s="243">
        <f>IF(Table33[[#This Row],[Category]]="Activities/Program",Table33[[#This Row],[Account Deposit Amount]]-Table33[[#This Row],[Account Withdrawl Amount]], )</f>
        <v>0</v>
      </c>
      <c r="R59" s="243">
        <f>IF(Table33[[#This Row],[Category]]="Travel",Table33[[#This Row],[Account Deposit Amount]]-Table33[[#This Row],[Account Withdrawl Amount]], )</f>
        <v>0</v>
      </c>
      <c r="S59" s="243">
        <f>IF(Table33[[#This Row],[Category]]="Parties Food &amp; Beverages",Table33[[#This Row],[Account Deposit Amount]]-Table33[[#This Row],[Account Withdrawl Amount]], )</f>
        <v>0</v>
      </c>
      <c r="T59" s="243">
        <f>IF(Table33[[#This Row],[Category]]="Service Projects Donation",Table33[[#This Row],[Account Deposit Amount]]-Table33[[#This Row],[Account Withdrawl Amount]], )</f>
        <v>0</v>
      </c>
      <c r="U59" s="243">
        <f>IF(Table33[[#This Row],[Category]]="Cookie Debt",Table33[[#This Row],[Account Deposit Amount]]-Table33[[#This Row],[Account Withdrawl Amount]], )</f>
        <v>0</v>
      </c>
      <c r="V59" s="243">
        <f>IF(Table33[[#This Row],[Category]]="Other Expense",Table33[[#This Row],[Account Deposit Amount]]-Table33[[#This Row],[Account Withdrawl Amount]], )</f>
        <v>0</v>
      </c>
    </row>
    <row r="60" spans="1:22">
      <c r="A60" s="225"/>
      <c r="B60" s="252"/>
      <c r="C60" s="253"/>
      <c r="D60" s="248"/>
      <c r="E60" s="254"/>
      <c r="F60" s="255"/>
      <c r="G60" s="243">
        <f t="shared" si="2"/>
        <v>0</v>
      </c>
      <c r="H60" s="248"/>
      <c r="I60" s="243">
        <f>IF(Table33[[#This Row],[Category]]="Fall Product",Table33[[#This Row],[Account Deposit Amount]]-Table33[[#This Row],[Account Withdrawl Amount]], )</f>
        <v>0</v>
      </c>
      <c r="J60" s="243">
        <f>IF(Table33[[#This Row],[Category]]="Cookies",Table33[[#This Row],[Account Deposit Amount]]-Table33[[#This Row],[Account Withdrawl Amount]], )</f>
        <v>0</v>
      </c>
      <c r="K60" s="243">
        <f>IF(Table33[[#This Row],[Category]]="Additional Money Earning Activities",Table33[[#This Row],[Account Deposit Amount]]-Table33[[#This Row],[Account Withdrawl Amount]], )</f>
        <v>0</v>
      </c>
      <c r="L60" s="243">
        <f>IF(Table33[[#This Row],[Category]]="Sponsorships",Table33[[#This Row],[Account Deposit Amount]]-Table33[[#This Row],[Account Withdrawl Amount]], )</f>
        <v>0</v>
      </c>
      <c r="M60" s="243">
        <f>IF(Table33[[#This Row],[Category]]="Troop Dues",Table33[[#This Row],[Account Deposit Amount]]-Table33[[#This Row],[Account Withdrawl Amount]], )</f>
        <v>0</v>
      </c>
      <c r="N60" s="243">
        <f>IF(Table33[[#This Row],[Category]]="Other Income",Table33[[#This Row],[Account Deposit Amount]]-Table33[[#This Row],[Account Withdrawl Amount]], )</f>
        <v>0</v>
      </c>
      <c r="O60" s="243">
        <f>IF(Table33[[#This Row],[Category]]="Registration",Table33[[#This Row],[Account Deposit Amount]]-Table33[[#This Row],[Account Withdrawl Amount]], )</f>
        <v>0</v>
      </c>
      <c r="P60" s="243">
        <f>IF(Table33[[#This Row],[Category]]="Insignia",Table33[[#This Row],[Account Deposit Amount]]-Table33[[#This Row],[Account Withdrawl Amount]], )</f>
        <v>0</v>
      </c>
      <c r="Q60" s="243">
        <f>IF(Table33[[#This Row],[Category]]="Activities/Program",Table33[[#This Row],[Account Deposit Amount]]-Table33[[#This Row],[Account Withdrawl Amount]], )</f>
        <v>0</v>
      </c>
      <c r="R60" s="243">
        <f>IF(Table33[[#This Row],[Category]]="Travel",Table33[[#This Row],[Account Deposit Amount]]-Table33[[#This Row],[Account Withdrawl Amount]], )</f>
        <v>0</v>
      </c>
      <c r="S60" s="243">
        <f>IF(Table33[[#This Row],[Category]]="Parties Food &amp; Beverages",Table33[[#This Row],[Account Deposit Amount]]-Table33[[#This Row],[Account Withdrawl Amount]], )</f>
        <v>0</v>
      </c>
      <c r="T60" s="243">
        <f>IF(Table33[[#This Row],[Category]]="Service Projects Donation",Table33[[#This Row],[Account Deposit Amount]]-Table33[[#This Row],[Account Withdrawl Amount]], )</f>
        <v>0</v>
      </c>
      <c r="U60" s="243">
        <f>IF(Table33[[#This Row],[Category]]="Cookie Debt",Table33[[#This Row],[Account Deposit Amount]]-Table33[[#This Row],[Account Withdrawl Amount]], )</f>
        <v>0</v>
      </c>
      <c r="V60" s="243">
        <f>IF(Table33[[#This Row],[Category]]="Other Expense",Table33[[#This Row],[Account Deposit Amount]]-Table33[[#This Row],[Account Withdrawl Amount]], )</f>
        <v>0</v>
      </c>
    </row>
    <row r="61" spans="1:22">
      <c r="A61" s="225"/>
      <c r="B61" s="249"/>
      <c r="C61" s="256"/>
      <c r="D61" s="247"/>
      <c r="E61" s="250"/>
      <c r="F61" s="257"/>
      <c r="G61" s="243">
        <f t="shared" si="2"/>
        <v>0</v>
      </c>
      <c r="H61" s="247"/>
      <c r="I61" s="243">
        <f>IF(Table33[[#This Row],[Category]]="Fall Product",Table33[[#This Row],[Account Deposit Amount]]-Table33[[#This Row],[Account Withdrawl Amount]], )</f>
        <v>0</v>
      </c>
      <c r="J61" s="243">
        <f>IF(Table33[[#This Row],[Category]]="Cookies",Table33[[#This Row],[Account Deposit Amount]]-Table33[[#This Row],[Account Withdrawl Amount]], )</f>
        <v>0</v>
      </c>
      <c r="K61" s="243">
        <f>IF(Table33[[#This Row],[Category]]="Additional Money Earning Activities",Table33[[#This Row],[Account Deposit Amount]]-Table33[[#This Row],[Account Withdrawl Amount]], )</f>
        <v>0</v>
      </c>
      <c r="L61" s="243">
        <f>IF(Table33[[#This Row],[Category]]="Sponsorships",Table33[[#This Row],[Account Deposit Amount]]-Table33[[#This Row],[Account Withdrawl Amount]], )</f>
        <v>0</v>
      </c>
      <c r="M61" s="243">
        <f>IF(Table33[[#This Row],[Category]]="Troop Dues",Table33[[#This Row],[Account Deposit Amount]]-Table33[[#This Row],[Account Withdrawl Amount]], )</f>
        <v>0</v>
      </c>
      <c r="N61" s="243">
        <f>IF(Table33[[#This Row],[Category]]="Other Income",Table33[[#This Row],[Account Deposit Amount]]-Table33[[#This Row],[Account Withdrawl Amount]], )</f>
        <v>0</v>
      </c>
      <c r="O61" s="243">
        <f>IF(Table33[[#This Row],[Category]]="Registration",Table33[[#This Row],[Account Deposit Amount]]-Table33[[#This Row],[Account Withdrawl Amount]], )</f>
        <v>0</v>
      </c>
      <c r="P61" s="243">
        <f>IF(Table33[[#This Row],[Category]]="Insignia",Table33[[#This Row],[Account Deposit Amount]]-Table33[[#This Row],[Account Withdrawl Amount]], )</f>
        <v>0</v>
      </c>
      <c r="Q61" s="243">
        <f>IF(Table33[[#This Row],[Category]]="Activities/Program",Table33[[#This Row],[Account Deposit Amount]]-Table33[[#This Row],[Account Withdrawl Amount]], )</f>
        <v>0</v>
      </c>
      <c r="R61" s="243">
        <f>IF(Table33[[#This Row],[Category]]="Travel",Table33[[#This Row],[Account Deposit Amount]]-Table33[[#This Row],[Account Withdrawl Amount]], )</f>
        <v>0</v>
      </c>
      <c r="S61" s="243">
        <f>IF(Table33[[#This Row],[Category]]="Parties Food &amp; Beverages",Table33[[#This Row],[Account Deposit Amount]]-Table33[[#This Row],[Account Withdrawl Amount]], )</f>
        <v>0</v>
      </c>
      <c r="T61" s="243">
        <f>IF(Table33[[#This Row],[Category]]="Service Projects Donation",Table33[[#This Row],[Account Deposit Amount]]-Table33[[#This Row],[Account Withdrawl Amount]], )</f>
        <v>0</v>
      </c>
      <c r="U61" s="243">
        <f>IF(Table33[[#This Row],[Category]]="Cookie Debt",Table33[[#This Row],[Account Deposit Amount]]-Table33[[#This Row],[Account Withdrawl Amount]], )</f>
        <v>0</v>
      </c>
      <c r="V61" s="243">
        <f>IF(Table33[[#This Row],[Category]]="Other Expense",Table33[[#This Row],[Account Deposit Amount]]-Table33[[#This Row],[Account Withdrawl Amount]], )</f>
        <v>0</v>
      </c>
    </row>
    <row r="62" spans="1:22">
      <c r="A62" s="225"/>
      <c r="B62" s="252"/>
      <c r="C62" s="253"/>
      <c r="D62" s="248"/>
      <c r="E62" s="254"/>
      <c r="F62" s="255"/>
      <c r="G62" s="243">
        <f t="shared" si="2"/>
        <v>0</v>
      </c>
      <c r="H62" s="248"/>
      <c r="I62" s="243">
        <f>IF(Table33[[#This Row],[Category]]="Fall Product",Table33[[#This Row],[Account Deposit Amount]]-Table33[[#This Row],[Account Withdrawl Amount]], )</f>
        <v>0</v>
      </c>
      <c r="J62" s="243">
        <f>IF(Table33[[#This Row],[Category]]="Cookies",Table33[[#This Row],[Account Deposit Amount]]-Table33[[#This Row],[Account Withdrawl Amount]], )</f>
        <v>0</v>
      </c>
      <c r="K62" s="243">
        <f>IF(Table33[[#This Row],[Category]]="Additional Money Earning Activities",Table33[[#This Row],[Account Deposit Amount]]-Table33[[#This Row],[Account Withdrawl Amount]], )</f>
        <v>0</v>
      </c>
      <c r="L62" s="243">
        <f>IF(Table33[[#This Row],[Category]]="Sponsorships",Table33[[#This Row],[Account Deposit Amount]]-Table33[[#This Row],[Account Withdrawl Amount]], )</f>
        <v>0</v>
      </c>
      <c r="M62" s="243">
        <f>IF(Table33[[#This Row],[Category]]="Troop Dues",Table33[[#This Row],[Account Deposit Amount]]-Table33[[#This Row],[Account Withdrawl Amount]], )</f>
        <v>0</v>
      </c>
      <c r="N62" s="243">
        <f>IF(Table33[[#This Row],[Category]]="Other Income",Table33[[#This Row],[Account Deposit Amount]]-Table33[[#This Row],[Account Withdrawl Amount]], )</f>
        <v>0</v>
      </c>
      <c r="O62" s="243">
        <f>IF(Table33[[#This Row],[Category]]="Registration",Table33[[#This Row],[Account Deposit Amount]]-Table33[[#This Row],[Account Withdrawl Amount]], )</f>
        <v>0</v>
      </c>
      <c r="P62" s="243">
        <f>IF(Table33[[#This Row],[Category]]="Insignia",Table33[[#This Row],[Account Deposit Amount]]-Table33[[#This Row],[Account Withdrawl Amount]], )</f>
        <v>0</v>
      </c>
      <c r="Q62" s="243">
        <f>IF(Table33[[#This Row],[Category]]="Activities/Program",Table33[[#This Row],[Account Deposit Amount]]-Table33[[#This Row],[Account Withdrawl Amount]], )</f>
        <v>0</v>
      </c>
      <c r="R62" s="243">
        <f>IF(Table33[[#This Row],[Category]]="Travel",Table33[[#This Row],[Account Deposit Amount]]-Table33[[#This Row],[Account Withdrawl Amount]], )</f>
        <v>0</v>
      </c>
      <c r="S62" s="243">
        <f>IF(Table33[[#This Row],[Category]]="Parties Food &amp; Beverages",Table33[[#This Row],[Account Deposit Amount]]-Table33[[#This Row],[Account Withdrawl Amount]], )</f>
        <v>0</v>
      </c>
      <c r="T62" s="243">
        <f>IF(Table33[[#This Row],[Category]]="Service Projects Donation",Table33[[#This Row],[Account Deposit Amount]]-Table33[[#This Row],[Account Withdrawl Amount]], )</f>
        <v>0</v>
      </c>
      <c r="U62" s="243">
        <f>IF(Table33[[#This Row],[Category]]="Cookie Debt",Table33[[#This Row],[Account Deposit Amount]]-Table33[[#This Row],[Account Withdrawl Amount]], )</f>
        <v>0</v>
      </c>
      <c r="V62" s="243">
        <f>IF(Table33[[#This Row],[Category]]="Other Expense",Table33[[#This Row],[Account Deposit Amount]]-Table33[[#This Row],[Account Withdrawl Amount]], )</f>
        <v>0</v>
      </c>
    </row>
    <row r="63" spans="1:22">
      <c r="A63" s="225"/>
      <c r="B63" s="249"/>
      <c r="C63" s="256"/>
      <c r="D63" s="247"/>
      <c r="E63" s="250"/>
      <c r="F63" s="257"/>
      <c r="G63" s="243">
        <f t="shared" si="2"/>
        <v>0</v>
      </c>
      <c r="H63" s="247"/>
      <c r="I63" s="243">
        <f>IF(Table33[[#This Row],[Category]]="Fall Product",Table33[[#This Row],[Account Deposit Amount]]-Table33[[#This Row],[Account Withdrawl Amount]], )</f>
        <v>0</v>
      </c>
      <c r="J63" s="243">
        <f>IF(Table33[[#This Row],[Category]]="Cookies",Table33[[#This Row],[Account Deposit Amount]]-Table33[[#This Row],[Account Withdrawl Amount]], )</f>
        <v>0</v>
      </c>
      <c r="K63" s="243">
        <f>IF(Table33[[#This Row],[Category]]="Additional Money Earning Activities",Table33[[#This Row],[Account Deposit Amount]]-Table33[[#This Row],[Account Withdrawl Amount]], )</f>
        <v>0</v>
      </c>
      <c r="L63" s="243">
        <f>IF(Table33[[#This Row],[Category]]="Sponsorships",Table33[[#This Row],[Account Deposit Amount]]-Table33[[#This Row],[Account Withdrawl Amount]], )</f>
        <v>0</v>
      </c>
      <c r="M63" s="243">
        <f>IF(Table33[[#This Row],[Category]]="Troop Dues",Table33[[#This Row],[Account Deposit Amount]]-Table33[[#This Row],[Account Withdrawl Amount]], )</f>
        <v>0</v>
      </c>
      <c r="N63" s="243">
        <f>IF(Table33[[#This Row],[Category]]="Other Income",Table33[[#This Row],[Account Deposit Amount]]-Table33[[#This Row],[Account Withdrawl Amount]], )</f>
        <v>0</v>
      </c>
      <c r="O63" s="243">
        <f>IF(Table33[[#This Row],[Category]]="Registration",Table33[[#This Row],[Account Deposit Amount]]-Table33[[#This Row],[Account Withdrawl Amount]], )</f>
        <v>0</v>
      </c>
      <c r="P63" s="243">
        <f>IF(Table33[[#This Row],[Category]]="Insignia",Table33[[#This Row],[Account Deposit Amount]]-Table33[[#This Row],[Account Withdrawl Amount]], )</f>
        <v>0</v>
      </c>
      <c r="Q63" s="243">
        <f>IF(Table33[[#This Row],[Category]]="Activities/Program",Table33[[#This Row],[Account Deposit Amount]]-Table33[[#This Row],[Account Withdrawl Amount]], )</f>
        <v>0</v>
      </c>
      <c r="R63" s="243">
        <f>IF(Table33[[#This Row],[Category]]="Travel",Table33[[#This Row],[Account Deposit Amount]]-Table33[[#This Row],[Account Withdrawl Amount]], )</f>
        <v>0</v>
      </c>
      <c r="S63" s="243">
        <f>IF(Table33[[#This Row],[Category]]="Parties Food &amp; Beverages",Table33[[#This Row],[Account Deposit Amount]]-Table33[[#This Row],[Account Withdrawl Amount]], )</f>
        <v>0</v>
      </c>
      <c r="T63" s="243">
        <f>IF(Table33[[#This Row],[Category]]="Service Projects Donation",Table33[[#This Row],[Account Deposit Amount]]-Table33[[#This Row],[Account Withdrawl Amount]], )</f>
        <v>0</v>
      </c>
      <c r="U63" s="243">
        <f>IF(Table33[[#This Row],[Category]]="Cookie Debt",Table33[[#This Row],[Account Deposit Amount]]-Table33[[#This Row],[Account Withdrawl Amount]], )</f>
        <v>0</v>
      </c>
      <c r="V63" s="243">
        <f>IF(Table33[[#This Row],[Category]]="Other Expense",Table33[[#This Row],[Account Deposit Amount]]-Table33[[#This Row],[Account Withdrawl Amount]], )</f>
        <v>0</v>
      </c>
    </row>
    <row r="64" spans="1:22">
      <c r="A64" s="225"/>
      <c r="B64" s="252"/>
      <c r="C64" s="253"/>
      <c r="D64" s="248"/>
      <c r="E64" s="254"/>
      <c r="F64" s="255"/>
      <c r="G64" s="243">
        <f t="shared" si="2"/>
        <v>0</v>
      </c>
      <c r="H64" s="248"/>
      <c r="I64" s="243">
        <f>IF(Table33[[#This Row],[Category]]="Fall Product",Table33[[#This Row],[Account Deposit Amount]]-Table33[[#This Row],[Account Withdrawl Amount]], )</f>
        <v>0</v>
      </c>
      <c r="J64" s="243">
        <f>IF(Table33[[#This Row],[Category]]="Cookies",Table33[[#This Row],[Account Deposit Amount]]-Table33[[#This Row],[Account Withdrawl Amount]], )</f>
        <v>0</v>
      </c>
      <c r="K64" s="243">
        <f>IF(Table33[[#This Row],[Category]]="Additional Money Earning Activities",Table33[[#This Row],[Account Deposit Amount]]-Table33[[#This Row],[Account Withdrawl Amount]], )</f>
        <v>0</v>
      </c>
      <c r="L64" s="243">
        <f>IF(Table33[[#This Row],[Category]]="Sponsorships",Table33[[#This Row],[Account Deposit Amount]]-Table33[[#This Row],[Account Withdrawl Amount]], )</f>
        <v>0</v>
      </c>
      <c r="M64" s="243">
        <f>IF(Table33[[#This Row],[Category]]="Troop Dues",Table33[[#This Row],[Account Deposit Amount]]-Table33[[#This Row],[Account Withdrawl Amount]], )</f>
        <v>0</v>
      </c>
      <c r="N64" s="243">
        <f>IF(Table33[[#This Row],[Category]]="Other Income",Table33[[#This Row],[Account Deposit Amount]]-Table33[[#This Row],[Account Withdrawl Amount]], )</f>
        <v>0</v>
      </c>
      <c r="O64" s="243">
        <f>IF(Table33[[#This Row],[Category]]="Registration",Table33[[#This Row],[Account Deposit Amount]]-Table33[[#This Row],[Account Withdrawl Amount]], )</f>
        <v>0</v>
      </c>
      <c r="P64" s="243">
        <f>IF(Table33[[#This Row],[Category]]="Insignia",Table33[[#This Row],[Account Deposit Amount]]-Table33[[#This Row],[Account Withdrawl Amount]], )</f>
        <v>0</v>
      </c>
      <c r="Q64" s="243">
        <f>IF(Table33[[#This Row],[Category]]="Activities/Program",Table33[[#This Row],[Account Deposit Amount]]-Table33[[#This Row],[Account Withdrawl Amount]], )</f>
        <v>0</v>
      </c>
      <c r="R64" s="243">
        <f>IF(Table33[[#This Row],[Category]]="Travel",Table33[[#This Row],[Account Deposit Amount]]-Table33[[#This Row],[Account Withdrawl Amount]], )</f>
        <v>0</v>
      </c>
      <c r="S64" s="243">
        <f>IF(Table33[[#This Row],[Category]]="Parties Food &amp; Beverages",Table33[[#This Row],[Account Deposit Amount]]-Table33[[#This Row],[Account Withdrawl Amount]], )</f>
        <v>0</v>
      </c>
      <c r="T64" s="243">
        <f>IF(Table33[[#This Row],[Category]]="Service Projects Donation",Table33[[#This Row],[Account Deposit Amount]]-Table33[[#This Row],[Account Withdrawl Amount]], )</f>
        <v>0</v>
      </c>
      <c r="U64" s="243">
        <f>IF(Table33[[#This Row],[Category]]="Cookie Debt",Table33[[#This Row],[Account Deposit Amount]]-Table33[[#This Row],[Account Withdrawl Amount]], )</f>
        <v>0</v>
      </c>
      <c r="V64" s="243">
        <f>IF(Table33[[#This Row],[Category]]="Other Expense",Table33[[#This Row],[Account Deposit Amount]]-Table33[[#This Row],[Account Withdrawl Amount]], )</f>
        <v>0</v>
      </c>
    </row>
    <row r="65" spans="1:22">
      <c r="A65" s="225"/>
      <c r="B65" s="249"/>
      <c r="C65" s="256"/>
      <c r="D65" s="247"/>
      <c r="E65" s="251"/>
      <c r="F65" s="250"/>
      <c r="G65" s="243">
        <f t="shared" si="2"/>
        <v>0</v>
      </c>
      <c r="H65" s="247"/>
      <c r="I65" s="243">
        <f>IF(Table33[[#This Row],[Category]]="Fall Product",Table33[[#This Row],[Account Deposit Amount]]-Table33[[#This Row],[Account Withdrawl Amount]], )</f>
        <v>0</v>
      </c>
      <c r="J65" s="243">
        <f>IF(Table33[[#This Row],[Category]]="Cookies",Table33[[#This Row],[Account Deposit Amount]]-Table33[[#This Row],[Account Withdrawl Amount]], )</f>
        <v>0</v>
      </c>
      <c r="K65" s="243">
        <f>IF(Table33[[#This Row],[Category]]="Additional Money Earning Activities",Table33[[#This Row],[Account Deposit Amount]]-Table33[[#This Row],[Account Withdrawl Amount]], )</f>
        <v>0</v>
      </c>
      <c r="L65" s="243">
        <f>IF(Table33[[#This Row],[Category]]="Sponsorships",Table33[[#This Row],[Account Deposit Amount]]-Table33[[#This Row],[Account Withdrawl Amount]], )</f>
        <v>0</v>
      </c>
      <c r="M65" s="243">
        <f>IF(Table33[[#This Row],[Category]]="Troop Dues",Table33[[#This Row],[Account Deposit Amount]]-Table33[[#This Row],[Account Withdrawl Amount]], )</f>
        <v>0</v>
      </c>
      <c r="N65" s="243">
        <f>IF(Table33[[#This Row],[Category]]="Other Income",Table33[[#This Row],[Account Deposit Amount]]-Table33[[#This Row],[Account Withdrawl Amount]], )</f>
        <v>0</v>
      </c>
      <c r="O65" s="243">
        <f>IF(Table33[[#This Row],[Category]]="Registration",Table33[[#This Row],[Account Deposit Amount]]-Table33[[#This Row],[Account Withdrawl Amount]], )</f>
        <v>0</v>
      </c>
      <c r="P65" s="243">
        <f>IF(Table33[[#This Row],[Category]]="Insignia",Table33[[#This Row],[Account Deposit Amount]]-Table33[[#This Row],[Account Withdrawl Amount]], )</f>
        <v>0</v>
      </c>
      <c r="Q65" s="243">
        <f>IF(Table33[[#This Row],[Category]]="Activities/Program",Table33[[#This Row],[Account Deposit Amount]]-Table33[[#This Row],[Account Withdrawl Amount]], )</f>
        <v>0</v>
      </c>
      <c r="R65" s="243">
        <f>IF(Table33[[#This Row],[Category]]="Travel",Table33[[#This Row],[Account Deposit Amount]]-Table33[[#This Row],[Account Withdrawl Amount]], )</f>
        <v>0</v>
      </c>
      <c r="S65" s="243">
        <f>IF(Table33[[#This Row],[Category]]="Parties Food &amp; Beverages",Table33[[#This Row],[Account Deposit Amount]]-Table33[[#This Row],[Account Withdrawl Amount]], )</f>
        <v>0</v>
      </c>
      <c r="T65" s="243">
        <f>IF(Table33[[#This Row],[Category]]="Service Projects Donation",Table33[[#This Row],[Account Deposit Amount]]-Table33[[#This Row],[Account Withdrawl Amount]], )</f>
        <v>0</v>
      </c>
      <c r="U65" s="243">
        <f>IF(Table33[[#This Row],[Category]]="Cookie Debt",Table33[[#This Row],[Account Deposit Amount]]-Table33[[#This Row],[Account Withdrawl Amount]], )</f>
        <v>0</v>
      </c>
      <c r="V65" s="243">
        <f>IF(Table33[[#This Row],[Category]]="Other Expense",Table33[[#This Row],[Account Deposit Amount]]-Table33[[#This Row],[Account Withdrawl Amount]], )</f>
        <v>0</v>
      </c>
    </row>
    <row r="66" spans="1:22">
      <c r="A66" s="225"/>
      <c r="B66" s="252"/>
      <c r="C66" s="253"/>
      <c r="D66" s="248"/>
      <c r="E66" s="254"/>
      <c r="F66" s="255"/>
      <c r="G66" s="243">
        <f t="shared" si="2"/>
        <v>0</v>
      </c>
      <c r="H66" s="248"/>
      <c r="I66" s="243">
        <f>IF(Table33[[#This Row],[Category]]="Fall Product",Table33[[#This Row],[Account Deposit Amount]]-Table33[[#This Row],[Account Withdrawl Amount]], )</f>
        <v>0</v>
      </c>
      <c r="J66" s="243">
        <f>IF(Table33[[#This Row],[Category]]="Cookies",Table33[[#This Row],[Account Deposit Amount]]-Table33[[#This Row],[Account Withdrawl Amount]], )</f>
        <v>0</v>
      </c>
      <c r="K66" s="243">
        <f>IF(Table33[[#This Row],[Category]]="Additional Money Earning Activities",Table33[[#This Row],[Account Deposit Amount]]-Table33[[#This Row],[Account Withdrawl Amount]], )</f>
        <v>0</v>
      </c>
      <c r="L66" s="243">
        <f>IF(Table33[[#This Row],[Category]]="Sponsorships",Table33[[#This Row],[Account Deposit Amount]]-Table33[[#This Row],[Account Withdrawl Amount]], )</f>
        <v>0</v>
      </c>
      <c r="M66" s="243">
        <f>IF(Table33[[#This Row],[Category]]="Troop Dues",Table33[[#This Row],[Account Deposit Amount]]-Table33[[#This Row],[Account Withdrawl Amount]], )</f>
        <v>0</v>
      </c>
      <c r="N66" s="243">
        <f>IF(Table33[[#This Row],[Category]]="Other Income",Table33[[#This Row],[Account Deposit Amount]]-Table33[[#This Row],[Account Withdrawl Amount]], )</f>
        <v>0</v>
      </c>
      <c r="O66" s="243">
        <f>IF(Table33[[#This Row],[Category]]="Registration",Table33[[#This Row],[Account Deposit Amount]]-Table33[[#This Row],[Account Withdrawl Amount]], )</f>
        <v>0</v>
      </c>
      <c r="P66" s="243">
        <f>IF(Table33[[#This Row],[Category]]="Insignia",Table33[[#This Row],[Account Deposit Amount]]-Table33[[#This Row],[Account Withdrawl Amount]], )</f>
        <v>0</v>
      </c>
      <c r="Q66" s="243">
        <f>IF(Table33[[#This Row],[Category]]="Activities/Program",Table33[[#This Row],[Account Deposit Amount]]-Table33[[#This Row],[Account Withdrawl Amount]], )</f>
        <v>0</v>
      </c>
      <c r="R66" s="243">
        <f>IF(Table33[[#This Row],[Category]]="Travel",Table33[[#This Row],[Account Deposit Amount]]-Table33[[#This Row],[Account Withdrawl Amount]], )</f>
        <v>0</v>
      </c>
      <c r="S66" s="243">
        <f>IF(Table33[[#This Row],[Category]]="Parties Food &amp; Beverages",Table33[[#This Row],[Account Deposit Amount]]-Table33[[#This Row],[Account Withdrawl Amount]], )</f>
        <v>0</v>
      </c>
      <c r="T66" s="243">
        <f>IF(Table33[[#This Row],[Category]]="Service Projects Donation",Table33[[#This Row],[Account Deposit Amount]]-Table33[[#This Row],[Account Withdrawl Amount]], )</f>
        <v>0</v>
      </c>
      <c r="U66" s="243">
        <f>IF(Table33[[#This Row],[Category]]="Cookie Debt",Table33[[#This Row],[Account Deposit Amount]]-Table33[[#This Row],[Account Withdrawl Amount]], )</f>
        <v>0</v>
      </c>
      <c r="V66" s="243">
        <f>IF(Table33[[#This Row],[Category]]="Other Expense",Table33[[#This Row],[Account Deposit Amount]]-Table33[[#This Row],[Account Withdrawl Amount]], )</f>
        <v>0</v>
      </c>
    </row>
    <row r="67" spans="1:22">
      <c r="A67" s="225"/>
      <c r="B67" s="249"/>
      <c r="C67" s="256"/>
      <c r="D67" s="247"/>
      <c r="E67" s="250"/>
      <c r="F67" s="257"/>
      <c r="G67" s="243">
        <f t="shared" si="2"/>
        <v>0</v>
      </c>
      <c r="H67" s="247"/>
      <c r="I67" s="243">
        <f>IF(Table33[[#This Row],[Category]]="Fall Product",Table33[[#This Row],[Account Deposit Amount]]-Table33[[#This Row],[Account Withdrawl Amount]], )</f>
        <v>0</v>
      </c>
      <c r="J67" s="243">
        <f>IF(Table33[[#This Row],[Category]]="Cookies",Table33[[#This Row],[Account Deposit Amount]]-Table33[[#This Row],[Account Withdrawl Amount]], )</f>
        <v>0</v>
      </c>
      <c r="K67" s="243">
        <f>IF(Table33[[#This Row],[Category]]="Additional Money Earning Activities",Table33[[#This Row],[Account Deposit Amount]]-Table33[[#This Row],[Account Withdrawl Amount]], )</f>
        <v>0</v>
      </c>
      <c r="L67" s="243">
        <f>IF(Table33[[#This Row],[Category]]="Sponsorships",Table33[[#This Row],[Account Deposit Amount]]-Table33[[#This Row],[Account Withdrawl Amount]], )</f>
        <v>0</v>
      </c>
      <c r="M67" s="243">
        <f>IF(Table33[[#This Row],[Category]]="Troop Dues",Table33[[#This Row],[Account Deposit Amount]]-Table33[[#This Row],[Account Withdrawl Amount]], )</f>
        <v>0</v>
      </c>
      <c r="N67" s="243">
        <f>IF(Table33[[#This Row],[Category]]="Other Income",Table33[[#This Row],[Account Deposit Amount]]-Table33[[#This Row],[Account Withdrawl Amount]], )</f>
        <v>0</v>
      </c>
      <c r="O67" s="243">
        <f>IF(Table33[[#This Row],[Category]]="Registration",Table33[[#This Row],[Account Deposit Amount]]-Table33[[#This Row],[Account Withdrawl Amount]], )</f>
        <v>0</v>
      </c>
      <c r="P67" s="243">
        <f>IF(Table33[[#This Row],[Category]]="Insignia",Table33[[#This Row],[Account Deposit Amount]]-Table33[[#This Row],[Account Withdrawl Amount]], )</f>
        <v>0</v>
      </c>
      <c r="Q67" s="243">
        <f>IF(Table33[[#This Row],[Category]]="Activities/Program",Table33[[#This Row],[Account Deposit Amount]]-Table33[[#This Row],[Account Withdrawl Amount]], )</f>
        <v>0</v>
      </c>
      <c r="R67" s="243">
        <f>IF(Table33[[#This Row],[Category]]="Travel",Table33[[#This Row],[Account Deposit Amount]]-Table33[[#This Row],[Account Withdrawl Amount]], )</f>
        <v>0</v>
      </c>
      <c r="S67" s="243">
        <f>IF(Table33[[#This Row],[Category]]="Parties Food &amp; Beverages",Table33[[#This Row],[Account Deposit Amount]]-Table33[[#This Row],[Account Withdrawl Amount]], )</f>
        <v>0</v>
      </c>
      <c r="T67" s="243">
        <f>IF(Table33[[#This Row],[Category]]="Service Projects Donation",Table33[[#This Row],[Account Deposit Amount]]-Table33[[#This Row],[Account Withdrawl Amount]], )</f>
        <v>0</v>
      </c>
      <c r="U67" s="243">
        <f>IF(Table33[[#This Row],[Category]]="Cookie Debt",Table33[[#This Row],[Account Deposit Amount]]-Table33[[#This Row],[Account Withdrawl Amount]], )</f>
        <v>0</v>
      </c>
      <c r="V67" s="243">
        <f>IF(Table33[[#This Row],[Category]]="Other Expense",Table33[[#This Row],[Account Deposit Amount]]-Table33[[#This Row],[Account Withdrawl Amount]], )</f>
        <v>0</v>
      </c>
    </row>
    <row r="68" spans="1:22">
      <c r="A68" s="225"/>
      <c r="B68" s="252"/>
      <c r="C68" s="253"/>
      <c r="D68" s="248"/>
      <c r="E68" s="254"/>
      <c r="F68" s="255"/>
      <c r="G68" s="243">
        <f t="shared" si="2"/>
        <v>0</v>
      </c>
      <c r="H68" s="248"/>
      <c r="I68" s="243">
        <f>IF(Table33[[#This Row],[Category]]="Fall Product",Table33[[#This Row],[Account Deposit Amount]]-Table33[[#This Row],[Account Withdrawl Amount]], )</f>
        <v>0</v>
      </c>
      <c r="J68" s="243">
        <f>IF(Table33[[#This Row],[Category]]="Cookies",Table33[[#This Row],[Account Deposit Amount]]-Table33[[#This Row],[Account Withdrawl Amount]], )</f>
        <v>0</v>
      </c>
      <c r="K68" s="243">
        <f>IF(Table33[[#This Row],[Category]]="Additional Money Earning Activities",Table33[[#This Row],[Account Deposit Amount]]-Table33[[#This Row],[Account Withdrawl Amount]], )</f>
        <v>0</v>
      </c>
      <c r="L68" s="243">
        <f>IF(Table33[[#This Row],[Category]]="Sponsorships",Table33[[#This Row],[Account Deposit Amount]]-Table33[[#This Row],[Account Withdrawl Amount]], )</f>
        <v>0</v>
      </c>
      <c r="M68" s="243">
        <f>IF(Table33[[#This Row],[Category]]="Troop Dues",Table33[[#This Row],[Account Deposit Amount]]-Table33[[#This Row],[Account Withdrawl Amount]], )</f>
        <v>0</v>
      </c>
      <c r="N68" s="243">
        <f>IF(Table33[[#This Row],[Category]]="Other Income",Table33[[#This Row],[Account Deposit Amount]]-Table33[[#This Row],[Account Withdrawl Amount]], )</f>
        <v>0</v>
      </c>
      <c r="O68" s="243">
        <f>IF(Table33[[#This Row],[Category]]="Registration",Table33[[#This Row],[Account Deposit Amount]]-Table33[[#This Row],[Account Withdrawl Amount]], )</f>
        <v>0</v>
      </c>
      <c r="P68" s="243">
        <f>IF(Table33[[#This Row],[Category]]="Insignia",Table33[[#This Row],[Account Deposit Amount]]-Table33[[#This Row],[Account Withdrawl Amount]], )</f>
        <v>0</v>
      </c>
      <c r="Q68" s="243">
        <f>IF(Table33[[#This Row],[Category]]="Activities/Program",Table33[[#This Row],[Account Deposit Amount]]-Table33[[#This Row],[Account Withdrawl Amount]], )</f>
        <v>0</v>
      </c>
      <c r="R68" s="243">
        <f>IF(Table33[[#This Row],[Category]]="Travel",Table33[[#This Row],[Account Deposit Amount]]-Table33[[#This Row],[Account Withdrawl Amount]], )</f>
        <v>0</v>
      </c>
      <c r="S68" s="243">
        <f>IF(Table33[[#This Row],[Category]]="Parties Food &amp; Beverages",Table33[[#This Row],[Account Deposit Amount]]-Table33[[#This Row],[Account Withdrawl Amount]], )</f>
        <v>0</v>
      </c>
      <c r="T68" s="243">
        <f>IF(Table33[[#This Row],[Category]]="Service Projects Donation",Table33[[#This Row],[Account Deposit Amount]]-Table33[[#This Row],[Account Withdrawl Amount]], )</f>
        <v>0</v>
      </c>
      <c r="U68" s="243">
        <f>IF(Table33[[#This Row],[Category]]="Cookie Debt",Table33[[#This Row],[Account Deposit Amount]]-Table33[[#This Row],[Account Withdrawl Amount]], )</f>
        <v>0</v>
      </c>
      <c r="V68" s="243">
        <f>IF(Table33[[#This Row],[Category]]="Other Expense",Table33[[#This Row],[Account Deposit Amount]]-Table33[[#This Row],[Account Withdrawl Amount]], )</f>
        <v>0</v>
      </c>
    </row>
    <row r="69" spans="1:22">
      <c r="A69" s="225"/>
      <c r="B69" s="249"/>
      <c r="C69" s="256"/>
      <c r="D69" s="247"/>
      <c r="E69" s="251"/>
      <c r="F69" s="250"/>
      <c r="G69" s="243">
        <f t="shared" ref="G69:G132" si="3">G68+E69-F69</f>
        <v>0</v>
      </c>
      <c r="H69" s="247"/>
      <c r="I69" s="243">
        <f>IF(Table33[[#This Row],[Category]]="Fall Product",Table33[[#This Row],[Account Deposit Amount]]-Table33[[#This Row],[Account Withdrawl Amount]], )</f>
        <v>0</v>
      </c>
      <c r="J69" s="243">
        <f>IF(Table33[[#This Row],[Category]]="Cookies",Table33[[#This Row],[Account Deposit Amount]]-Table33[[#This Row],[Account Withdrawl Amount]], )</f>
        <v>0</v>
      </c>
      <c r="K69" s="243">
        <f>IF(Table33[[#This Row],[Category]]="Additional Money Earning Activities",Table33[[#This Row],[Account Deposit Amount]]-Table33[[#This Row],[Account Withdrawl Amount]], )</f>
        <v>0</v>
      </c>
      <c r="L69" s="243">
        <f>IF(Table33[[#This Row],[Category]]="Sponsorships",Table33[[#This Row],[Account Deposit Amount]]-Table33[[#This Row],[Account Withdrawl Amount]], )</f>
        <v>0</v>
      </c>
      <c r="M69" s="243">
        <f>IF(Table33[[#This Row],[Category]]="Troop Dues",Table33[[#This Row],[Account Deposit Amount]]-Table33[[#This Row],[Account Withdrawl Amount]], )</f>
        <v>0</v>
      </c>
      <c r="N69" s="243">
        <f>IF(Table33[[#This Row],[Category]]="Other Income",Table33[[#This Row],[Account Deposit Amount]]-Table33[[#This Row],[Account Withdrawl Amount]], )</f>
        <v>0</v>
      </c>
      <c r="O69" s="243">
        <f>IF(Table33[[#This Row],[Category]]="Registration",Table33[[#This Row],[Account Deposit Amount]]-Table33[[#This Row],[Account Withdrawl Amount]], )</f>
        <v>0</v>
      </c>
      <c r="P69" s="243">
        <f>IF(Table33[[#This Row],[Category]]="Insignia",Table33[[#This Row],[Account Deposit Amount]]-Table33[[#This Row],[Account Withdrawl Amount]], )</f>
        <v>0</v>
      </c>
      <c r="Q69" s="243">
        <f>IF(Table33[[#This Row],[Category]]="Activities/Program",Table33[[#This Row],[Account Deposit Amount]]-Table33[[#This Row],[Account Withdrawl Amount]], )</f>
        <v>0</v>
      </c>
      <c r="R69" s="243">
        <f>IF(Table33[[#This Row],[Category]]="Travel",Table33[[#This Row],[Account Deposit Amount]]-Table33[[#This Row],[Account Withdrawl Amount]], )</f>
        <v>0</v>
      </c>
      <c r="S69" s="243">
        <f>IF(Table33[[#This Row],[Category]]="Parties Food &amp; Beverages",Table33[[#This Row],[Account Deposit Amount]]-Table33[[#This Row],[Account Withdrawl Amount]], )</f>
        <v>0</v>
      </c>
      <c r="T69" s="243">
        <f>IF(Table33[[#This Row],[Category]]="Service Projects Donation",Table33[[#This Row],[Account Deposit Amount]]-Table33[[#This Row],[Account Withdrawl Amount]], )</f>
        <v>0</v>
      </c>
      <c r="U69" s="243">
        <f>IF(Table33[[#This Row],[Category]]="Cookie Debt",Table33[[#This Row],[Account Deposit Amount]]-Table33[[#This Row],[Account Withdrawl Amount]], )</f>
        <v>0</v>
      </c>
      <c r="V69" s="243">
        <f>IF(Table33[[#This Row],[Category]]="Other Expense",Table33[[#This Row],[Account Deposit Amount]]-Table33[[#This Row],[Account Withdrawl Amount]], )</f>
        <v>0</v>
      </c>
    </row>
    <row r="70" spans="1:22">
      <c r="A70" s="225"/>
      <c r="B70" s="252"/>
      <c r="C70" s="253"/>
      <c r="D70" s="248"/>
      <c r="E70" s="254"/>
      <c r="F70" s="255"/>
      <c r="G70" s="243">
        <f t="shared" si="3"/>
        <v>0</v>
      </c>
      <c r="H70" s="248"/>
      <c r="I70" s="243">
        <f>IF(Table33[[#This Row],[Category]]="Fall Product",Table33[[#This Row],[Account Deposit Amount]]-Table33[[#This Row],[Account Withdrawl Amount]], )</f>
        <v>0</v>
      </c>
      <c r="J70" s="243">
        <f>IF(Table33[[#This Row],[Category]]="Cookies",Table33[[#This Row],[Account Deposit Amount]]-Table33[[#This Row],[Account Withdrawl Amount]], )</f>
        <v>0</v>
      </c>
      <c r="K70" s="243">
        <f>IF(Table33[[#This Row],[Category]]="Additional Money Earning Activities",Table33[[#This Row],[Account Deposit Amount]]-Table33[[#This Row],[Account Withdrawl Amount]], )</f>
        <v>0</v>
      </c>
      <c r="L70" s="243">
        <f>IF(Table33[[#This Row],[Category]]="Sponsorships",Table33[[#This Row],[Account Deposit Amount]]-Table33[[#This Row],[Account Withdrawl Amount]], )</f>
        <v>0</v>
      </c>
      <c r="M70" s="243">
        <f>IF(Table33[[#This Row],[Category]]="Troop Dues",Table33[[#This Row],[Account Deposit Amount]]-Table33[[#This Row],[Account Withdrawl Amount]], )</f>
        <v>0</v>
      </c>
      <c r="N70" s="243">
        <f>IF(Table33[[#This Row],[Category]]="Other Income",Table33[[#This Row],[Account Deposit Amount]]-Table33[[#This Row],[Account Withdrawl Amount]], )</f>
        <v>0</v>
      </c>
      <c r="O70" s="243">
        <f>IF(Table33[[#This Row],[Category]]="Registration",Table33[[#This Row],[Account Deposit Amount]]-Table33[[#This Row],[Account Withdrawl Amount]], )</f>
        <v>0</v>
      </c>
      <c r="P70" s="243">
        <f>IF(Table33[[#This Row],[Category]]="Insignia",Table33[[#This Row],[Account Deposit Amount]]-Table33[[#This Row],[Account Withdrawl Amount]], )</f>
        <v>0</v>
      </c>
      <c r="Q70" s="243">
        <f>IF(Table33[[#This Row],[Category]]="Activities/Program",Table33[[#This Row],[Account Deposit Amount]]-Table33[[#This Row],[Account Withdrawl Amount]], )</f>
        <v>0</v>
      </c>
      <c r="R70" s="243">
        <f>IF(Table33[[#This Row],[Category]]="Travel",Table33[[#This Row],[Account Deposit Amount]]-Table33[[#This Row],[Account Withdrawl Amount]], )</f>
        <v>0</v>
      </c>
      <c r="S70" s="243">
        <f>IF(Table33[[#This Row],[Category]]="Parties Food &amp; Beverages",Table33[[#This Row],[Account Deposit Amount]]-Table33[[#This Row],[Account Withdrawl Amount]], )</f>
        <v>0</v>
      </c>
      <c r="T70" s="243">
        <f>IF(Table33[[#This Row],[Category]]="Service Projects Donation",Table33[[#This Row],[Account Deposit Amount]]-Table33[[#This Row],[Account Withdrawl Amount]], )</f>
        <v>0</v>
      </c>
      <c r="U70" s="243">
        <f>IF(Table33[[#This Row],[Category]]="Cookie Debt",Table33[[#This Row],[Account Deposit Amount]]-Table33[[#This Row],[Account Withdrawl Amount]], )</f>
        <v>0</v>
      </c>
      <c r="V70" s="243">
        <f>IF(Table33[[#This Row],[Category]]="Other Expense",Table33[[#This Row],[Account Deposit Amount]]-Table33[[#This Row],[Account Withdrawl Amount]], )</f>
        <v>0</v>
      </c>
    </row>
    <row r="71" spans="1:22">
      <c r="A71" s="225"/>
      <c r="B71" s="249"/>
      <c r="C71" s="256"/>
      <c r="D71" s="247"/>
      <c r="E71" s="250"/>
      <c r="F71" s="257"/>
      <c r="G71" s="243">
        <f t="shared" si="3"/>
        <v>0</v>
      </c>
      <c r="H71" s="247"/>
      <c r="I71" s="243">
        <f>IF(Table33[[#This Row],[Category]]="Fall Product",Table33[[#This Row],[Account Deposit Amount]]-Table33[[#This Row],[Account Withdrawl Amount]], )</f>
        <v>0</v>
      </c>
      <c r="J71" s="243">
        <f>IF(Table33[[#This Row],[Category]]="Cookies",Table33[[#This Row],[Account Deposit Amount]]-Table33[[#This Row],[Account Withdrawl Amount]], )</f>
        <v>0</v>
      </c>
      <c r="K71" s="243">
        <f>IF(Table33[[#This Row],[Category]]="Additional Money Earning Activities",Table33[[#This Row],[Account Deposit Amount]]-Table33[[#This Row],[Account Withdrawl Amount]], )</f>
        <v>0</v>
      </c>
      <c r="L71" s="243">
        <f>IF(Table33[[#This Row],[Category]]="Sponsorships",Table33[[#This Row],[Account Deposit Amount]]-Table33[[#This Row],[Account Withdrawl Amount]], )</f>
        <v>0</v>
      </c>
      <c r="M71" s="243">
        <f>IF(Table33[[#This Row],[Category]]="Troop Dues",Table33[[#This Row],[Account Deposit Amount]]-Table33[[#This Row],[Account Withdrawl Amount]], )</f>
        <v>0</v>
      </c>
      <c r="N71" s="243">
        <f>IF(Table33[[#This Row],[Category]]="Other Income",Table33[[#This Row],[Account Deposit Amount]]-Table33[[#This Row],[Account Withdrawl Amount]], )</f>
        <v>0</v>
      </c>
      <c r="O71" s="243">
        <f>IF(Table33[[#This Row],[Category]]="Registration",Table33[[#This Row],[Account Deposit Amount]]-Table33[[#This Row],[Account Withdrawl Amount]], )</f>
        <v>0</v>
      </c>
      <c r="P71" s="243">
        <f>IF(Table33[[#This Row],[Category]]="Insignia",Table33[[#This Row],[Account Deposit Amount]]-Table33[[#This Row],[Account Withdrawl Amount]], )</f>
        <v>0</v>
      </c>
      <c r="Q71" s="243">
        <f>IF(Table33[[#This Row],[Category]]="Activities/Program",Table33[[#This Row],[Account Deposit Amount]]-Table33[[#This Row],[Account Withdrawl Amount]], )</f>
        <v>0</v>
      </c>
      <c r="R71" s="243">
        <f>IF(Table33[[#This Row],[Category]]="Travel",Table33[[#This Row],[Account Deposit Amount]]-Table33[[#This Row],[Account Withdrawl Amount]], )</f>
        <v>0</v>
      </c>
      <c r="S71" s="243">
        <f>IF(Table33[[#This Row],[Category]]="Parties Food &amp; Beverages",Table33[[#This Row],[Account Deposit Amount]]-Table33[[#This Row],[Account Withdrawl Amount]], )</f>
        <v>0</v>
      </c>
      <c r="T71" s="243">
        <f>IF(Table33[[#This Row],[Category]]="Service Projects Donation",Table33[[#This Row],[Account Deposit Amount]]-Table33[[#This Row],[Account Withdrawl Amount]], )</f>
        <v>0</v>
      </c>
      <c r="U71" s="243">
        <f>IF(Table33[[#This Row],[Category]]="Cookie Debt",Table33[[#This Row],[Account Deposit Amount]]-Table33[[#This Row],[Account Withdrawl Amount]], )</f>
        <v>0</v>
      </c>
      <c r="V71" s="243">
        <f>IF(Table33[[#This Row],[Category]]="Other Expense",Table33[[#This Row],[Account Deposit Amount]]-Table33[[#This Row],[Account Withdrawl Amount]], )</f>
        <v>0</v>
      </c>
    </row>
    <row r="72" spans="1:22">
      <c r="A72" s="225"/>
      <c r="B72" s="252"/>
      <c r="C72" s="253"/>
      <c r="D72" s="248"/>
      <c r="E72" s="254"/>
      <c r="F72" s="255"/>
      <c r="G72" s="243">
        <f t="shared" si="3"/>
        <v>0</v>
      </c>
      <c r="H72" s="248"/>
      <c r="I72" s="243">
        <f>IF(Table33[[#This Row],[Category]]="Fall Product",Table33[[#This Row],[Account Deposit Amount]]-Table33[[#This Row],[Account Withdrawl Amount]], )</f>
        <v>0</v>
      </c>
      <c r="J72" s="243">
        <f>IF(Table33[[#This Row],[Category]]="Cookies",Table33[[#This Row],[Account Deposit Amount]]-Table33[[#This Row],[Account Withdrawl Amount]], )</f>
        <v>0</v>
      </c>
      <c r="K72" s="243">
        <f>IF(Table33[[#This Row],[Category]]="Additional Money Earning Activities",Table33[[#This Row],[Account Deposit Amount]]-Table33[[#This Row],[Account Withdrawl Amount]], )</f>
        <v>0</v>
      </c>
      <c r="L72" s="243">
        <f>IF(Table33[[#This Row],[Category]]="Sponsorships",Table33[[#This Row],[Account Deposit Amount]]-Table33[[#This Row],[Account Withdrawl Amount]], )</f>
        <v>0</v>
      </c>
      <c r="M72" s="243">
        <f>IF(Table33[[#This Row],[Category]]="Troop Dues",Table33[[#This Row],[Account Deposit Amount]]-Table33[[#This Row],[Account Withdrawl Amount]], )</f>
        <v>0</v>
      </c>
      <c r="N72" s="243">
        <f>IF(Table33[[#This Row],[Category]]="Other Income",Table33[[#This Row],[Account Deposit Amount]]-Table33[[#This Row],[Account Withdrawl Amount]], )</f>
        <v>0</v>
      </c>
      <c r="O72" s="243">
        <f>IF(Table33[[#This Row],[Category]]="Registration",Table33[[#This Row],[Account Deposit Amount]]-Table33[[#This Row],[Account Withdrawl Amount]], )</f>
        <v>0</v>
      </c>
      <c r="P72" s="243">
        <f>IF(Table33[[#This Row],[Category]]="Insignia",Table33[[#This Row],[Account Deposit Amount]]-Table33[[#This Row],[Account Withdrawl Amount]], )</f>
        <v>0</v>
      </c>
      <c r="Q72" s="243">
        <f>IF(Table33[[#This Row],[Category]]="Activities/Program",Table33[[#This Row],[Account Deposit Amount]]-Table33[[#This Row],[Account Withdrawl Amount]], )</f>
        <v>0</v>
      </c>
      <c r="R72" s="243">
        <f>IF(Table33[[#This Row],[Category]]="Travel",Table33[[#This Row],[Account Deposit Amount]]-Table33[[#This Row],[Account Withdrawl Amount]], )</f>
        <v>0</v>
      </c>
      <c r="S72" s="243">
        <f>IF(Table33[[#This Row],[Category]]="Parties Food &amp; Beverages",Table33[[#This Row],[Account Deposit Amount]]-Table33[[#This Row],[Account Withdrawl Amount]], )</f>
        <v>0</v>
      </c>
      <c r="T72" s="243">
        <f>IF(Table33[[#This Row],[Category]]="Service Projects Donation",Table33[[#This Row],[Account Deposit Amount]]-Table33[[#This Row],[Account Withdrawl Amount]], )</f>
        <v>0</v>
      </c>
      <c r="U72" s="243">
        <f>IF(Table33[[#This Row],[Category]]="Cookie Debt",Table33[[#This Row],[Account Deposit Amount]]-Table33[[#This Row],[Account Withdrawl Amount]], )</f>
        <v>0</v>
      </c>
      <c r="V72" s="243">
        <f>IF(Table33[[#This Row],[Category]]="Other Expense",Table33[[#This Row],[Account Deposit Amount]]-Table33[[#This Row],[Account Withdrawl Amount]], )</f>
        <v>0</v>
      </c>
    </row>
    <row r="73" spans="1:22">
      <c r="A73" s="225"/>
      <c r="B73" s="249"/>
      <c r="C73" s="256"/>
      <c r="D73" s="247"/>
      <c r="E73" s="250"/>
      <c r="F73" s="257"/>
      <c r="G73" s="243">
        <f t="shared" si="3"/>
        <v>0</v>
      </c>
      <c r="H73" s="247"/>
      <c r="I73" s="243">
        <f>IF(Table33[[#This Row],[Category]]="Fall Product",Table33[[#This Row],[Account Deposit Amount]]-Table33[[#This Row],[Account Withdrawl Amount]], )</f>
        <v>0</v>
      </c>
      <c r="J73" s="243">
        <f>IF(Table33[[#This Row],[Category]]="Cookies",Table33[[#This Row],[Account Deposit Amount]]-Table33[[#This Row],[Account Withdrawl Amount]], )</f>
        <v>0</v>
      </c>
      <c r="K73" s="243">
        <f>IF(Table33[[#This Row],[Category]]="Additional Money Earning Activities",Table33[[#This Row],[Account Deposit Amount]]-Table33[[#This Row],[Account Withdrawl Amount]], )</f>
        <v>0</v>
      </c>
      <c r="L73" s="243">
        <f>IF(Table33[[#This Row],[Category]]="Sponsorships",Table33[[#This Row],[Account Deposit Amount]]-Table33[[#This Row],[Account Withdrawl Amount]], )</f>
        <v>0</v>
      </c>
      <c r="M73" s="243">
        <f>IF(Table33[[#This Row],[Category]]="Troop Dues",Table33[[#This Row],[Account Deposit Amount]]-Table33[[#This Row],[Account Withdrawl Amount]], )</f>
        <v>0</v>
      </c>
      <c r="N73" s="243">
        <f>IF(Table33[[#This Row],[Category]]="Other Income",Table33[[#This Row],[Account Deposit Amount]]-Table33[[#This Row],[Account Withdrawl Amount]], )</f>
        <v>0</v>
      </c>
      <c r="O73" s="243">
        <f>IF(Table33[[#This Row],[Category]]="Registration",Table33[[#This Row],[Account Deposit Amount]]-Table33[[#This Row],[Account Withdrawl Amount]], )</f>
        <v>0</v>
      </c>
      <c r="P73" s="243">
        <f>IF(Table33[[#This Row],[Category]]="Insignia",Table33[[#This Row],[Account Deposit Amount]]-Table33[[#This Row],[Account Withdrawl Amount]], )</f>
        <v>0</v>
      </c>
      <c r="Q73" s="243">
        <f>IF(Table33[[#This Row],[Category]]="Activities/Program",Table33[[#This Row],[Account Deposit Amount]]-Table33[[#This Row],[Account Withdrawl Amount]], )</f>
        <v>0</v>
      </c>
      <c r="R73" s="243">
        <f>IF(Table33[[#This Row],[Category]]="Travel",Table33[[#This Row],[Account Deposit Amount]]-Table33[[#This Row],[Account Withdrawl Amount]], )</f>
        <v>0</v>
      </c>
      <c r="S73" s="243">
        <f>IF(Table33[[#This Row],[Category]]="Parties Food &amp; Beverages",Table33[[#This Row],[Account Deposit Amount]]-Table33[[#This Row],[Account Withdrawl Amount]], )</f>
        <v>0</v>
      </c>
      <c r="T73" s="243">
        <f>IF(Table33[[#This Row],[Category]]="Service Projects Donation",Table33[[#This Row],[Account Deposit Amount]]-Table33[[#This Row],[Account Withdrawl Amount]], )</f>
        <v>0</v>
      </c>
      <c r="U73" s="243">
        <f>IF(Table33[[#This Row],[Category]]="Cookie Debt",Table33[[#This Row],[Account Deposit Amount]]-Table33[[#This Row],[Account Withdrawl Amount]], )</f>
        <v>0</v>
      </c>
      <c r="V73" s="243">
        <f>IF(Table33[[#This Row],[Category]]="Other Expense",Table33[[#This Row],[Account Deposit Amount]]-Table33[[#This Row],[Account Withdrawl Amount]], )</f>
        <v>0</v>
      </c>
    </row>
    <row r="74" spans="1:22">
      <c r="A74" s="225"/>
      <c r="B74" s="252"/>
      <c r="C74" s="253"/>
      <c r="D74" s="248"/>
      <c r="E74" s="254"/>
      <c r="F74" s="255"/>
      <c r="G74" s="243">
        <f t="shared" si="3"/>
        <v>0</v>
      </c>
      <c r="H74" s="248"/>
      <c r="I74" s="243">
        <f>IF(Table33[[#This Row],[Category]]="Fall Product",Table33[[#This Row],[Account Deposit Amount]]-Table33[[#This Row],[Account Withdrawl Amount]], )</f>
        <v>0</v>
      </c>
      <c r="J74" s="243">
        <f>IF(Table33[[#This Row],[Category]]="Cookies",Table33[[#This Row],[Account Deposit Amount]]-Table33[[#This Row],[Account Withdrawl Amount]], )</f>
        <v>0</v>
      </c>
      <c r="K74" s="243">
        <f>IF(Table33[[#This Row],[Category]]="Additional Money Earning Activities",Table33[[#This Row],[Account Deposit Amount]]-Table33[[#This Row],[Account Withdrawl Amount]], )</f>
        <v>0</v>
      </c>
      <c r="L74" s="243">
        <f>IF(Table33[[#This Row],[Category]]="Sponsorships",Table33[[#This Row],[Account Deposit Amount]]-Table33[[#This Row],[Account Withdrawl Amount]], )</f>
        <v>0</v>
      </c>
      <c r="M74" s="243">
        <f>IF(Table33[[#This Row],[Category]]="Troop Dues",Table33[[#This Row],[Account Deposit Amount]]-Table33[[#This Row],[Account Withdrawl Amount]], )</f>
        <v>0</v>
      </c>
      <c r="N74" s="243">
        <f>IF(Table33[[#This Row],[Category]]="Other Income",Table33[[#This Row],[Account Deposit Amount]]-Table33[[#This Row],[Account Withdrawl Amount]], )</f>
        <v>0</v>
      </c>
      <c r="O74" s="243">
        <f>IF(Table33[[#This Row],[Category]]="Registration",Table33[[#This Row],[Account Deposit Amount]]-Table33[[#This Row],[Account Withdrawl Amount]], )</f>
        <v>0</v>
      </c>
      <c r="P74" s="243">
        <f>IF(Table33[[#This Row],[Category]]="Insignia",Table33[[#This Row],[Account Deposit Amount]]-Table33[[#This Row],[Account Withdrawl Amount]], )</f>
        <v>0</v>
      </c>
      <c r="Q74" s="243">
        <f>IF(Table33[[#This Row],[Category]]="Activities/Program",Table33[[#This Row],[Account Deposit Amount]]-Table33[[#This Row],[Account Withdrawl Amount]], )</f>
        <v>0</v>
      </c>
      <c r="R74" s="243">
        <f>IF(Table33[[#This Row],[Category]]="Travel",Table33[[#This Row],[Account Deposit Amount]]-Table33[[#This Row],[Account Withdrawl Amount]], )</f>
        <v>0</v>
      </c>
      <c r="S74" s="243">
        <f>IF(Table33[[#This Row],[Category]]="Parties Food &amp; Beverages",Table33[[#This Row],[Account Deposit Amount]]-Table33[[#This Row],[Account Withdrawl Amount]], )</f>
        <v>0</v>
      </c>
      <c r="T74" s="243">
        <f>IF(Table33[[#This Row],[Category]]="Service Projects Donation",Table33[[#This Row],[Account Deposit Amount]]-Table33[[#This Row],[Account Withdrawl Amount]], )</f>
        <v>0</v>
      </c>
      <c r="U74" s="243">
        <f>IF(Table33[[#This Row],[Category]]="Cookie Debt",Table33[[#This Row],[Account Deposit Amount]]-Table33[[#This Row],[Account Withdrawl Amount]], )</f>
        <v>0</v>
      </c>
      <c r="V74" s="243">
        <f>IF(Table33[[#This Row],[Category]]="Other Expense",Table33[[#This Row],[Account Deposit Amount]]-Table33[[#This Row],[Account Withdrawl Amount]], )</f>
        <v>0</v>
      </c>
    </row>
    <row r="75" spans="1:22">
      <c r="A75" s="225"/>
      <c r="B75" s="249"/>
      <c r="C75" s="256"/>
      <c r="D75" s="247"/>
      <c r="E75" s="250"/>
      <c r="F75" s="257"/>
      <c r="G75" s="243">
        <f t="shared" si="3"/>
        <v>0</v>
      </c>
      <c r="H75" s="247"/>
      <c r="I75" s="243">
        <f>IF(Table33[[#This Row],[Category]]="Fall Product",Table33[[#This Row],[Account Deposit Amount]]-Table33[[#This Row],[Account Withdrawl Amount]], )</f>
        <v>0</v>
      </c>
      <c r="J75" s="243">
        <f>IF(Table33[[#This Row],[Category]]="Cookies",Table33[[#This Row],[Account Deposit Amount]]-Table33[[#This Row],[Account Withdrawl Amount]], )</f>
        <v>0</v>
      </c>
      <c r="K75" s="243">
        <f>IF(Table33[[#This Row],[Category]]="Additional Money Earning Activities",Table33[[#This Row],[Account Deposit Amount]]-Table33[[#This Row],[Account Withdrawl Amount]], )</f>
        <v>0</v>
      </c>
      <c r="L75" s="243">
        <f>IF(Table33[[#This Row],[Category]]="Sponsorships",Table33[[#This Row],[Account Deposit Amount]]-Table33[[#This Row],[Account Withdrawl Amount]], )</f>
        <v>0</v>
      </c>
      <c r="M75" s="243">
        <f>IF(Table33[[#This Row],[Category]]="Troop Dues",Table33[[#This Row],[Account Deposit Amount]]-Table33[[#This Row],[Account Withdrawl Amount]], )</f>
        <v>0</v>
      </c>
      <c r="N75" s="243">
        <f>IF(Table33[[#This Row],[Category]]="Other Income",Table33[[#This Row],[Account Deposit Amount]]-Table33[[#This Row],[Account Withdrawl Amount]], )</f>
        <v>0</v>
      </c>
      <c r="O75" s="243">
        <f>IF(Table33[[#This Row],[Category]]="Registration",Table33[[#This Row],[Account Deposit Amount]]-Table33[[#This Row],[Account Withdrawl Amount]], )</f>
        <v>0</v>
      </c>
      <c r="P75" s="243">
        <f>IF(Table33[[#This Row],[Category]]="Insignia",Table33[[#This Row],[Account Deposit Amount]]-Table33[[#This Row],[Account Withdrawl Amount]], )</f>
        <v>0</v>
      </c>
      <c r="Q75" s="243">
        <f>IF(Table33[[#This Row],[Category]]="Activities/Program",Table33[[#This Row],[Account Deposit Amount]]-Table33[[#This Row],[Account Withdrawl Amount]], )</f>
        <v>0</v>
      </c>
      <c r="R75" s="243">
        <f>IF(Table33[[#This Row],[Category]]="Travel",Table33[[#This Row],[Account Deposit Amount]]-Table33[[#This Row],[Account Withdrawl Amount]], )</f>
        <v>0</v>
      </c>
      <c r="S75" s="243">
        <f>IF(Table33[[#This Row],[Category]]="Parties Food &amp; Beverages",Table33[[#This Row],[Account Deposit Amount]]-Table33[[#This Row],[Account Withdrawl Amount]], )</f>
        <v>0</v>
      </c>
      <c r="T75" s="243">
        <f>IF(Table33[[#This Row],[Category]]="Service Projects Donation",Table33[[#This Row],[Account Deposit Amount]]-Table33[[#This Row],[Account Withdrawl Amount]], )</f>
        <v>0</v>
      </c>
      <c r="U75" s="243">
        <f>IF(Table33[[#This Row],[Category]]="Cookie Debt",Table33[[#This Row],[Account Deposit Amount]]-Table33[[#This Row],[Account Withdrawl Amount]], )</f>
        <v>0</v>
      </c>
      <c r="V75" s="243">
        <f>IF(Table33[[#This Row],[Category]]="Other Expense",Table33[[#This Row],[Account Deposit Amount]]-Table33[[#This Row],[Account Withdrawl Amount]], )</f>
        <v>0</v>
      </c>
    </row>
    <row r="76" spans="1:22">
      <c r="A76" s="225"/>
      <c r="B76" s="252"/>
      <c r="C76" s="253"/>
      <c r="D76" s="248"/>
      <c r="E76" s="254"/>
      <c r="F76" s="255"/>
      <c r="G76" s="243">
        <f t="shared" si="3"/>
        <v>0</v>
      </c>
      <c r="H76" s="248"/>
      <c r="I76" s="243">
        <f>IF(Table33[[#This Row],[Category]]="Fall Product",Table33[[#This Row],[Account Deposit Amount]]-Table33[[#This Row],[Account Withdrawl Amount]], )</f>
        <v>0</v>
      </c>
      <c r="J76" s="243">
        <f>IF(Table33[[#This Row],[Category]]="Cookies",Table33[[#This Row],[Account Deposit Amount]]-Table33[[#This Row],[Account Withdrawl Amount]], )</f>
        <v>0</v>
      </c>
      <c r="K76" s="243">
        <f>IF(Table33[[#This Row],[Category]]="Additional Money Earning Activities",Table33[[#This Row],[Account Deposit Amount]]-Table33[[#This Row],[Account Withdrawl Amount]], )</f>
        <v>0</v>
      </c>
      <c r="L76" s="243">
        <f>IF(Table33[[#This Row],[Category]]="Sponsorships",Table33[[#This Row],[Account Deposit Amount]]-Table33[[#This Row],[Account Withdrawl Amount]], )</f>
        <v>0</v>
      </c>
      <c r="M76" s="243">
        <f>IF(Table33[[#This Row],[Category]]="Troop Dues",Table33[[#This Row],[Account Deposit Amount]]-Table33[[#This Row],[Account Withdrawl Amount]], )</f>
        <v>0</v>
      </c>
      <c r="N76" s="243">
        <f>IF(Table33[[#This Row],[Category]]="Other Income",Table33[[#This Row],[Account Deposit Amount]]-Table33[[#This Row],[Account Withdrawl Amount]], )</f>
        <v>0</v>
      </c>
      <c r="O76" s="243">
        <f>IF(Table33[[#This Row],[Category]]="Registration",Table33[[#This Row],[Account Deposit Amount]]-Table33[[#This Row],[Account Withdrawl Amount]], )</f>
        <v>0</v>
      </c>
      <c r="P76" s="243">
        <f>IF(Table33[[#This Row],[Category]]="Insignia",Table33[[#This Row],[Account Deposit Amount]]-Table33[[#This Row],[Account Withdrawl Amount]], )</f>
        <v>0</v>
      </c>
      <c r="Q76" s="243">
        <f>IF(Table33[[#This Row],[Category]]="Activities/Program",Table33[[#This Row],[Account Deposit Amount]]-Table33[[#This Row],[Account Withdrawl Amount]], )</f>
        <v>0</v>
      </c>
      <c r="R76" s="243">
        <f>IF(Table33[[#This Row],[Category]]="Travel",Table33[[#This Row],[Account Deposit Amount]]-Table33[[#This Row],[Account Withdrawl Amount]], )</f>
        <v>0</v>
      </c>
      <c r="S76" s="243">
        <f>IF(Table33[[#This Row],[Category]]="Parties Food &amp; Beverages",Table33[[#This Row],[Account Deposit Amount]]-Table33[[#This Row],[Account Withdrawl Amount]], )</f>
        <v>0</v>
      </c>
      <c r="T76" s="243">
        <f>IF(Table33[[#This Row],[Category]]="Service Projects Donation",Table33[[#This Row],[Account Deposit Amount]]-Table33[[#This Row],[Account Withdrawl Amount]], )</f>
        <v>0</v>
      </c>
      <c r="U76" s="243">
        <f>IF(Table33[[#This Row],[Category]]="Cookie Debt",Table33[[#This Row],[Account Deposit Amount]]-Table33[[#This Row],[Account Withdrawl Amount]], )</f>
        <v>0</v>
      </c>
      <c r="V76" s="243">
        <f>IF(Table33[[#This Row],[Category]]="Other Expense",Table33[[#This Row],[Account Deposit Amount]]-Table33[[#This Row],[Account Withdrawl Amount]], )</f>
        <v>0</v>
      </c>
    </row>
    <row r="77" spans="1:22">
      <c r="A77" s="225"/>
      <c r="B77" s="247"/>
      <c r="C77" s="256"/>
      <c r="D77" s="247"/>
      <c r="E77" s="250"/>
      <c r="F77" s="257"/>
      <c r="G77" s="243">
        <f t="shared" si="3"/>
        <v>0</v>
      </c>
      <c r="H77" s="247"/>
      <c r="I77" s="243">
        <f>IF(Table33[[#This Row],[Category]]="Fall Product",Table33[[#This Row],[Account Deposit Amount]]-Table33[[#This Row],[Account Withdrawl Amount]], )</f>
        <v>0</v>
      </c>
      <c r="J77" s="243">
        <f>IF(Table33[[#This Row],[Category]]="Cookies",Table33[[#This Row],[Account Deposit Amount]]-Table33[[#This Row],[Account Withdrawl Amount]], )</f>
        <v>0</v>
      </c>
      <c r="K77" s="243">
        <f>IF(Table33[[#This Row],[Category]]="Additional Money Earning Activities",Table33[[#This Row],[Account Deposit Amount]]-Table33[[#This Row],[Account Withdrawl Amount]], )</f>
        <v>0</v>
      </c>
      <c r="L77" s="243">
        <f>IF(Table33[[#This Row],[Category]]="Sponsorships",Table33[[#This Row],[Account Deposit Amount]]-Table33[[#This Row],[Account Withdrawl Amount]], )</f>
        <v>0</v>
      </c>
      <c r="M77" s="243">
        <f>IF(Table33[[#This Row],[Category]]="Troop Dues",Table33[[#This Row],[Account Deposit Amount]]-Table33[[#This Row],[Account Withdrawl Amount]], )</f>
        <v>0</v>
      </c>
      <c r="N77" s="243">
        <f>IF(Table33[[#This Row],[Category]]="Other Income",Table33[[#This Row],[Account Deposit Amount]]-Table33[[#This Row],[Account Withdrawl Amount]], )</f>
        <v>0</v>
      </c>
      <c r="O77" s="243">
        <f>IF(Table33[[#This Row],[Category]]="Registration",Table33[[#This Row],[Account Deposit Amount]]-Table33[[#This Row],[Account Withdrawl Amount]], )</f>
        <v>0</v>
      </c>
      <c r="P77" s="243">
        <f>IF(Table33[[#This Row],[Category]]="Insignia",Table33[[#This Row],[Account Deposit Amount]]-Table33[[#This Row],[Account Withdrawl Amount]], )</f>
        <v>0</v>
      </c>
      <c r="Q77" s="243">
        <f>IF(Table33[[#This Row],[Category]]="Activities/Program",Table33[[#This Row],[Account Deposit Amount]]-Table33[[#This Row],[Account Withdrawl Amount]], )</f>
        <v>0</v>
      </c>
      <c r="R77" s="243">
        <f>IF(Table33[[#This Row],[Category]]="Travel",Table33[[#This Row],[Account Deposit Amount]]-Table33[[#This Row],[Account Withdrawl Amount]], )</f>
        <v>0</v>
      </c>
      <c r="S77" s="243">
        <f>IF(Table33[[#This Row],[Category]]="Parties Food &amp; Beverages",Table33[[#This Row],[Account Deposit Amount]]-Table33[[#This Row],[Account Withdrawl Amount]], )</f>
        <v>0</v>
      </c>
      <c r="T77" s="243">
        <f>IF(Table33[[#This Row],[Category]]="Service Projects Donation",Table33[[#This Row],[Account Deposit Amount]]-Table33[[#This Row],[Account Withdrawl Amount]], )</f>
        <v>0</v>
      </c>
      <c r="U77" s="243">
        <f>IF(Table33[[#This Row],[Category]]="Cookie Debt",Table33[[#This Row],[Account Deposit Amount]]-Table33[[#This Row],[Account Withdrawl Amount]], )</f>
        <v>0</v>
      </c>
      <c r="V77" s="243">
        <f>IF(Table33[[#This Row],[Category]]="Other Expense",Table33[[#This Row],[Account Deposit Amount]]-Table33[[#This Row],[Account Withdrawl Amount]], )</f>
        <v>0</v>
      </c>
    </row>
    <row r="78" spans="1:22">
      <c r="A78" s="225"/>
      <c r="B78" s="252"/>
      <c r="C78" s="253"/>
      <c r="D78" s="248"/>
      <c r="E78" s="254"/>
      <c r="F78" s="255"/>
      <c r="G78" s="243">
        <f t="shared" si="3"/>
        <v>0</v>
      </c>
      <c r="H78" s="248"/>
      <c r="I78" s="243">
        <f>IF(Table33[[#This Row],[Category]]="Fall Product",Table33[[#This Row],[Account Deposit Amount]]-Table33[[#This Row],[Account Withdrawl Amount]], )</f>
        <v>0</v>
      </c>
      <c r="J78" s="243">
        <f>IF(Table33[[#This Row],[Category]]="Cookies",Table33[[#This Row],[Account Deposit Amount]]-Table33[[#This Row],[Account Withdrawl Amount]], )</f>
        <v>0</v>
      </c>
      <c r="K78" s="243">
        <f>IF(Table33[[#This Row],[Category]]="Additional Money Earning Activities",Table33[[#This Row],[Account Deposit Amount]]-Table33[[#This Row],[Account Withdrawl Amount]], )</f>
        <v>0</v>
      </c>
      <c r="L78" s="243">
        <f>IF(Table33[[#This Row],[Category]]="Sponsorships",Table33[[#This Row],[Account Deposit Amount]]-Table33[[#This Row],[Account Withdrawl Amount]], )</f>
        <v>0</v>
      </c>
      <c r="M78" s="243">
        <f>IF(Table33[[#This Row],[Category]]="Troop Dues",Table33[[#This Row],[Account Deposit Amount]]-Table33[[#This Row],[Account Withdrawl Amount]], )</f>
        <v>0</v>
      </c>
      <c r="N78" s="243">
        <f>IF(Table33[[#This Row],[Category]]="Other Income",Table33[[#This Row],[Account Deposit Amount]]-Table33[[#This Row],[Account Withdrawl Amount]], )</f>
        <v>0</v>
      </c>
      <c r="O78" s="243">
        <f>IF(Table33[[#This Row],[Category]]="Registration",Table33[[#This Row],[Account Deposit Amount]]-Table33[[#This Row],[Account Withdrawl Amount]], )</f>
        <v>0</v>
      </c>
      <c r="P78" s="243">
        <f>IF(Table33[[#This Row],[Category]]="Insignia",Table33[[#This Row],[Account Deposit Amount]]-Table33[[#This Row],[Account Withdrawl Amount]], )</f>
        <v>0</v>
      </c>
      <c r="Q78" s="243">
        <f>IF(Table33[[#This Row],[Category]]="Activities/Program",Table33[[#This Row],[Account Deposit Amount]]-Table33[[#This Row],[Account Withdrawl Amount]], )</f>
        <v>0</v>
      </c>
      <c r="R78" s="243">
        <f>IF(Table33[[#This Row],[Category]]="Travel",Table33[[#This Row],[Account Deposit Amount]]-Table33[[#This Row],[Account Withdrawl Amount]], )</f>
        <v>0</v>
      </c>
      <c r="S78" s="243">
        <f>IF(Table33[[#This Row],[Category]]="Parties Food &amp; Beverages",Table33[[#This Row],[Account Deposit Amount]]-Table33[[#This Row],[Account Withdrawl Amount]], )</f>
        <v>0</v>
      </c>
      <c r="T78" s="243">
        <f>IF(Table33[[#This Row],[Category]]="Service Projects Donation",Table33[[#This Row],[Account Deposit Amount]]-Table33[[#This Row],[Account Withdrawl Amount]], )</f>
        <v>0</v>
      </c>
      <c r="U78" s="243">
        <f>IF(Table33[[#This Row],[Category]]="Cookie Debt",Table33[[#This Row],[Account Deposit Amount]]-Table33[[#This Row],[Account Withdrawl Amount]], )</f>
        <v>0</v>
      </c>
      <c r="V78" s="243">
        <f>IF(Table33[[#This Row],[Category]]="Other Expense",Table33[[#This Row],[Account Deposit Amount]]-Table33[[#This Row],[Account Withdrawl Amount]], )</f>
        <v>0</v>
      </c>
    </row>
    <row r="79" spans="1:22">
      <c r="A79" s="225"/>
      <c r="B79" s="249"/>
      <c r="C79" s="256"/>
      <c r="D79" s="247"/>
      <c r="E79" s="250"/>
      <c r="F79" s="257"/>
      <c r="G79" s="243">
        <f t="shared" si="3"/>
        <v>0</v>
      </c>
      <c r="H79" s="247"/>
      <c r="I79" s="243">
        <f>IF(Table33[[#This Row],[Category]]="Fall Product",Table33[[#This Row],[Account Deposit Amount]]-Table33[[#This Row],[Account Withdrawl Amount]], )</f>
        <v>0</v>
      </c>
      <c r="J79" s="243">
        <f>IF(Table33[[#This Row],[Category]]="Cookies",Table33[[#This Row],[Account Deposit Amount]]-Table33[[#This Row],[Account Withdrawl Amount]], )</f>
        <v>0</v>
      </c>
      <c r="K79" s="243">
        <f>IF(Table33[[#This Row],[Category]]="Additional Money Earning Activities",Table33[[#This Row],[Account Deposit Amount]]-Table33[[#This Row],[Account Withdrawl Amount]], )</f>
        <v>0</v>
      </c>
      <c r="L79" s="243">
        <f>IF(Table33[[#This Row],[Category]]="Sponsorships",Table33[[#This Row],[Account Deposit Amount]]-Table33[[#This Row],[Account Withdrawl Amount]], )</f>
        <v>0</v>
      </c>
      <c r="M79" s="243">
        <f>IF(Table33[[#This Row],[Category]]="Troop Dues",Table33[[#This Row],[Account Deposit Amount]]-Table33[[#This Row],[Account Withdrawl Amount]], )</f>
        <v>0</v>
      </c>
      <c r="N79" s="243">
        <f>IF(Table33[[#This Row],[Category]]="Other Income",Table33[[#This Row],[Account Deposit Amount]]-Table33[[#This Row],[Account Withdrawl Amount]], )</f>
        <v>0</v>
      </c>
      <c r="O79" s="243">
        <f>IF(Table33[[#This Row],[Category]]="Registration",Table33[[#This Row],[Account Deposit Amount]]-Table33[[#This Row],[Account Withdrawl Amount]], )</f>
        <v>0</v>
      </c>
      <c r="P79" s="243">
        <f>IF(Table33[[#This Row],[Category]]="Insignia",Table33[[#This Row],[Account Deposit Amount]]-Table33[[#This Row],[Account Withdrawl Amount]], )</f>
        <v>0</v>
      </c>
      <c r="Q79" s="243">
        <f>IF(Table33[[#This Row],[Category]]="Activities/Program",Table33[[#This Row],[Account Deposit Amount]]-Table33[[#This Row],[Account Withdrawl Amount]], )</f>
        <v>0</v>
      </c>
      <c r="R79" s="243">
        <f>IF(Table33[[#This Row],[Category]]="Travel",Table33[[#This Row],[Account Deposit Amount]]-Table33[[#This Row],[Account Withdrawl Amount]], )</f>
        <v>0</v>
      </c>
      <c r="S79" s="243">
        <f>IF(Table33[[#This Row],[Category]]="Parties Food &amp; Beverages",Table33[[#This Row],[Account Deposit Amount]]-Table33[[#This Row],[Account Withdrawl Amount]], )</f>
        <v>0</v>
      </c>
      <c r="T79" s="243">
        <f>IF(Table33[[#This Row],[Category]]="Service Projects Donation",Table33[[#This Row],[Account Deposit Amount]]-Table33[[#This Row],[Account Withdrawl Amount]], )</f>
        <v>0</v>
      </c>
      <c r="U79" s="243">
        <f>IF(Table33[[#This Row],[Category]]="Cookie Debt",Table33[[#This Row],[Account Deposit Amount]]-Table33[[#This Row],[Account Withdrawl Amount]], )</f>
        <v>0</v>
      </c>
      <c r="V79" s="243">
        <f>IF(Table33[[#This Row],[Category]]="Other Expense",Table33[[#This Row],[Account Deposit Amount]]-Table33[[#This Row],[Account Withdrawl Amount]], )</f>
        <v>0</v>
      </c>
    </row>
    <row r="80" spans="1:22">
      <c r="A80" s="225"/>
      <c r="B80" s="252"/>
      <c r="C80" s="253"/>
      <c r="D80" s="248"/>
      <c r="E80" s="254"/>
      <c r="F80" s="255"/>
      <c r="G80" s="243">
        <f t="shared" si="3"/>
        <v>0</v>
      </c>
      <c r="H80" s="248"/>
      <c r="I80" s="243">
        <f>IF(Table33[[#This Row],[Category]]="Fall Product",Table33[[#This Row],[Account Deposit Amount]]-Table33[[#This Row],[Account Withdrawl Amount]], )</f>
        <v>0</v>
      </c>
      <c r="J80" s="243">
        <f>IF(Table33[[#This Row],[Category]]="Cookies",Table33[[#This Row],[Account Deposit Amount]]-Table33[[#This Row],[Account Withdrawl Amount]], )</f>
        <v>0</v>
      </c>
      <c r="K80" s="243">
        <f>IF(Table33[[#This Row],[Category]]="Additional Money Earning Activities",Table33[[#This Row],[Account Deposit Amount]]-Table33[[#This Row],[Account Withdrawl Amount]], )</f>
        <v>0</v>
      </c>
      <c r="L80" s="243">
        <f>IF(Table33[[#This Row],[Category]]="Sponsorships",Table33[[#This Row],[Account Deposit Amount]]-Table33[[#This Row],[Account Withdrawl Amount]], )</f>
        <v>0</v>
      </c>
      <c r="M80" s="243">
        <f>IF(Table33[[#This Row],[Category]]="Troop Dues",Table33[[#This Row],[Account Deposit Amount]]-Table33[[#This Row],[Account Withdrawl Amount]], )</f>
        <v>0</v>
      </c>
      <c r="N80" s="243">
        <f>IF(Table33[[#This Row],[Category]]="Other Income",Table33[[#This Row],[Account Deposit Amount]]-Table33[[#This Row],[Account Withdrawl Amount]], )</f>
        <v>0</v>
      </c>
      <c r="O80" s="243">
        <f>IF(Table33[[#This Row],[Category]]="Registration",Table33[[#This Row],[Account Deposit Amount]]-Table33[[#This Row],[Account Withdrawl Amount]], )</f>
        <v>0</v>
      </c>
      <c r="P80" s="243">
        <f>IF(Table33[[#This Row],[Category]]="Insignia",Table33[[#This Row],[Account Deposit Amount]]-Table33[[#This Row],[Account Withdrawl Amount]], )</f>
        <v>0</v>
      </c>
      <c r="Q80" s="243">
        <f>IF(Table33[[#This Row],[Category]]="Activities/Program",Table33[[#This Row],[Account Deposit Amount]]-Table33[[#This Row],[Account Withdrawl Amount]], )</f>
        <v>0</v>
      </c>
      <c r="R80" s="243">
        <f>IF(Table33[[#This Row],[Category]]="Travel",Table33[[#This Row],[Account Deposit Amount]]-Table33[[#This Row],[Account Withdrawl Amount]], )</f>
        <v>0</v>
      </c>
      <c r="S80" s="243">
        <f>IF(Table33[[#This Row],[Category]]="Parties Food &amp; Beverages",Table33[[#This Row],[Account Deposit Amount]]-Table33[[#This Row],[Account Withdrawl Amount]], )</f>
        <v>0</v>
      </c>
      <c r="T80" s="243">
        <f>IF(Table33[[#This Row],[Category]]="Service Projects Donation",Table33[[#This Row],[Account Deposit Amount]]-Table33[[#This Row],[Account Withdrawl Amount]], )</f>
        <v>0</v>
      </c>
      <c r="U80" s="243">
        <f>IF(Table33[[#This Row],[Category]]="Cookie Debt",Table33[[#This Row],[Account Deposit Amount]]-Table33[[#This Row],[Account Withdrawl Amount]], )</f>
        <v>0</v>
      </c>
      <c r="V80" s="243">
        <f>IF(Table33[[#This Row],[Category]]="Other Expense",Table33[[#This Row],[Account Deposit Amount]]-Table33[[#This Row],[Account Withdrawl Amount]], )</f>
        <v>0</v>
      </c>
    </row>
    <row r="81" spans="1:22">
      <c r="A81" s="225"/>
      <c r="B81" s="249"/>
      <c r="C81" s="256"/>
      <c r="D81" s="247"/>
      <c r="E81" s="250"/>
      <c r="F81" s="257"/>
      <c r="G81" s="243">
        <f t="shared" si="3"/>
        <v>0</v>
      </c>
      <c r="H81" s="247"/>
      <c r="I81" s="243">
        <f>IF(Table33[[#This Row],[Category]]="Fall Product",Table33[[#This Row],[Account Deposit Amount]]-Table33[[#This Row],[Account Withdrawl Amount]], )</f>
        <v>0</v>
      </c>
      <c r="J81" s="243">
        <f>IF(Table33[[#This Row],[Category]]="Cookies",Table33[[#This Row],[Account Deposit Amount]]-Table33[[#This Row],[Account Withdrawl Amount]], )</f>
        <v>0</v>
      </c>
      <c r="K81" s="243">
        <f>IF(Table33[[#This Row],[Category]]="Additional Money Earning Activities",Table33[[#This Row],[Account Deposit Amount]]-Table33[[#This Row],[Account Withdrawl Amount]], )</f>
        <v>0</v>
      </c>
      <c r="L81" s="243">
        <f>IF(Table33[[#This Row],[Category]]="Sponsorships",Table33[[#This Row],[Account Deposit Amount]]-Table33[[#This Row],[Account Withdrawl Amount]], )</f>
        <v>0</v>
      </c>
      <c r="M81" s="243">
        <f>IF(Table33[[#This Row],[Category]]="Troop Dues",Table33[[#This Row],[Account Deposit Amount]]-Table33[[#This Row],[Account Withdrawl Amount]], )</f>
        <v>0</v>
      </c>
      <c r="N81" s="243">
        <f>IF(Table33[[#This Row],[Category]]="Other Income",Table33[[#This Row],[Account Deposit Amount]]-Table33[[#This Row],[Account Withdrawl Amount]], )</f>
        <v>0</v>
      </c>
      <c r="O81" s="243">
        <f>IF(Table33[[#This Row],[Category]]="Registration",Table33[[#This Row],[Account Deposit Amount]]-Table33[[#This Row],[Account Withdrawl Amount]], )</f>
        <v>0</v>
      </c>
      <c r="P81" s="243">
        <f>IF(Table33[[#This Row],[Category]]="Insignia",Table33[[#This Row],[Account Deposit Amount]]-Table33[[#This Row],[Account Withdrawl Amount]], )</f>
        <v>0</v>
      </c>
      <c r="Q81" s="243">
        <f>IF(Table33[[#This Row],[Category]]="Activities/Program",Table33[[#This Row],[Account Deposit Amount]]-Table33[[#This Row],[Account Withdrawl Amount]], )</f>
        <v>0</v>
      </c>
      <c r="R81" s="243">
        <f>IF(Table33[[#This Row],[Category]]="Travel",Table33[[#This Row],[Account Deposit Amount]]-Table33[[#This Row],[Account Withdrawl Amount]], )</f>
        <v>0</v>
      </c>
      <c r="S81" s="243">
        <f>IF(Table33[[#This Row],[Category]]="Parties Food &amp; Beverages",Table33[[#This Row],[Account Deposit Amount]]-Table33[[#This Row],[Account Withdrawl Amount]], )</f>
        <v>0</v>
      </c>
      <c r="T81" s="243">
        <f>IF(Table33[[#This Row],[Category]]="Service Projects Donation",Table33[[#This Row],[Account Deposit Amount]]-Table33[[#This Row],[Account Withdrawl Amount]], )</f>
        <v>0</v>
      </c>
      <c r="U81" s="243">
        <f>IF(Table33[[#This Row],[Category]]="Cookie Debt",Table33[[#This Row],[Account Deposit Amount]]-Table33[[#This Row],[Account Withdrawl Amount]], )</f>
        <v>0</v>
      </c>
      <c r="V81" s="243">
        <f>IF(Table33[[#This Row],[Category]]="Other Expense",Table33[[#This Row],[Account Deposit Amount]]-Table33[[#This Row],[Account Withdrawl Amount]], )</f>
        <v>0</v>
      </c>
    </row>
    <row r="82" spans="1:22">
      <c r="A82" s="225"/>
      <c r="B82" s="252"/>
      <c r="C82" s="253"/>
      <c r="D82" s="248"/>
      <c r="E82" s="254"/>
      <c r="F82" s="255"/>
      <c r="G82" s="243">
        <f t="shared" si="3"/>
        <v>0</v>
      </c>
      <c r="H82" s="248"/>
      <c r="I82" s="243">
        <f>IF(Table33[[#This Row],[Category]]="Fall Product",Table33[[#This Row],[Account Deposit Amount]]-Table33[[#This Row],[Account Withdrawl Amount]], )</f>
        <v>0</v>
      </c>
      <c r="J82" s="243">
        <f>IF(Table33[[#This Row],[Category]]="Cookies",Table33[[#This Row],[Account Deposit Amount]]-Table33[[#This Row],[Account Withdrawl Amount]], )</f>
        <v>0</v>
      </c>
      <c r="K82" s="243">
        <f>IF(Table33[[#This Row],[Category]]="Additional Money Earning Activities",Table33[[#This Row],[Account Deposit Amount]]-Table33[[#This Row],[Account Withdrawl Amount]], )</f>
        <v>0</v>
      </c>
      <c r="L82" s="243">
        <f>IF(Table33[[#This Row],[Category]]="Sponsorships",Table33[[#This Row],[Account Deposit Amount]]-Table33[[#This Row],[Account Withdrawl Amount]], )</f>
        <v>0</v>
      </c>
      <c r="M82" s="243">
        <f>IF(Table33[[#This Row],[Category]]="Troop Dues",Table33[[#This Row],[Account Deposit Amount]]-Table33[[#This Row],[Account Withdrawl Amount]], )</f>
        <v>0</v>
      </c>
      <c r="N82" s="243">
        <f>IF(Table33[[#This Row],[Category]]="Other Income",Table33[[#This Row],[Account Deposit Amount]]-Table33[[#This Row],[Account Withdrawl Amount]], )</f>
        <v>0</v>
      </c>
      <c r="O82" s="243">
        <f>IF(Table33[[#This Row],[Category]]="Registration",Table33[[#This Row],[Account Deposit Amount]]-Table33[[#This Row],[Account Withdrawl Amount]], )</f>
        <v>0</v>
      </c>
      <c r="P82" s="243">
        <f>IF(Table33[[#This Row],[Category]]="Insignia",Table33[[#This Row],[Account Deposit Amount]]-Table33[[#This Row],[Account Withdrawl Amount]], )</f>
        <v>0</v>
      </c>
      <c r="Q82" s="243">
        <f>IF(Table33[[#This Row],[Category]]="Activities/Program",Table33[[#This Row],[Account Deposit Amount]]-Table33[[#This Row],[Account Withdrawl Amount]], )</f>
        <v>0</v>
      </c>
      <c r="R82" s="243">
        <f>IF(Table33[[#This Row],[Category]]="Travel",Table33[[#This Row],[Account Deposit Amount]]-Table33[[#This Row],[Account Withdrawl Amount]], )</f>
        <v>0</v>
      </c>
      <c r="S82" s="243">
        <f>IF(Table33[[#This Row],[Category]]="Parties Food &amp; Beverages",Table33[[#This Row],[Account Deposit Amount]]-Table33[[#This Row],[Account Withdrawl Amount]], )</f>
        <v>0</v>
      </c>
      <c r="T82" s="243">
        <f>IF(Table33[[#This Row],[Category]]="Service Projects Donation",Table33[[#This Row],[Account Deposit Amount]]-Table33[[#This Row],[Account Withdrawl Amount]], )</f>
        <v>0</v>
      </c>
      <c r="U82" s="243">
        <f>IF(Table33[[#This Row],[Category]]="Cookie Debt",Table33[[#This Row],[Account Deposit Amount]]-Table33[[#This Row],[Account Withdrawl Amount]], )</f>
        <v>0</v>
      </c>
      <c r="V82" s="243">
        <f>IF(Table33[[#This Row],[Category]]="Other Expense",Table33[[#This Row],[Account Deposit Amount]]-Table33[[#This Row],[Account Withdrawl Amount]], )</f>
        <v>0</v>
      </c>
    </row>
    <row r="83" spans="1:22">
      <c r="A83" s="225"/>
      <c r="B83" s="249"/>
      <c r="C83" s="256"/>
      <c r="D83" s="247"/>
      <c r="E83" s="250"/>
      <c r="F83" s="257"/>
      <c r="G83" s="243">
        <f t="shared" si="3"/>
        <v>0</v>
      </c>
      <c r="H83" s="247"/>
      <c r="I83" s="243">
        <f>IF(Table33[[#This Row],[Category]]="Fall Product",Table33[[#This Row],[Account Deposit Amount]]-Table33[[#This Row],[Account Withdrawl Amount]], )</f>
        <v>0</v>
      </c>
      <c r="J83" s="243">
        <f>IF(Table33[[#This Row],[Category]]="Cookies",Table33[[#This Row],[Account Deposit Amount]]-Table33[[#This Row],[Account Withdrawl Amount]], )</f>
        <v>0</v>
      </c>
      <c r="K83" s="243">
        <f>IF(Table33[[#This Row],[Category]]="Additional Money Earning Activities",Table33[[#This Row],[Account Deposit Amount]]-Table33[[#This Row],[Account Withdrawl Amount]], )</f>
        <v>0</v>
      </c>
      <c r="L83" s="243">
        <f>IF(Table33[[#This Row],[Category]]="Sponsorships",Table33[[#This Row],[Account Deposit Amount]]-Table33[[#This Row],[Account Withdrawl Amount]], )</f>
        <v>0</v>
      </c>
      <c r="M83" s="243">
        <f>IF(Table33[[#This Row],[Category]]="Troop Dues",Table33[[#This Row],[Account Deposit Amount]]-Table33[[#This Row],[Account Withdrawl Amount]], )</f>
        <v>0</v>
      </c>
      <c r="N83" s="243">
        <f>IF(Table33[[#This Row],[Category]]="Other Income",Table33[[#This Row],[Account Deposit Amount]]-Table33[[#This Row],[Account Withdrawl Amount]], )</f>
        <v>0</v>
      </c>
      <c r="O83" s="243">
        <f>IF(Table33[[#This Row],[Category]]="Registration",Table33[[#This Row],[Account Deposit Amount]]-Table33[[#This Row],[Account Withdrawl Amount]], )</f>
        <v>0</v>
      </c>
      <c r="P83" s="243">
        <f>IF(Table33[[#This Row],[Category]]="Insignia",Table33[[#This Row],[Account Deposit Amount]]-Table33[[#This Row],[Account Withdrawl Amount]], )</f>
        <v>0</v>
      </c>
      <c r="Q83" s="243">
        <f>IF(Table33[[#This Row],[Category]]="Activities/Program",Table33[[#This Row],[Account Deposit Amount]]-Table33[[#This Row],[Account Withdrawl Amount]], )</f>
        <v>0</v>
      </c>
      <c r="R83" s="243">
        <f>IF(Table33[[#This Row],[Category]]="Travel",Table33[[#This Row],[Account Deposit Amount]]-Table33[[#This Row],[Account Withdrawl Amount]], )</f>
        <v>0</v>
      </c>
      <c r="S83" s="243">
        <f>IF(Table33[[#This Row],[Category]]="Parties Food &amp; Beverages",Table33[[#This Row],[Account Deposit Amount]]-Table33[[#This Row],[Account Withdrawl Amount]], )</f>
        <v>0</v>
      </c>
      <c r="T83" s="243">
        <f>IF(Table33[[#This Row],[Category]]="Service Projects Donation",Table33[[#This Row],[Account Deposit Amount]]-Table33[[#This Row],[Account Withdrawl Amount]], )</f>
        <v>0</v>
      </c>
      <c r="U83" s="243">
        <f>IF(Table33[[#This Row],[Category]]="Cookie Debt",Table33[[#This Row],[Account Deposit Amount]]-Table33[[#This Row],[Account Withdrawl Amount]], )</f>
        <v>0</v>
      </c>
      <c r="V83" s="243">
        <f>IF(Table33[[#This Row],[Category]]="Other Expense",Table33[[#This Row],[Account Deposit Amount]]-Table33[[#This Row],[Account Withdrawl Amount]], )</f>
        <v>0</v>
      </c>
    </row>
    <row r="84" spans="1:22">
      <c r="A84" s="225"/>
      <c r="B84" s="252"/>
      <c r="C84" s="253"/>
      <c r="D84" s="248"/>
      <c r="E84" s="258"/>
      <c r="F84" s="254"/>
      <c r="G84" s="243">
        <f t="shared" si="3"/>
        <v>0</v>
      </c>
      <c r="H84" s="248"/>
      <c r="I84" s="243">
        <f>IF(Table33[[#This Row],[Category]]="Fall Product",Table33[[#This Row],[Account Deposit Amount]]-Table33[[#This Row],[Account Withdrawl Amount]], )</f>
        <v>0</v>
      </c>
      <c r="J84" s="243">
        <f>IF(Table33[[#This Row],[Category]]="Cookies",Table33[[#This Row],[Account Deposit Amount]]-Table33[[#This Row],[Account Withdrawl Amount]], )</f>
        <v>0</v>
      </c>
      <c r="K84" s="243">
        <f>IF(Table33[[#This Row],[Category]]="Additional Money Earning Activities",Table33[[#This Row],[Account Deposit Amount]]-Table33[[#This Row],[Account Withdrawl Amount]], )</f>
        <v>0</v>
      </c>
      <c r="L84" s="243">
        <f>IF(Table33[[#This Row],[Category]]="Sponsorships",Table33[[#This Row],[Account Deposit Amount]]-Table33[[#This Row],[Account Withdrawl Amount]], )</f>
        <v>0</v>
      </c>
      <c r="M84" s="243">
        <f>IF(Table33[[#This Row],[Category]]="Troop Dues",Table33[[#This Row],[Account Deposit Amount]]-Table33[[#This Row],[Account Withdrawl Amount]], )</f>
        <v>0</v>
      </c>
      <c r="N84" s="243">
        <f>IF(Table33[[#This Row],[Category]]="Other Income",Table33[[#This Row],[Account Deposit Amount]]-Table33[[#This Row],[Account Withdrawl Amount]], )</f>
        <v>0</v>
      </c>
      <c r="O84" s="243">
        <f>IF(Table33[[#This Row],[Category]]="Registration",Table33[[#This Row],[Account Deposit Amount]]-Table33[[#This Row],[Account Withdrawl Amount]], )</f>
        <v>0</v>
      </c>
      <c r="P84" s="243">
        <f>IF(Table33[[#This Row],[Category]]="Insignia",Table33[[#This Row],[Account Deposit Amount]]-Table33[[#This Row],[Account Withdrawl Amount]], )</f>
        <v>0</v>
      </c>
      <c r="Q84" s="243">
        <f>IF(Table33[[#This Row],[Category]]="Activities/Program",Table33[[#This Row],[Account Deposit Amount]]-Table33[[#This Row],[Account Withdrawl Amount]], )</f>
        <v>0</v>
      </c>
      <c r="R84" s="243">
        <f>IF(Table33[[#This Row],[Category]]="Travel",Table33[[#This Row],[Account Deposit Amount]]-Table33[[#This Row],[Account Withdrawl Amount]], )</f>
        <v>0</v>
      </c>
      <c r="S84" s="243">
        <f>IF(Table33[[#This Row],[Category]]="Parties Food &amp; Beverages",Table33[[#This Row],[Account Deposit Amount]]-Table33[[#This Row],[Account Withdrawl Amount]], )</f>
        <v>0</v>
      </c>
      <c r="T84" s="243">
        <f>IF(Table33[[#This Row],[Category]]="Service Projects Donation",Table33[[#This Row],[Account Deposit Amount]]-Table33[[#This Row],[Account Withdrawl Amount]], )</f>
        <v>0</v>
      </c>
      <c r="U84" s="243">
        <f>IF(Table33[[#This Row],[Category]]="Cookie Debt",Table33[[#This Row],[Account Deposit Amount]]-Table33[[#This Row],[Account Withdrawl Amount]], )</f>
        <v>0</v>
      </c>
      <c r="V84" s="243">
        <f>IF(Table33[[#This Row],[Category]]="Other Expense",Table33[[#This Row],[Account Deposit Amount]]-Table33[[#This Row],[Account Withdrawl Amount]], )</f>
        <v>0</v>
      </c>
    </row>
    <row r="85" spans="1:22">
      <c r="A85" s="225"/>
      <c r="B85" s="249"/>
      <c r="C85" s="256"/>
      <c r="D85" s="247"/>
      <c r="E85" s="250"/>
      <c r="F85" s="257"/>
      <c r="G85" s="243">
        <f t="shared" si="3"/>
        <v>0</v>
      </c>
      <c r="H85" s="247"/>
      <c r="I85" s="243">
        <f>IF(Table33[[#This Row],[Category]]="Fall Product",Table33[[#This Row],[Account Deposit Amount]]-Table33[[#This Row],[Account Withdrawl Amount]], )</f>
        <v>0</v>
      </c>
      <c r="J85" s="243">
        <f>IF(Table33[[#This Row],[Category]]="Cookies",Table33[[#This Row],[Account Deposit Amount]]-Table33[[#This Row],[Account Withdrawl Amount]], )</f>
        <v>0</v>
      </c>
      <c r="K85" s="243">
        <f>IF(Table33[[#This Row],[Category]]="Additional Money Earning Activities",Table33[[#This Row],[Account Deposit Amount]]-Table33[[#This Row],[Account Withdrawl Amount]], )</f>
        <v>0</v>
      </c>
      <c r="L85" s="243">
        <f>IF(Table33[[#This Row],[Category]]="Sponsorships",Table33[[#This Row],[Account Deposit Amount]]-Table33[[#This Row],[Account Withdrawl Amount]], )</f>
        <v>0</v>
      </c>
      <c r="M85" s="243">
        <f>IF(Table33[[#This Row],[Category]]="Troop Dues",Table33[[#This Row],[Account Deposit Amount]]-Table33[[#This Row],[Account Withdrawl Amount]], )</f>
        <v>0</v>
      </c>
      <c r="N85" s="243">
        <f>IF(Table33[[#This Row],[Category]]="Other Income",Table33[[#This Row],[Account Deposit Amount]]-Table33[[#This Row],[Account Withdrawl Amount]], )</f>
        <v>0</v>
      </c>
      <c r="O85" s="243">
        <f>IF(Table33[[#This Row],[Category]]="Registration",Table33[[#This Row],[Account Deposit Amount]]-Table33[[#This Row],[Account Withdrawl Amount]], )</f>
        <v>0</v>
      </c>
      <c r="P85" s="243">
        <f>IF(Table33[[#This Row],[Category]]="Insignia",Table33[[#This Row],[Account Deposit Amount]]-Table33[[#This Row],[Account Withdrawl Amount]], )</f>
        <v>0</v>
      </c>
      <c r="Q85" s="243">
        <f>IF(Table33[[#This Row],[Category]]="Activities/Program",Table33[[#This Row],[Account Deposit Amount]]-Table33[[#This Row],[Account Withdrawl Amount]], )</f>
        <v>0</v>
      </c>
      <c r="R85" s="243">
        <f>IF(Table33[[#This Row],[Category]]="Travel",Table33[[#This Row],[Account Deposit Amount]]-Table33[[#This Row],[Account Withdrawl Amount]], )</f>
        <v>0</v>
      </c>
      <c r="S85" s="243">
        <f>IF(Table33[[#This Row],[Category]]="Parties Food &amp; Beverages",Table33[[#This Row],[Account Deposit Amount]]-Table33[[#This Row],[Account Withdrawl Amount]], )</f>
        <v>0</v>
      </c>
      <c r="T85" s="243">
        <f>IF(Table33[[#This Row],[Category]]="Service Projects Donation",Table33[[#This Row],[Account Deposit Amount]]-Table33[[#This Row],[Account Withdrawl Amount]], )</f>
        <v>0</v>
      </c>
      <c r="U85" s="243">
        <f>IF(Table33[[#This Row],[Category]]="Cookie Debt",Table33[[#This Row],[Account Deposit Amount]]-Table33[[#This Row],[Account Withdrawl Amount]], )</f>
        <v>0</v>
      </c>
      <c r="V85" s="243">
        <f>IF(Table33[[#This Row],[Category]]="Other Expense",Table33[[#This Row],[Account Deposit Amount]]-Table33[[#This Row],[Account Withdrawl Amount]], )</f>
        <v>0</v>
      </c>
    </row>
    <row r="86" spans="1:22">
      <c r="A86" s="225"/>
      <c r="B86" s="252"/>
      <c r="C86" s="253"/>
      <c r="D86" s="248"/>
      <c r="E86" s="254"/>
      <c r="F86" s="255"/>
      <c r="G86" s="243">
        <f t="shared" si="3"/>
        <v>0</v>
      </c>
      <c r="H86" s="248"/>
      <c r="I86" s="243">
        <f>IF(Table33[[#This Row],[Category]]="Fall Product",Table33[[#This Row],[Account Deposit Amount]]-Table33[[#This Row],[Account Withdrawl Amount]], )</f>
        <v>0</v>
      </c>
      <c r="J86" s="243">
        <f>IF(Table33[[#This Row],[Category]]="Cookies",Table33[[#This Row],[Account Deposit Amount]]-Table33[[#This Row],[Account Withdrawl Amount]], )</f>
        <v>0</v>
      </c>
      <c r="K86" s="243">
        <f>IF(Table33[[#This Row],[Category]]="Additional Money Earning Activities",Table33[[#This Row],[Account Deposit Amount]]-Table33[[#This Row],[Account Withdrawl Amount]], )</f>
        <v>0</v>
      </c>
      <c r="L86" s="243">
        <f>IF(Table33[[#This Row],[Category]]="Sponsorships",Table33[[#This Row],[Account Deposit Amount]]-Table33[[#This Row],[Account Withdrawl Amount]], )</f>
        <v>0</v>
      </c>
      <c r="M86" s="243">
        <f>IF(Table33[[#This Row],[Category]]="Troop Dues",Table33[[#This Row],[Account Deposit Amount]]-Table33[[#This Row],[Account Withdrawl Amount]], )</f>
        <v>0</v>
      </c>
      <c r="N86" s="243">
        <f>IF(Table33[[#This Row],[Category]]="Other Income",Table33[[#This Row],[Account Deposit Amount]]-Table33[[#This Row],[Account Withdrawl Amount]], )</f>
        <v>0</v>
      </c>
      <c r="O86" s="243">
        <f>IF(Table33[[#This Row],[Category]]="Registration",Table33[[#This Row],[Account Deposit Amount]]-Table33[[#This Row],[Account Withdrawl Amount]], )</f>
        <v>0</v>
      </c>
      <c r="P86" s="243">
        <f>IF(Table33[[#This Row],[Category]]="Insignia",Table33[[#This Row],[Account Deposit Amount]]-Table33[[#This Row],[Account Withdrawl Amount]], )</f>
        <v>0</v>
      </c>
      <c r="Q86" s="243">
        <f>IF(Table33[[#This Row],[Category]]="Activities/Program",Table33[[#This Row],[Account Deposit Amount]]-Table33[[#This Row],[Account Withdrawl Amount]], )</f>
        <v>0</v>
      </c>
      <c r="R86" s="243">
        <f>IF(Table33[[#This Row],[Category]]="Travel",Table33[[#This Row],[Account Deposit Amount]]-Table33[[#This Row],[Account Withdrawl Amount]], )</f>
        <v>0</v>
      </c>
      <c r="S86" s="243">
        <f>IF(Table33[[#This Row],[Category]]="Parties Food &amp; Beverages",Table33[[#This Row],[Account Deposit Amount]]-Table33[[#This Row],[Account Withdrawl Amount]], )</f>
        <v>0</v>
      </c>
      <c r="T86" s="243">
        <f>IF(Table33[[#This Row],[Category]]="Service Projects Donation",Table33[[#This Row],[Account Deposit Amount]]-Table33[[#This Row],[Account Withdrawl Amount]], )</f>
        <v>0</v>
      </c>
      <c r="U86" s="243">
        <f>IF(Table33[[#This Row],[Category]]="Cookie Debt",Table33[[#This Row],[Account Deposit Amount]]-Table33[[#This Row],[Account Withdrawl Amount]], )</f>
        <v>0</v>
      </c>
      <c r="V86" s="243">
        <f>IF(Table33[[#This Row],[Category]]="Other Expense",Table33[[#This Row],[Account Deposit Amount]]-Table33[[#This Row],[Account Withdrawl Amount]], )</f>
        <v>0</v>
      </c>
    </row>
    <row r="87" spans="1:22">
      <c r="A87" s="225"/>
      <c r="B87" s="249"/>
      <c r="C87" s="256"/>
      <c r="D87" s="247"/>
      <c r="E87" s="250"/>
      <c r="F87" s="257"/>
      <c r="G87" s="243">
        <f t="shared" si="3"/>
        <v>0</v>
      </c>
      <c r="H87" s="247"/>
      <c r="I87" s="243">
        <f>IF(Table33[[#This Row],[Category]]="Fall Product",Table33[[#This Row],[Account Deposit Amount]]-Table33[[#This Row],[Account Withdrawl Amount]], )</f>
        <v>0</v>
      </c>
      <c r="J87" s="243">
        <f>IF(Table33[[#This Row],[Category]]="Cookies",Table33[[#This Row],[Account Deposit Amount]]-Table33[[#This Row],[Account Withdrawl Amount]], )</f>
        <v>0</v>
      </c>
      <c r="K87" s="243">
        <f>IF(Table33[[#This Row],[Category]]="Additional Money Earning Activities",Table33[[#This Row],[Account Deposit Amount]]-Table33[[#This Row],[Account Withdrawl Amount]], )</f>
        <v>0</v>
      </c>
      <c r="L87" s="243">
        <f>IF(Table33[[#This Row],[Category]]="Sponsorships",Table33[[#This Row],[Account Deposit Amount]]-Table33[[#This Row],[Account Withdrawl Amount]], )</f>
        <v>0</v>
      </c>
      <c r="M87" s="243">
        <f>IF(Table33[[#This Row],[Category]]="Troop Dues",Table33[[#This Row],[Account Deposit Amount]]-Table33[[#This Row],[Account Withdrawl Amount]], )</f>
        <v>0</v>
      </c>
      <c r="N87" s="243">
        <f>IF(Table33[[#This Row],[Category]]="Other Income",Table33[[#This Row],[Account Deposit Amount]]-Table33[[#This Row],[Account Withdrawl Amount]], )</f>
        <v>0</v>
      </c>
      <c r="O87" s="243">
        <f>IF(Table33[[#This Row],[Category]]="Registration",Table33[[#This Row],[Account Deposit Amount]]-Table33[[#This Row],[Account Withdrawl Amount]], )</f>
        <v>0</v>
      </c>
      <c r="P87" s="243">
        <f>IF(Table33[[#This Row],[Category]]="Insignia",Table33[[#This Row],[Account Deposit Amount]]-Table33[[#This Row],[Account Withdrawl Amount]], )</f>
        <v>0</v>
      </c>
      <c r="Q87" s="243">
        <f>IF(Table33[[#This Row],[Category]]="Activities/Program",Table33[[#This Row],[Account Deposit Amount]]-Table33[[#This Row],[Account Withdrawl Amount]], )</f>
        <v>0</v>
      </c>
      <c r="R87" s="243">
        <f>IF(Table33[[#This Row],[Category]]="Travel",Table33[[#This Row],[Account Deposit Amount]]-Table33[[#This Row],[Account Withdrawl Amount]], )</f>
        <v>0</v>
      </c>
      <c r="S87" s="243">
        <f>IF(Table33[[#This Row],[Category]]="Parties Food &amp; Beverages",Table33[[#This Row],[Account Deposit Amount]]-Table33[[#This Row],[Account Withdrawl Amount]], )</f>
        <v>0</v>
      </c>
      <c r="T87" s="243">
        <f>IF(Table33[[#This Row],[Category]]="Service Projects Donation",Table33[[#This Row],[Account Deposit Amount]]-Table33[[#This Row],[Account Withdrawl Amount]], )</f>
        <v>0</v>
      </c>
      <c r="U87" s="243">
        <f>IF(Table33[[#This Row],[Category]]="Cookie Debt",Table33[[#This Row],[Account Deposit Amount]]-Table33[[#This Row],[Account Withdrawl Amount]], )</f>
        <v>0</v>
      </c>
      <c r="V87" s="243">
        <f>IF(Table33[[#This Row],[Category]]="Other Expense",Table33[[#This Row],[Account Deposit Amount]]-Table33[[#This Row],[Account Withdrawl Amount]], )</f>
        <v>0</v>
      </c>
    </row>
    <row r="88" spans="1:22">
      <c r="A88" s="225"/>
      <c r="B88" s="252"/>
      <c r="C88" s="253"/>
      <c r="D88" s="248"/>
      <c r="E88" s="254"/>
      <c r="F88" s="255"/>
      <c r="G88" s="243">
        <f t="shared" si="3"/>
        <v>0</v>
      </c>
      <c r="H88" s="248"/>
      <c r="I88" s="243">
        <f>IF(Table33[[#This Row],[Category]]="Fall Product",Table33[[#This Row],[Account Deposit Amount]]-Table33[[#This Row],[Account Withdrawl Amount]], )</f>
        <v>0</v>
      </c>
      <c r="J88" s="243">
        <f>IF(Table33[[#This Row],[Category]]="Cookies",Table33[[#This Row],[Account Deposit Amount]]-Table33[[#This Row],[Account Withdrawl Amount]], )</f>
        <v>0</v>
      </c>
      <c r="K88" s="243">
        <f>IF(Table33[[#This Row],[Category]]="Additional Money Earning Activities",Table33[[#This Row],[Account Deposit Amount]]-Table33[[#This Row],[Account Withdrawl Amount]], )</f>
        <v>0</v>
      </c>
      <c r="L88" s="243">
        <f>IF(Table33[[#This Row],[Category]]="Sponsorships",Table33[[#This Row],[Account Deposit Amount]]-Table33[[#This Row],[Account Withdrawl Amount]], )</f>
        <v>0</v>
      </c>
      <c r="M88" s="243">
        <f>IF(Table33[[#This Row],[Category]]="Troop Dues",Table33[[#This Row],[Account Deposit Amount]]-Table33[[#This Row],[Account Withdrawl Amount]], )</f>
        <v>0</v>
      </c>
      <c r="N88" s="243">
        <f>IF(Table33[[#This Row],[Category]]="Other Income",Table33[[#This Row],[Account Deposit Amount]]-Table33[[#This Row],[Account Withdrawl Amount]], )</f>
        <v>0</v>
      </c>
      <c r="O88" s="243">
        <f>IF(Table33[[#This Row],[Category]]="Registration",Table33[[#This Row],[Account Deposit Amount]]-Table33[[#This Row],[Account Withdrawl Amount]], )</f>
        <v>0</v>
      </c>
      <c r="P88" s="243">
        <f>IF(Table33[[#This Row],[Category]]="Insignia",Table33[[#This Row],[Account Deposit Amount]]-Table33[[#This Row],[Account Withdrawl Amount]], )</f>
        <v>0</v>
      </c>
      <c r="Q88" s="243">
        <f>IF(Table33[[#This Row],[Category]]="Activities/Program",Table33[[#This Row],[Account Deposit Amount]]-Table33[[#This Row],[Account Withdrawl Amount]], )</f>
        <v>0</v>
      </c>
      <c r="R88" s="243">
        <f>IF(Table33[[#This Row],[Category]]="Travel",Table33[[#This Row],[Account Deposit Amount]]-Table33[[#This Row],[Account Withdrawl Amount]], )</f>
        <v>0</v>
      </c>
      <c r="S88" s="243">
        <f>IF(Table33[[#This Row],[Category]]="Parties Food &amp; Beverages",Table33[[#This Row],[Account Deposit Amount]]-Table33[[#This Row],[Account Withdrawl Amount]], )</f>
        <v>0</v>
      </c>
      <c r="T88" s="243">
        <f>IF(Table33[[#This Row],[Category]]="Service Projects Donation",Table33[[#This Row],[Account Deposit Amount]]-Table33[[#This Row],[Account Withdrawl Amount]], )</f>
        <v>0</v>
      </c>
      <c r="U88" s="243">
        <f>IF(Table33[[#This Row],[Category]]="Cookie Debt",Table33[[#This Row],[Account Deposit Amount]]-Table33[[#This Row],[Account Withdrawl Amount]], )</f>
        <v>0</v>
      </c>
      <c r="V88" s="243">
        <f>IF(Table33[[#This Row],[Category]]="Other Expense",Table33[[#This Row],[Account Deposit Amount]]-Table33[[#This Row],[Account Withdrawl Amount]], )</f>
        <v>0</v>
      </c>
    </row>
    <row r="89" spans="1:22">
      <c r="A89" s="225"/>
      <c r="B89" s="249"/>
      <c r="C89" s="256"/>
      <c r="D89" s="247"/>
      <c r="E89" s="250"/>
      <c r="F89" s="257"/>
      <c r="G89" s="243">
        <f t="shared" si="3"/>
        <v>0</v>
      </c>
      <c r="H89" s="247"/>
      <c r="I89" s="243">
        <f>IF(Table33[[#This Row],[Category]]="Fall Product",Table33[[#This Row],[Account Deposit Amount]]-Table33[[#This Row],[Account Withdrawl Amount]], )</f>
        <v>0</v>
      </c>
      <c r="J89" s="243">
        <f>IF(Table33[[#This Row],[Category]]="Cookies",Table33[[#This Row],[Account Deposit Amount]]-Table33[[#This Row],[Account Withdrawl Amount]], )</f>
        <v>0</v>
      </c>
      <c r="K89" s="243">
        <f>IF(Table33[[#This Row],[Category]]="Additional Money Earning Activities",Table33[[#This Row],[Account Deposit Amount]]-Table33[[#This Row],[Account Withdrawl Amount]], )</f>
        <v>0</v>
      </c>
      <c r="L89" s="243">
        <f>IF(Table33[[#This Row],[Category]]="Sponsorships",Table33[[#This Row],[Account Deposit Amount]]-Table33[[#This Row],[Account Withdrawl Amount]], )</f>
        <v>0</v>
      </c>
      <c r="M89" s="243">
        <f>IF(Table33[[#This Row],[Category]]="Troop Dues",Table33[[#This Row],[Account Deposit Amount]]-Table33[[#This Row],[Account Withdrawl Amount]], )</f>
        <v>0</v>
      </c>
      <c r="N89" s="243">
        <f>IF(Table33[[#This Row],[Category]]="Other Income",Table33[[#This Row],[Account Deposit Amount]]-Table33[[#This Row],[Account Withdrawl Amount]], )</f>
        <v>0</v>
      </c>
      <c r="O89" s="243">
        <f>IF(Table33[[#This Row],[Category]]="Registration",Table33[[#This Row],[Account Deposit Amount]]-Table33[[#This Row],[Account Withdrawl Amount]], )</f>
        <v>0</v>
      </c>
      <c r="P89" s="243">
        <f>IF(Table33[[#This Row],[Category]]="Insignia",Table33[[#This Row],[Account Deposit Amount]]-Table33[[#This Row],[Account Withdrawl Amount]], )</f>
        <v>0</v>
      </c>
      <c r="Q89" s="243">
        <f>IF(Table33[[#This Row],[Category]]="Activities/Program",Table33[[#This Row],[Account Deposit Amount]]-Table33[[#This Row],[Account Withdrawl Amount]], )</f>
        <v>0</v>
      </c>
      <c r="R89" s="243">
        <f>IF(Table33[[#This Row],[Category]]="Travel",Table33[[#This Row],[Account Deposit Amount]]-Table33[[#This Row],[Account Withdrawl Amount]], )</f>
        <v>0</v>
      </c>
      <c r="S89" s="243">
        <f>IF(Table33[[#This Row],[Category]]="Parties Food &amp; Beverages",Table33[[#This Row],[Account Deposit Amount]]-Table33[[#This Row],[Account Withdrawl Amount]], )</f>
        <v>0</v>
      </c>
      <c r="T89" s="243">
        <f>IF(Table33[[#This Row],[Category]]="Service Projects Donation",Table33[[#This Row],[Account Deposit Amount]]-Table33[[#This Row],[Account Withdrawl Amount]], )</f>
        <v>0</v>
      </c>
      <c r="U89" s="243">
        <f>IF(Table33[[#This Row],[Category]]="Cookie Debt",Table33[[#This Row],[Account Deposit Amount]]-Table33[[#This Row],[Account Withdrawl Amount]], )</f>
        <v>0</v>
      </c>
      <c r="V89" s="243">
        <f>IF(Table33[[#This Row],[Category]]="Other Expense",Table33[[#This Row],[Account Deposit Amount]]-Table33[[#This Row],[Account Withdrawl Amount]], )</f>
        <v>0</v>
      </c>
    </row>
    <row r="90" spans="1:22">
      <c r="A90" s="225"/>
      <c r="B90" s="252"/>
      <c r="C90" s="253"/>
      <c r="D90" s="260"/>
      <c r="E90" s="258"/>
      <c r="F90" s="254"/>
      <c r="G90" s="243">
        <f t="shared" si="3"/>
        <v>0</v>
      </c>
      <c r="H90" s="248"/>
      <c r="I90" s="243">
        <f>IF(Table33[[#This Row],[Category]]="Fall Product",Table33[[#This Row],[Account Deposit Amount]]-Table33[[#This Row],[Account Withdrawl Amount]], )</f>
        <v>0</v>
      </c>
      <c r="J90" s="243">
        <f>IF(Table33[[#This Row],[Category]]="Cookies",Table33[[#This Row],[Account Deposit Amount]]-Table33[[#This Row],[Account Withdrawl Amount]], )</f>
        <v>0</v>
      </c>
      <c r="K90" s="243">
        <f>IF(Table33[[#This Row],[Category]]="Additional Money Earning Activities",Table33[[#This Row],[Account Deposit Amount]]-Table33[[#This Row],[Account Withdrawl Amount]], )</f>
        <v>0</v>
      </c>
      <c r="L90" s="243">
        <f>IF(Table33[[#This Row],[Category]]="Sponsorships",Table33[[#This Row],[Account Deposit Amount]]-Table33[[#This Row],[Account Withdrawl Amount]], )</f>
        <v>0</v>
      </c>
      <c r="M90" s="243">
        <f>IF(Table33[[#This Row],[Category]]="Troop Dues",Table33[[#This Row],[Account Deposit Amount]]-Table33[[#This Row],[Account Withdrawl Amount]], )</f>
        <v>0</v>
      </c>
      <c r="N90" s="243">
        <f>IF(Table33[[#This Row],[Category]]="Other Income",Table33[[#This Row],[Account Deposit Amount]]-Table33[[#This Row],[Account Withdrawl Amount]], )</f>
        <v>0</v>
      </c>
      <c r="O90" s="243">
        <f>IF(Table33[[#This Row],[Category]]="Registration",Table33[[#This Row],[Account Deposit Amount]]-Table33[[#This Row],[Account Withdrawl Amount]], )</f>
        <v>0</v>
      </c>
      <c r="P90" s="243">
        <f>IF(Table33[[#This Row],[Category]]="Insignia",Table33[[#This Row],[Account Deposit Amount]]-Table33[[#This Row],[Account Withdrawl Amount]], )</f>
        <v>0</v>
      </c>
      <c r="Q90" s="243">
        <f>IF(Table33[[#This Row],[Category]]="Activities/Program",Table33[[#This Row],[Account Deposit Amount]]-Table33[[#This Row],[Account Withdrawl Amount]], )</f>
        <v>0</v>
      </c>
      <c r="R90" s="243">
        <f>IF(Table33[[#This Row],[Category]]="Travel",Table33[[#This Row],[Account Deposit Amount]]-Table33[[#This Row],[Account Withdrawl Amount]], )</f>
        <v>0</v>
      </c>
      <c r="S90" s="243">
        <f>IF(Table33[[#This Row],[Category]]="Parties Food &amp; Beverages",Table33[[#This Row],[Account Deposit Amount]]-Table33[[#This Row],[Account Withdrawl Amount]], )</f>
        <v>0</v>
      </c>
      <c r="T90" s="243">
        <f>IF(Table33[[#This Row],[Category]]="Service Projects Donation",Table33[[#This Row],[Account Deposit Amount]]-Table33[[#This Row],[Account Withdrawl Amount]], )</f>
        <v>0</v>
      </c>
      <c r="U90" s="243">
        <f>IF(Table33[[#This Row],[Category]]="Cookie Debt",Table33[[#This Row],[Account Deposit Amount]]-Table33[[#This Row],[Account Withdrawl Amount]], )</f>
        <v>0</v>
      </c>
      <c r="V90" s="243">
        <f>IF(Table33[[#This Row],[Category]]="Other Expense",Table33[[#This Row],[Account Deposit Amount]]-Table33[[#This Row],[Account Withdrawl Amount]], )</f>
        <v>0</v>
      </c>
    </row>
    <row r="91" spans="1:22">
      <c r="A91" s="225"/>
      <c r="B91" s="249"/>
      <c r="C91" s="256"/>
      <c r="D91" s="247"/>
      <c r="E91" s="250"/>
      <c r="F91" s="257"/>
      <c r="G91" s="243">
        <f t="shared" si="3"/>
        <v>0</v>
      </c>
      <c r="H91" s="247"/>
      <c r="I91" s="243">
        <f>IF(Table33[[#This Row],[Category]]="Fall Product",Table33[[#This Row],[Account Deposit Amount]]-Table33[[#This Row],[Account Withdrawl Amount]], )</f>
        <v>0</v>
      </c>
      <c r="J91" s="243">
        <f>IF(Table33[[#This Row],[Category]]="Cookies",Table33[[#This Row],[Account Deposit Amount]]-Table33[[#This Row],[Account Withdrawl Amount]], )</f>
        <v>0</v>
      </c>
      <c r="K91" s="243">
        <f>IF(Table33[[#This Row],[Category]]="Additional Money Earning Activities",Table33[[#This Row],[Account Deposit Amount]]-Table33[[#This Row],[Account Withdrawl Amount]], )</f>
        <v>0</v>
      </c>
      <c r="L91" s="243">
        <f>IF(Table33[[#This Row],[Category]]="Sponsorships",Table33[[#This Row],[Account Deposit Amount]]-Table33[[#This Row],[Account Withdrawl Amount]], )</f>
        <v>0</v>
      </c>
      <c r="M91" s="243">
        <f>IF(Table33[[#This Row],[Category]]="Troop Dues",Table33[[#This Row],[Account Deposit Amount]]-Table33[[#This Row],[Account Withdrawl Amount]], )</f>
        <v>0</v>
      </c>
      <c r="N91" s="243">
        <f>IF(Table33[[#This Row],[Category]]="Other Income",Table33[[#This Row],[Account Deposit Amount]]-Table33[[#This Row],[Account Withdrawl Amount]], )</f>
        <v>0</v>
      </c>
      <c r="O91" s="243">
        <f>IF(Table33[[#This Row],[Category]]="Registration",Table33[[#This Row],[Account Deposit Amount]]-Table33[[#This Row],[Account Withdrawl Amount]], )</f>
        <v>0</v>
      </c>
      <c r="P91" s="243">
        <f>IF(Table33[[#This Row],[Category]]="Insignia",Table33[[#This Row],[Account Deposit Amount]]-Table33[[#This Row],[Account Withdrawl Amount]], )</f>
        <v>0</v>
      </c>
      <c r="Q91" s="243">
        <f>IF(Table33[[#This Row],[Category]]="Activities/Program",Table33[[#This Row],[Account Deposit Amount]]-Table33[[#This Row],[Account Withdrawl Amount]], )</f>
        <v>0</v>
      </c>
      <c r="R91" s="243">
        <f>IF(Table33[[#This Row],[Category]]="Travel",Table33[[#This Row],[Account Deposit Amount]]-Table33[[#This Row],[Account Withdrawl Amount]], )</f>
        <v>0</v>
      </c>
      <c r="S91" s="243">
        <f>IF(Table33[[#This Row],[Category]]="Parties Food &amp; Beverages",Table33[[#This Row],[Account Deposit Amount]]-Table33[[#This Row],[Account Withdrawl Amount]], )</f>
        <v>0</v>
      </c>
      <c r="T91" s="243">
        <f>IF(Table33[[#This Row],[Category]]="Service Projects Donation",Table33[[#This Row],[Account Deposit Amount]]-Table33[[#This Row],[Account Withdrawl Amount]], )</f>
        <v>0</v>
      </c>
      <c r="U91" s="243">
        <f>IF(Table33[[#This Row],[Category]]="Cookie Debt",Table33[[#This Row],[Account Deposit Amount]]-Table33[[#This Row],[Account Withdrawl Amount]], )</f>
        <v>0</v>
      </c>
      <c r="V91" s="243">
        <f>IF(Table33[[#This Row],[Category]]="Other Expense",Table33[[#This Row],[Account Deposit Amount]]-Table33[[#This Row],[Account Withdrawl Amount]], )</f>
        <v>0</v>
      </c>
    </row>
    <row r="92" spans="1:22">
      <c r="A92" s="225"/>
      <c r="B92" s="252"/>
      <c r="C92" s="253"/>
      <c r="D92" s="248"/>
      <c r="E92" s="258"/>
      <c r="F92" s="254"/>
      <c r="G92" s="243">
        <f t="shared" si="3"/>
        <v>0</v>
      </c>
      <c r="H92" s="248"/>
      <c r="I92" s="243">
        <f>IF(Table33[[#This Row],[Category]]="Fall Product",Table33[[#This Row],[Account Deposit Amount]]-Table33[[#This Row],[Account Withdrawl Amount]], )</f>
        <v>0</v>
      </c>
      <c r="J92" s="243">
        <f>IF(Table33[[#This Row],[Category]]="Cookies",Table33[[#This Row],[Account Deposit Amount]]-Table33[[#This Row],[Account Withdrawl Amount]], )</f>
        <v>0</v>
      </c>
      <c r="K92" s="243">
        <f>IF(Table33[[#This Row],[Category]]="Additional Money Earning Activities",Table33[[#This Row],[Account Deposit Amount]]-Table33[[#This Row],[Account Withdrawl Amount]], )</f>
        <v>0</v>
      </c>
      <c r="L92" s="243">
        <f>IF(Table33[[#This Row],[Category]]="Sponsorships",Table33[[#This Row],[Account Deposit Amount]]-Table33[[#This Row],[Account Withdrawl Amount]], )</f>
        <v>0</v>
      </c>
      <c r="M92" s="243">
        <f>IF(Table33[[#This Row],[Category]]="Troop Dues",Table33[[#This Row],[Account Deposit Amount]]-Table33[[#This Row],[Account Withdrawl Amount]], )</f>
        <v>0</v>
      </c>
      <c r="N92" s="243">
        <f>IF(Table33[[#This Row],[Category]]="Other Income",Table33[[#This Row],[Account Deposit Amount]]-Table33[[#This Row],[Account Withdrawl Amount]], )</f>
        <v>0</v>
      </c>
      <c r="O92" s="243">
        <f>IF(Table33[[#This Row],[Category]]="Registration",Table33[[#This Row],[Account Deposit Amount]]-Table33[[#This Row],[Account Withdrawl Amount]], )</f>
        <v>0</v>
      </c>
      <c r="P92" s="243">
        <f>IF(Table33[[#This Row],[Category]]="Insignia",Table33[[#This Row],[Account Deposit Amount]]-Table33[[#This Row],[Account Withdrawl Amount]], )</f>
        <v>0</v>
      </c>
      <c r="Q92" s="243">
        <f>IF(Table33[[#This Row],[Category]]="Activities/Program",Table33[[#This Row],[Account Deposit Amount]]-Table33[[#This Row],[Account Withdrawl Amount]], )</f>
        <v>0</v>
      </c>
      <c r="R92" s="243">
        <f>IF(Table33[[#This Row],[Category]]="Travel",Table33[[#This Row],[Account Deposit Amount]]-Table33[[#This Row],[Account Withdrawl Amount]], )</f>
        <v>0</v>
      </c>
      <c r="S92" s="243">
        <f>IF(Table33[[#This Row],[Category]]="Parties Food &amp; Beverages",Table33[[#This Row],[Account Deposit Amount]]-Table33[[#This Row],[Account Withdrawl Amount]], )</f>
        <v>0</v>
      </c>
      <c r="T92" s="243">
        <f>IF(Table33[[#This Row],[Category]]="Service Projects Donation",Table33[[#This Row],[Account Deposit Amount]]-Table33[[#This Row],[Account Withdrawl Amount]], )</f>
        <v>0</v>
      </c>
      <c r="U92" s="243">
        <f>IF(Table33[[#This Row],[Category]]="Cookie Debt",Table33[[#This Row],[Account Deposit Amount]]-Table33[[#This Row],[Account Withdrawl Amount]], )</f>
        <v>0</v>
      </c>
      <c r="V92" s="243">
        <f>IF(Table33[[#This Row],[Category]]="Other Expense",Table33[[#This Row],[Account Deposit Amount]]-Table33[[#This Row],[Account Withdrawl Amount]], )</f>
        <v>0</v>
      </c>
    </row>
    <row r="93" spans="1:22">
      <c r="A93" s="225"/>
      <c r="B93" s="249"/>
      <c r="C93" s="256"/>
      <c r="D93" s="247"/>
      <c r="E93" s="251"/>
      <c r="F93" s="250"/>
      <c r="G93" s="243">
        <f t="shared" si="3"/>
        <v>0</v>
      </c>
      <c r="H93" s="247"/>
      <c r="I93" s="243">
        <f>IF(Table33[[#This Row],[Category]]="Fall Product",Table33[[#This Row],[Account Deposit Amount]]-Table33[[#This Row],[Account Withdrawl Amount]], )</f>
        <v>0</v>
      </c>
      <c r="J93" s="243">
        <f>IF(Table33[[#This Row],[Category]]="Cookies",Table33[[#This Row],[Account Deposit Amount]]-Table33[[#This Row],[Account Withdrawl Amount]], )</f>
        <v>0</v>
      </c>
      <c r="K93" s="243">
        <f>IF(Table33[[#This Row],[Category]]="Additional Money Earning Activities",Table33[[#This Row],[Account Deposit Amount]]-Table33[[#This Row],[Account Withdrawl Amount]], )</f>
        <v>0</v>
      </c>
      <c r="L93" s="243">
        <f>IF(Table33[[#This Row],[Category]]="Sponsorships",Table33[[#This Row],[Account Deposit Amount]]-Table33[[#This Row],[Account Withdrawl Amount]], )</f>
        <v>0</v>
      </c>
      <c r="M93" s="243">
        <f>IF(Table33[[#This Row],[Category]]="Troop Dues",Table33[[#This Row],[Account Deposit Amount]]-Table33[[#This Row],[Account Withdrawl Amount]], )</f>
        <v>0</v>
      </c>
      <c r="N93" s="243">
        <f>IF(Table33[[#This Row],[Category]]="Other Income",Table33[[#This Row],[Account Deposit Amount]]-Table33[[#This Row],[Account Withdrawl Amount]], )</f>
        <v>0</v>
      </c>
      <c r="O93" s="243">
        <f>IF(Table33[[#This Row],[Category]]="Registration",Table33[[#This Row],[Account Deposit Amount]]-Table33[[#This Row],[Account Withdrawl Amount]], )</f>
        <v>0</v>
      </c>
      <c r="P93" s="243">
        <f>IF(Table33[[#This Row],[Category]]="Insignia",Table33[[#This Row],[Account Deposit Amount]]-Table33[[#This Row],[Account Withdrawl Amount]], )</f>
        <v>0</v>
      </c>
      <c r="Q93" s="243">
        <f>IF(Table33[[#This Row],[Category]]="Activities/Program",Table33[[#This Row],[Account Deposit Amount]]-Table33[[#This Row],[Account Withdrawl Amount]], )</f>
        <v>0</v>
      </c>
      <c r="R93" s="243">
        <f>IF(Table33[[#This Row],[Category]]="Travel",Table33[[#This Row],[Account Deposit Amount]]-Table33[[#This Row],[Account Withdrawl Amount]], )</f>
        <v>0</v>
      </c>
      <c r="S93" s="243">
        <f>IF(Table33[[#This Row],[Category]]="Parties Food &amp; Beverages",Table33[[#This Row],[Account Deposit Amount]]-Table33[[#This Row],[Account Withdrawl Amount]], )</f>
        <v>0</v>
      </c>
      <c r="T93" s="243">
        <f>IF(Table33[[#This Row],[Category]]="Service Projects Donation",Table33[[#This Row],[Account Deposit Amount]]-Table33[[#This Row],[Account Withdrawl Amount]], )</f>
        <v>0</v>
      </c>
      <c r="U93" s="243">
        <f>IF(Table33[[#This Row],[Category]]="Cookie Debt",Table33[[#This Row],[Account Deposit Amount]]-Table33[[#This Row],[Account Withdrawl Amount]], )</f>
        <v>0</v>
      </c>
      <c r="V93" s="243">
        <f>IF(Table33[[#This Row],[Category]]="Other Expense",Table33[[#This Row],[Account Deposit Amount]]-Table33[[#This Row],[Account Withdrawl Amount]], )</f>
        <v>0</v>
      </c>
    </row>
    <row r="94" spans="1:22">
      <c r="A94" s="225"/>
      <c r="B94" s="252"/>
      <c r="C94" s="253"/>
      <c r="D94" s="248"/>
      <c r="E94" s="258"/>
      <c r="F94" s="254"/>
      <c r="G94" s="243">
        <f t="shared" si="3"/>
        <v>0</v>
      </c>
      <c r="H94" s="248"/>
      <c r="I94" s="243">
        <f>IF(Table33[[#This Row],[Category]]="Fall Product",Table33[[#This Row],[Account Deposit Amount]]-Table33[[#This Row],[Account Withdrawl Amount]], )</f>
        <v>0</v>
      </c>
      <c r="J94" s="243">
        <f>IF(Table33[[#This Row],[Category]]="Cookies",Table33[[#This Row],[Account Deposit Amount]]-Table33[[#This Row],[Account Withdrawl Amount]], )</f>
        <v>0</v>
      </c>
      <c r="K94" s="243">
        <f>IF(Table33[[#This Row],[Category]]="Additional Money Earning Activities",Table33[[#This Row],[Account Deposit Amount]]-Table33[[#This Row],[Account Withdrawl Amount]], )</f>
        <v>0</v>
      </c>
      <c r="L94" s="243">
        <f>IF(Table33[[#This Row],[Category]]="Sponsorships",Table33[[#This Row],[Account Deposit Amount]]-Table33[[#This Row],[Account Withdrawl Amount]], )</f>
        <v>0</v>
      </c>
      <c r="M94" s="243">
        <f>IF(Table33[[#This Row],[Category]]="Troop Dues",Table33[[#This Row],[Account Deposit Amount]]-Table33[[#This Row],[Account Withdrawl Amount]], )</f>
        <v>0</v>
      </c>
      <c r="N94" s="243">
        <f>IF(Table33[[#This Row],[Category]]="Other Income",Table33[[#This Row],[Account Deposit Amount]]-Table33[[#This Row],[Account Withdrawl Amount]], )</f>
        <v>0</v>
      </c>
      <c r="O94" s="243">
        <f>IF(Table33[[#This Row],[Category]]="Registration",Table33[[#This Row],[Account Deposit Amount]]-Table33[[#This Row],[Account Withdrawl Amount]], )</f>
        <v>0</v>
      </c>
      <c r="P94" s="243">
        <f>IF(Table33[[#This Row],[Category]]="Insignia",Table33[[#This Row],[Account Deposit Amount]]-Table33[[#This Row],[Account Withdrawl Amount]], )</f>
        <v>0</v>
      </c>
      <c r="Q94" s="243">
        <f>IF(Table33[[#This Row],[Category]]="Activities/Program",Table33[[#This Row],[Account Deposit Amount]]-Table33[[#This Row],[Account Withdrawl Amount]], )</f>
        <v>0</v>
      </c>
      <c r="R94" s="243">
        <f>IF(Table33[[#This Row],[Category]]="Travel",Table33[[#This Row],[Account Deposit Amount]]-Table33[[#This Row],[Account Withdrawl Amount]], )</f>
        <v>0</v>
      </c>
      <c r="S94" s="243">
        <f>IF(Table33[[#This Row],[Category]]="Parties Food &amp; Beverages",Table33[[#This Row],[Account Deposit Amount]]-Table33[[#This Row],[Account Withdrawl Amount]], )</f>
        <v>0</v>
      </c>
      <c r="T94" s="243">
        <f>IF(Table33[[#This Row],[Category]]="Service Projects Donation",Table33[[#This Row],[Account Deposit Amount]]-Table33[[#This Row],[Account Withdrawl Amount]], )</f>
        <v>0</v>
      </c>
      <c r="U94" s="243">
        <f>IF(Table33[[#This Row],[Category]]="Cookie Debt",Table33[[#This Row],[Account Deposit Amount]]-Table33[[#This Row],[Account Withdrawl Amount]], )</f>
        <v>0</v>
      </c>
      <c r="V94" s="243">
        <f>IF(Table33[[#This Row],[Category]]="Other Expense",Table33[[#This Row],[Account Deposit Amount]]-Table33[[#This Row],[Account Withdrawl Amount]], )</f>
        <v>0</v>
      </c>
    </row>
    <row r="95" spans="1:22">
      <c r="A95" s="225"/>
      <c r="B95" s="249"/>
      <c r="C95" s="256"/>
      <c r="D95" s="247"/>
      <c r="E95" s="250"/>
      <c r="F95" s="257"/>
      <c r="G95" s="243">
        <f t="shared" si="3"/>
        <v>0</v>
      </c>
      <c r="H95" s="247"/>
      <c r="I95" s="243">
        <f>IF(Table33[[#This Row],[Category]]="Fall Product",Table33[[#This Row],[Account Deposit Amount]]-Table33[[#This Row],[Account Withdrawl Amount]], )</f>
        <v>0</v>
      </c>
      <c r="J95" s="243">
        <f>IF(Table33[[#This Row],[Category]]="Cookies",Table33[[#This Row],[Account Deposit Amount]]-Table33[[#This Row],[Account Withdrawl Amount]], )</f>
        <v>0</v>
      </c>
      <c r="K95" s="243">
        <f>IF(Table33[[#This Row],[Category]]="Additional Money Earning Activities",Table33[[#This Row],[Account Deposit Amount]]-Table33[[#This Row],[Account Withdrawl Amount]], )</f>
        <v>0</v>
      </c>
      <c r="L95" s="243">
        <f>IF(Table33[[#This Row],[Category]]="Sponsorships",Table33[[#This Row],[Account Deposit Amount]]-Table33[[#This Row],[Account Withdrawl Amount]], )</f>
        <v>0</v>
      </c>
      <c r="M95" s="243">
        <f>IF(Table33[[#This Row],[Category]]="Troop Dues",Table33[[#This Row],[Account Deposit Amount]]-Table33[[#This Row],[Account Withdrawl Amount]], )</f>
        <v>0</v>
      </c>
      <c r="N95" s="243">
        <f>IF(Table33[[#This Row],[Category]]="Other Income",Table33[[#This Row],[Account Deposit Amount]]-Table33[[#This Row],[Account Withdrawl Amount]], )</f>
        <v>0</v>
      </c>
      <c r="O95" s="243">
        <f>IF(Table33[[#This Row],[Category]]="Registration",Table33[[#This Row],[Account Deposit Amount]]-Table33[[#This Row],[Account Withdrawl Amount]], )</f>
        <v>0</v>
      </c>
      <c r="P95" s="243">
        <f>IF(Table33[[#This Row],[Category]]="Insignia",Table33[[#This Row],[Account Deposit Amount]]-Table33[[#This Row],[Account Withdrawl Amount]], )</f>
        <v>0</v>
      </c>
      <c r="Q95" s="243">
        <f>IF(Table33[[#This Row],[Category]]="Activities/Program",Table33[[#This Row],[Account Deposit Amount]]-Table33[[#This Row],[Account Withdrawl Amount]], )</f>
        <v>0</v>
      </c>
      <c r="R95" s="243">
        <f>IF(Table33[[#This Row],[Category]]="Travel",Table33[[#This Row],[Account Deposit Amount]]-Table33[[#This Row],[Account Withdrawl Amount]], )</f>
        <v>0</v>
      </c>
      <c r="S95" s="243">
        <f>IF(Table33[[#This Row],[Category]]="Parties Food &amp; Beverages",Table33[[#This Row],[Account Deposit Amount]]-Table33[[#This Row],[Account Withdrawl Amount]], )</f>
        <v>0</v>
      </c>
      <c r="T95" s="243">
        <f>IF(Table33[[#This Row],[Category]]="Service Projects Donation",Table33[[#This Row],[Account Deposit Amount]]-Table33[[#This Row],[Account Withdrawl Amount]], )</f>
        <v>0</v>
      </c>
      <c r="U95" s="243">
        <f>IF(Table33[[#This Row],[Category]]="Cookie Debt",Table33[[#This Row],[Account Deposit Amount]]-Table33[[#This Row],[Account Withdrawl Amount]], )</f>
        <v>0</v>
      </c>
      <c r="V95" s="243">
        <f>IF(Table33[[#This Row],[Category]]="Other Expense",Table33[[#This Row],[Account Deposit Amount]]-Table33[[#This Row],[Account Withdrawl Amount]], )</f>
        <v>0</v>
      </c>
    </row>
    <row r="96" spans="1:22">
      <c r="A96" s="225"/>
      <c r="B96" s="252"/>
      <c r="C96" s="253"/>
      <c r="D96" s="248"/>
      <c r="E96" s="258"/>
      <c r="F96" s="254"/>
      <c r="G96" s="243">
        <f t="shared" si="3"/>
        <v>0</v>
      </c>
      <c r="H96" s="248"/>
      <c r="I96" s="243">
        <f>IF(Table33[[#This Row],[Category]]="Fall Product",Table33[[#This Row],[Account Deposit Amount]]-Table33[[#This Row],[Account Withdrawl Amount]], )</f>
        <v>0</v>
      </c>
      <c r="J96" s="243">
        <f>IF(Table33[[#This Row],[Category]]="Cookies",Table33[[#This Row],[Account Deposit Amount]]-Table33[[#This Row],[Account Withdrawl Amount]], )</f>
        <v>0</v>
      </c>
      <c r="K96" s="243">
        <f>IF(Table33[[#This Row],[Category]]="Additional Money Earning Activities",Table33[[#This Row],[Account Deposit Amount]]-Table33[[#This Row],[Account Withdrawl Amount]], )</f>
        <v>0</v>
      </c>
      <c r="L96" s="243">
        <f>IF(Table33[[#This Row],[Category]]="Sponsorships",Table33[[#This Row],[Account Deposit Amount]]-Table33[[#This Row],[Account Withdrawl Amount]], )</f>
        <v>0</v>
      </c>
      <c r="M96" s="243">
        <f>IF(Table33[[#This Row],[Category]]="Troop Dues",Table33[[#This Row],[Account Deposit Amount]]-Table33[[#This Row],[Account Withdrawl Amount]], )</f>
        <v>0</v>
      </c>
      <c r="N96" s="243">
        <f>IF(Table33[[#This Row],[Category]]="Other Income",Table33[[#This Row],[Account Deposit Amount]]-Table33[[#This Row],[Account Withdrawl Amount]], )</f>
        <v>0</v>
      </c>
      <c r="O96" s="243">
        <f>IF(Table33[[#This Row],[Category]]="Registration",Table33[[#This Row],[Account Deposit Amount]]-Table33[[#This Row],[Account Withdrawl Amount]], )</f>
        <v>0</v>
      </c>
      <c r="P96" s="243">
        <f>IF(Table33[[#This Row],[Category]]="Insignia",Table33[[#This Row],[Account Deposit Amount]]-Table33[[#This Row],[Account Withdrawl Amount]], )</f>
        <v>0</v>
      </c>
      <c r="Q96" s="243">
        <f>IF(Table33[[#This Row],[Category]]="Activities/Program",Table33[[#This Row],[Account Deposit Amount]]-Table33[[#This Row],[Account Withdrawl Amount]], )</f>
        <v>0</v>
      </c>
      <c r="R96" s="243">
        <f>IF(Table33[[#This Row],[Category]]="Travel",Table33[[#This Row],[Account Deposit Amount]]-Table33[[#This Row],[Account Withdrawl Amount]], )</f>
        <v>0</v>
      </c>
      <c r="S96" s="243">
        <f>IF(Table33[[#This Row],[Category]]="Parties Food &amp; Beverages",Table33[[#This Row],[Account Deposit Amount]]-Table33[[#This Row],[Account Withdrawl Amount]], )</f>
        <v>0</v>
      </c>
      <c r="T96" s="243">
        <f>IF(Table33[[#This Row],[Category]]="Service Projects Donation",Table33[[#This Row],[Account Deposit Amount]]-Table33[[#This Row],[Account Withdrawl Amount]], )</f>
        <v>0</v>
      </c>
      <c r="U96" s="243">
        <f>IF(Table33[[#This Row],[Category]]="Cookie Debt",Table33[[#This Row],[Account Deposit Amount]]-Table33[[#This Row],[Account Withdrawl Amount]], )</f>
        <v>0</v>
      </c>
      <c r="V96" s="243">
        <f>IF(Table33[[#This Row],[Category]]="Other Expense",Table33[[#This Row],[Account Deposit Amount]]-Table33[[#This Row],[Account Withdrawl Amount]], )</f>
        <v>0</v>
      </c>
    </row>
    <row r="97" spans="1:22">
      <c r="A97" s="225"/>
      <c r="B97" s="249"/>
      <c r="C97" s="256"/>
      <c r="D97" s="247"/>
      <c r="E97" s="250"/>
      <c r="F97" s="257"/>
      <c r="G97" s="243">
        <f t="shared" si="3"/>
        <v>0</v>
      </c>
      <c r="H97" s="247"/>
      <c r="I97" s="243">
        <f>IF(Table33[[#This Row],[Category]]="Fall Product",Table33[[#This Row],[Account Deposit Amount]]-Table33[[#This Row],[Account Withdrawl Amount]], )</f>
        <v>0</v>
      </c>
      <c r="J97" s="243">
        <f>IF(Table33[[#This Row],[Category]]="Cookies",Table33[[#This Row],[Account Deposit Amount]]-Table33[[#This Row],[Account Withdrawl Amount]], )</f>
        <v>0</v>
      </c>
      <c r="K97" s="243">
        <f>IF(Table33[[#This Row],[Category]]="Additional Money Earning Activities",Table33[[#This Row],[Account Deposit Amount]]-Table33[[#This Row],[Account Withdrawl Amount]], )</f>
        <v>0</v>
      </c>
      <c r="L97" s="243">
        <f>IF(Table33[[#This Row],[Category]]="Sponsorships",Table33[[#This Row],[Account Deposit Amount]]-Table33[[#This Row],[Account Withdrawl Amount]], )</f>
        <v>0</v>
      </c>
      <c r="M97" s="243">
        <f>IF(Table33[[#This Row],[Category]]="Troop Dues",Table33[[#This Row],[Account Deposit Amount]]-Table33[[#This Row],[Account Withdrawl Amount]], )</f>
        <v>0</v>
      </c>
      <c r="N97" s="243">
        <f>IF(Table33[[#This Row],[Category]]="Other Income",Table33[[#This Row],[Account Deposit Amount]]-Table33[[#This Row],[Account Withdrawl Amount]], )</f>
        <v>0</v>
      </c>
      <c r="O97" s="243">
        <f>IF(Table33[[#This Row],[Category]]="Registration",Table33[[#This Row],[Account Deposit Amount]]-Table33[[#This Row],[Account Withdrawl Amount]], )</f>
        <v>0</v>
      </c>
      <c r="P97" s="243">
        <f>IF(Table33[[#This Row],[Category]]="Insignia",Table33[[#This Row],[Account Deposit Amount]]-Table33[[#This Row],[Account Withdrawl Amount]], )</f>
        <v>0</v>
      </c>
      <c r="Q97" s="243">
        <f>IF(Table33[[#This Row],[Category]]="Activities/Program",Table33[[#This Row],[Account Deposit Amount]]-Table33[[#This Row],[Account Withdrawl Amount]], )</f>
        <v>0</v>
      </c>
      <c r="R97" s="243">
        <f>IF(Table33[[#This Row],[Category]]="Travel",Table33[[#This Row],[Account Deposit Amount]]-Table33[[#This Row],[Account Withdrawl Amount]], )</f>
        <v>0</v>
      </c>
      <c r="S97" s="243">
        <f>IF(Table33[[#This Row],[Category]]="Parties Food &amp; Beverages",Table33[[#This Row],[Account Deposit Amount]]-Table33[[#This Row],[Account Withdrawl Amount]], )</f>
        <v>0</v>
      </c>
      <c r="T97" s="243">
        <f>IF(Table33[[#This Row],[Category]]="Service Projects Donation",Table33[[#This Row],[Account Deposit Amount]]-Table33[[#This Row],[Account Withdrawl Amount]], )</f>
        <v>0</v>
      </c>
      <c r="U97" s="243">
        <f>IF(Table33[[#This Row],[Category]]="Cookie Debt",Table33[[#This Row],[Account Deposit Amount]]-Table33[[#This Row],[Account Withdrawl Amount]], )</f>
        <v>0</v>
      </c>
      <c r="V97" s="243">
        <f>IF(Table33[[#This Row],[Category]]="Other Expense",Table33[[#This Row],[Account Deposit Amount]]-Table33[[#This Row],[Account Withdrawl Amount]], )</f>
        <v>0</v>
      </c>
    </row>
    <row r="98" spans="1:22">
      <c r="A98" s="225"/>
      <c r="B98" s="252"/>
      <c r="C98" s="253"/>
      <c r="D98" s="248"/>
      <c r="E98" s="254"/>
      <c r="F98" s="255"/>
      <c r="G98" s="243">
        <f t="shared" si="3"/>
        <v>0</v>
      </c>
      <c r="H98" s="248"/>
      <c r="I98" s="243">
        <f>IF(Table33[[#This Row],[Category]]="Fall Product",Table33[[#This Row],[Account Deposit Amount]]-Table33[[#This Row],[Account Withdrawl Amount]], )</f>
        <v>0</v>
      </c>
      <c r="J98" s="243">
        <f>IF(Table33[[#This Row],[Category]]="Cookies",Table33[[#This Row],[Account Deposit Amount]]-Table33[[#This Row],[Account Withdrawl Amount]], )</f>
        <v>0</v>
      </c>
      <c r="K98" s="243">
        <f>IF(Table33[[#This Row],[Category]]="Additional Money Earning Activities",Table33[[#This Row],[Account Deposit Amount]]-Table33[[#This Row],[Account Withdrawl Amount]], )</f>
        <v>0</v>
      </c>
      <c r="L98" s="243">
        <f>IF(Table33[[#This Row],[Category]]="Sponsorships",Table33[[#This Row],[Account Deposit Amount]]-Table33[[#This Row],[Account Withdrawl Amount]], )</f>
        <v>0</v>
      </c>
      <c r="M98" s="243">
        <f>IF(Table33[[#This Row],[Category]]="Troop Dues",Table33[[#This Row],[Account Deposit Amount]]-Table33[[#This Row],[Account Withdrawl Amount]], )</f>
        <v>0</v>
      </c>
      <c r="N98" s="243">
        <f>IF(Table33[[#This Row],[Category]]="Other Income",Table33[[#This Row],[Account Deposit Amount]]-Table33[[#This Row],[Account Withdrawl Amount]], )</f>
        <v>0</v>
      </c>
      <c r="O98" s="243">
        <f>IF(Table33[[#This Row],[Category]]="Registration",Table33[[#This Row],[Account Deposit Amount]]-Table33[[#This Row],[Account Withdrawl Amount]], )</f>
        <v>0</v>
      </c>
      <c r="P98" s="243">
        <f>IF(Table33[[#This Row],[Category]]="Insignia",Table33[[#This Row],[Account Deposit Amount]]-Table33[[#This Row],[Account Withdrawl Amount]], )</f>
        <v>0</v>
      </c>
      <c r="Q98" s="243">
        <f>IF(Table33[[#This Row],[Category]]="Activities/Program",Table33[[#This Row],[Account Deposit Amount]]-Table33[[#This Row],[Account Withdrawl Amount]], )</f>
        <v>0</v>
      </c>
      <c r="R98" s="243">
        <f>IF(Table33[[#This Row],[Category]]="Travel",Table33[[#This Row],[Account Deposit Amount]]-Table33[[#This Row],[Account Withdrawl Amount]], )</f>
        <v>0</v>
      </c>
      <c r="S98" s="243">
        <f>IF(Table33[[#This Row],[Category]]="Parties Food &amp; Beverages",Table33[[#This Row],[Account Deposit Amount]]-Table33[[#This Row],[Account Withdrawl Amount]], )</f>
        <v>0</v>
      </c>
      <c r="T98" s="243">
        <f>IF(Table33[[#This Row],[Category]]="Service Projects Donation",Table33[[#This Row],[Account Deposit Amount]]-Table33[[#This Row],[Account Withdrawl Amount]], )</f>
        <v>0</v>
      </c>
      <c r="U98" s="243">
        <f>IF(Table33[[#This Row],[Category]]="Cookie Debt",Table33[[#This Row],[Account Deposit Amount]]-Table33[[#This Row],[Account Withdrawl Amount]], )</f>
        <v>0</v>
      </c>
      <c r="V98" s="243">
        <f>IF(Table33[[#This Row],[Category]]="Other Expense",Table33[[#This Row],[Account Deposit Amount]]-Table33[[#This Row],[Account Withdrawl Amount]], )</f>
        <v>0</v>
      </c>
    </row>
    <row r="99" spans="1:22">
      <c r="A99" s="225"/>
      <c r="B99" s="249"/>
      <c r="C99" s="256"/>
      <c r="D99" s="247"/>
      <c r="E99" s="250"/>
      <c r="F99" s="257"/>
      <c r="G99" s="243">
        <f t="shared" si="3"/>
        <v>0</v>
      </c>
      <c r="H99" s="247"/>
      <c r="I99" s="243">
        <f>IF(Table33[[#This Row],[Category]]="Fall Product",Table33[[#This Row],[Account Deposit Amount]]-Table33[[#This Row],[Account Withdrawl Amount]], )</f>
        <v>0</v>
      </c>
      <c r="J99" s="243">
        <f>IF(Table33[[#This Row],[Category]]="Cookies",Table33[[#This Row],[Account Deposit Amount]]-Table33[[#This Row],[Account Withdrawl Amount]], )</f>
        <v>0</v>
      </c>
      <c r="K99" s="243">
        <f>IF(Table33[[#This Row],[Category]]="Additional Money Earning Activities",Table33[[#This Row],[Account Deposit Amount]]-Table33[[#This Row],[Account Withdrawl Amount]], )</f>
        <v>0</v>
      </c>
      <c r="L99" s="243">
        <f>IF(Table33[[#This Row],[Category]]="Sponsorships",Table33[[#This Row],[Account Deposit Amount]]-Table33[[#This Row],[Account Withdrawl Amount]], )</f>
        <v>0</v>
      </c>
      <c r="M99" s="243">
        <f>IF(Table33[[#This Row],[Category]]="Troop Dues",Table33[[#This Row],[Account Deposit Amount]]-Table33[[#This Row],[Account Withdrawl Amount]], )</f>
        <v>0</v>
      </c>
      <c r="N99" s="243">
        <f>IF(Table33[[#This Row],[Category]]="Other Income",Table33[[#This Row],[Account Deposit Amount]]-Table33[[#This Row],[Account Withdrawl Amount]], )</f>
        <v>0</v>
      </c>
      <c r="O99" s="243">
        <f>IF(Table33[[#This Row],[Category]]="Registration",Table33[[#This Row],[Account Deposit Amount]]-Table33[[#This Row],[Account Withdrawl Amount]], )</f>
        <v>0</v>
      </c>
      <c r="P99" s="243">
        <f>IF(Table33[[#This Row],[Category]]="Insignia",Table33[[#This Row],[Account Deposit Amount]]-Table33[[#This Row],[Account Withdrawl Amount]], )</f>
        <v>0</v>
      </c>
      <c r="Q99" s="243">
        <f>IF(Table33[[#This Row],[Category]]="Activities/Program",Table33[[#This Row],[Account Deposit Amount]]-Table33[[#This Row],[Account Withdrawl Amount]], )</f>
        <v>0</v>
      </c>
      <c r="R99" s="243">
        <f>IF(Table33[[#This Row],[Category]]="Travel",Table33[[#This Row],[Account Deposit Amount]]-Table33[[#This Row],[Account Withdrawl Amount]], )</f>
        <v>0</v>
      </c>
      <c r="S99" s="243">
        <f>IF(Table33[[#This Row],[Category]]="Parties Food &amp; Beverages",Table33[[#This Row],[Account Deposit Amount]]-Table33[[#This Row],[Account Withdrawl Amount]], )</f>
        <v>0</v>
      </c>
      <c r="T99" s="243">
        <f>IF(Table33[[#This Row],[Category]]="Service Projects Donation",Table33[[#This Row],[Account Deposit Amount]]-Table33[[#This Row],[Account Withdrawl Amount]], )</f>
        <v>0</v>
      </c>
      <c r="U99" s="243">
        <f>IF(Table33[[#This Row],[Category]]="Cookie Debt",Table33[[#This Row],[Account Deposit Amount]]-Table33[[#This Row],[Account Withdrawl Amount]], )</f>
        <v>0</v>
      </c>
      <c r="V99" s="243">
        <f>IF(Table33[[#This Row],[Category]]="Other Expense",Table33[[#This Row],[Account Deposit Amount]]-Table33[[#This Row],[Account Withdrawl Amount]], )</f>
        <v>0</v>
      </c>
    </row>
    <row r="100" spans="1:22">
      <c r="A100" s="225"/>
      <c r="B100" s="252"/>
      <c r="C100" s="253"/>
      <c r="D100" s="248"/>
      <c r="E100" s="258"/>
      <c r="F100" s="254"/>
      <c r="G100" s="243">
        <f t="shared" si="3"/>
        <v>0</v>
      </c>
      <c r="H100" s="248"/>
      <c r="I100" s="243">
        <f>IF(Table33[[#This Row],[Category]]="Fall Product",Table33[[#This Row],[Account Deposit Amount]]-Table33[[#This Row],[Account Withdrawl Amount]], )</f>
        <v>0</v>
      </c>
      <c r="J100" s="243">
        <f>IF(Table33[[#This Row],[Category]]="Cookies",Table33[[#This Row],[Account Deposit Amount]]-Table33[[#This Row],[Account Withdrawl Amount]], )</f>
        <v>0</v>
      </c>
      <c r="K100" s="243">
        <f>IF(Table33[[#This Row],[Category]]="Additional Money Earning Activities",Table33[[#This Row],[Account Deposit Amount]]-Table33[[#This Row],[Account Withdrawl Amount]], )</f>
        <v>0</v>
      </c>
      <c r="L100" s="243">
        <f>IF(Table33[[#This Row],[Category]]="Sponsorships",Table33[[#This Row],[Account Deposit Amount]]-Table33[[#This Row],[Account Withdrawl Amount]], )</f>
        <v>0</v>
      </c>
      <c r="M100" s="243">
        <f>IF(Table33[[#This Row],[Category]]="Troop Dues",Table33[[#This Row],[Account Deposit Amount]]-Table33[[#This Row],[Account Withdrawl Amount]], )</f>
        <v>0</v>
      </c>
      <c r="N100" s="243">
        <f>IF(Table33[[#This Row],[Category]]="Other Income",Table33[[#This Row],[Account Deposit Amount]]-Table33[[#This Row],[Account Withdrawl Amount]], )</f>
        <v>0</v>
      </c>
      <c r="O100" s="243">
        <f>IF(Table33[[#This Row],[Category]]="Registration",Table33[[#This Row],[Account Deposit Amount]]-Table33[[#This Row],[Account Withdrawl Amount]], )</f>
        <v>0</v>
      </c>
      <c r="P100" s="243">
        <f>IF(Table33[[#This Row],[Category]]="Insignia",Table33[[#This Row],[Account Deposit Amount]]-Table33[[#This Row],[Account Withdrawl Amount]], )</f>
        <v>0</v>
      </c>
      <c r="Q100" s="243">
        <f>IF(Table33[[#This Row],[Category]]="Activities/Program",Table33[[#This Row],[Account Deposit Amount]]-Table33[[#This Row],[Account Withdrawl Amount]], )</f>
        <v>0</v>
      </c>
      <c r="R100" s="243">
        <f>IF(Table33[[#This Row],[Category]]="Travel",Table33[[#This Row],[Account Deposit Amount]]-Table33[[#This Row],[Account Withdrawl Amount]], )</f>
        <v>0</v>
      </c>
      <c r="S100" s="243">
        <f>IF(Table33[[#This Row],[Category]]="Parties Food &amp; Beverages",Table33[[#This Row],[Account Deposit Amount]]-Table33[[#This Row],[Account Withdrawl Amount]], )</f>
        <v>0</v>
      </c>
      <c r="T100" s="243">
        <f>IF(Table33[[#This Row],[Category]]="Service Projects Donation",Table33[[#This Row],[Account Deposit Amount]]-Table33[[#This Row],[Account Withdrawl Amount]], )</f>
        <v>0</v>
      </c>
      <c r="U100" s="243">
        <f>IF(Table33[[#This Row],[Category]]="Cookie Debt",Table33[[#This Row],[Account Deposit Amount]]-Table33[[#This Row],[Account Withdrawl Amount]], )</f>
        <v>0</v>
      </c>
      <c r="V100" s="243">
        <f>IF(Table33[[#This Row],[Category]]="Other Expense",Table33[[#This Row],[Account Deposit Amount]]-Table33[[#This Row],[Account Withdrawl Amount]], )</f>
        <v>0</v>
      </c>
    </row>
    <row r="101" spans="1:22">
      <c r="A101" s="225"/>
      <c r="B101" s="249"/>
      <c r="C101" s="256"/>
      <c r="D101" s="247"/>
      <c r="E101" s="250"/>
      <c r="F101" s="257"/>
      <c r="G101" s="243">
        <f t="shared" si="3"/>
        <v>0</v>
      </c>
      <c r="H101" s="247"/>
      <c r="I101" s="243">
        <f>IF(Table33[[#This Row],[Category]]="Fall Product",Table33[[#This Row],[Account Deposit Amount]]-Table33[[#This Row],[Account Withdrawl Amount]], )</f>
        <v>0</v>
      </c>
      <c r="J101" s="243">
        <f>IF(Table33[[#This Row],[Category]]="Cookies",Table33[[#This Row],[Account Deposit Amount]]-Table33[[#This Row],[Account Withdrawl Amount]], )</f>
        <v>0</v>
      </c>
      <c r="K101" s="243">
        <f>IF(Table33[[#This Row],[Category]]="Additional Money Earning Activities",Table33[[#This Row],[Account Deposit Amount]]-Table33[[#This Row],[Account Withdrawl Amount]], )</f>
        <v>0</v>
      </c>
      <c r="L101" s="243">
        <f>IF(Table33[[#This Row],[Category]]="Sponsorships",Table33[[#This Row],[Account Deposit Amount]]-Table33[[#This Row],[Account Withdrawl Amount]], )</f>
        <v>0</v>
      </c>
      <c r="M101" s="243">
        <f>IF(Table33[[#This Row],[Category]]="Troop Dues",Table33[[#This Row],[Account Deposit Amount]]-Table33[[#This Row],[Account Withdrawl Amount]], )</f>
        <v>0</v>
      </c>
      <c r="N101" s="243">
        <f>IF(Table33[[#This Row],[Category]]="Other Income",Table33[[#This Row],[Account Deposit Amount]]-Table33[[#This Row],[Account Withdrawl Amount]], )</f>
        <v>0</v>
      </c>
      <c r="O101" s="243">
        <f>IF(Table33[[#This Row],[Category]]="Registration",Table33[[#This Row],[Account Deposit Amount]]-Table33[[#This Row],[Account Withdrawl Amount]], )</f>
        <v>0</v>
      </c>
      <c r="P101" s="243">
        <f>IF(Table33[[#This Row],[Category]]="Insignia",Table33[[#This Row],[Account Deposit Amount]]-Table33[[#This Row],[Account Withdrawl Amount]], )</f>
        <v>0</v>
      </c>
      <c r="Q101" s="243">
        <f>IF(Table33[[#This Row],[Category]]="Activities/Program",Table33[[#This Row],[Account Deposit Amount]]-Table33[[#This Row],[Account Withdrawl Amount]], )</f>
        <v>0</v>
      </c>
      <c r="R101" s="243">
        <f>IF(Table33[[#This Row],[Category]]="Travel",Table33[[#This Row],[Account Deposit Amount]]-Table33[[#This Row],[Account Withdrawl Amount]], )</f>
        <v>0</v>
      </c>
      <c r="S101" s="243">
        <f>IF(Table33[[#This Row],[Category]]="Parties Food &amp; Beverages",Table33[[#This Row],[Account Deposit Amount]]-Table33[[#This Row],[Account Withdrawl Amount]], )</f>
        <v>0</v>
      </c>
      <c r="T101" s="243">
        <f>IF(Table33[[#This Row],[Category]]="Service Projects Donation",Table33[[#This Row],[Account Deposit Amount]]-Table33[[#This Row],[Account Withdrawl Amount]], )</f>
        <v>0</v>
      </c>
      <c r="U101" s="243">
        <f>IF(Table33[[#This Row],[Category]]="Cookie Debt",Table33[[#This Row],[Account Deposit Amount]]-Table33[[#This Row],[Account Withdrawl Amount]], )</f>
        <v>0</v>
      </c>
      <c r="V101" s="243">
        <f>IF(Table33[[#This Row],[Category]]="Other Expense",Table33[[#This Row],[Account Deposit Amount]]-Table33[[#This Row],[Account Withdrawl Amount]], )</f>
        <v>0</v>
      </c>
    </row>
    <row r="102" spans="1:22">
      <c r="A102" s="225"/>
      <c r="B102" s="252"/>
      <c r="C102" s="253"/>
      <c r="D102" s="248"/>
      <c r="E102" s="254"/>
      <c r="F102" s="255"/>
      <c r="G102" s="243">
        <f t="shared" si="3"/>
        <v>0</v>
      </c>
      <c r="H102" s="248"/>
      <c r="I102" s="243">
        <f>IF(Table33[[#This Row],[Category]]="Fall Product",Table33[[#This Row],[Account Deposit Amount]]-Table33[[#This Row],[Account Withdrawl Amount]], )</f>
        <v>0</v>
      </c>
      <c r="J102" s="243">
        <f>IF(Table33[[#This Row],[Category]]="Cookies",Table33[[#This Row],[Account Deposit Amount]]-Table33[[#This Row],[Account Withdrawl Amount]], )</f>
        <v>0</v>
      </c>
      <c r="K102" s="243">
        <f>IF(Table33[[#This Row],[Category]]="Additional Money Earning Activities",Table33[[#This Row],[Account Deposit Amount]]-Table33[[#This Row],[Account Withdrawl Amount]], )</f>
        <v>0</v>
      </c>
      <c r="L102" s="243">
        <f>IF(Table33[[#This Row],[Category]]="Sponsorships",Table33[[#This Row],[Account Deposit Amount]]-Table33[[#This Row],[Account Withdrawl Amount]], )</f>
        <v>0</v>
      </c>
      <c r="M102" s="243">
        <f>IF(Table33[[#This Row],[Category]]="Troop Dues",Table33[[#This Row],[Account Deposit Amount]]-Table33[[#This Row],[Account Withdrawl Amount]], )</f>
        <v>0</v>
      </c>
      <c r="N102" s="243">
        <f>IF(Table33[[#This Row],[Category]]="Other Income",Table33[[#This Row],[Account Deposit Amount]]-Table33[[#This Row],[Account Withdrawl Amount]], )</f>
        <v>0</v>
      </c>
      <c r="O102" s="243">
        <f>IF(Table33[[#This Row],[Category]]="Registration",Table33[[#This Row],[Account Deposit Amount]]-Table33[[#This Row],[Account Withdrawl Amount]], )</f>
        <v>0</v>
      </c>
      <c r="P102" s="243">
        <f>IF(Table33[[#This Row],[Category]]="Insignia",Table33[[#This Row],[Account Deposit Amount]]-Table33[[#This Row],[Account Withdrawl Amount]], )</f>
        <v>0</v>
      </c>
      <c r="Q102" s="243">
        <f>IF(Table33[[#This Row],[Category]]="Activities/Program",Table33[[#This Row],[Account Deposit Amount]]-Table33[[#This Row],[Account Withdrawl Amount]], )</f>
        <v>0</v>
      </c>
      <c r="R102" s="243">
        <f>IF(Table33[[#This Row],[Category]]="Travel",Table33[[#This Row],[Account Deposit Amount]]-Table33[[#This Row],[Account Withdrawl Amount]], )</f>
        <v>0</v>
      </c>
      <c r="S102" s="243">
        <f>IF(Table33[[#This Row],[Category]]="Parties Food &amp; Beverages",Table33[[#This Row],[Account Deposit Amount]]-Table33[[#This Row],[Account Withdrawl Amount]], )</f>
        <v>0</v>
      </c>
      <c r="T102" s="243">
        <f>IF(Table33[[#This Row],[Category]]="Service Projects Donation",Table33[[#This Row],[Account Deposit Amount]]-Table33[[#This Row],[Account Withdrawl Amount]], )</f>
        <v>0</v>
      </c>
      <c r="U102" s="243">
        <f>IF(Table33[[#This Row],[Category]]="Cookie Debt",Table33[[#This Row],[Account Deposit Amount]]-Table33[[#This Row],[Account Withdrawl Amount]], )</f>
        <v>0</v>
      </c>
      <c r="V102" s="243">
        <f>IF(Table33[[#This Row],[Category]]="Other Expense",Table33[[#This Row],[Account Deposit Amount]]-Table33[[#This Row],[Account Withdrawl Amount]], )</f>
        <v>0</v>
      </c>
    </row>
    <row r="103" spans="1:22">
      <c r="A103" s="225"/>
      <c r="B103" s="249"/>
      <c r="C103" s="256"/>
      <c r="D103" s="247"/>
      <c r="E103" s="251"/>
      <c r="F103" s="250"/>
      <c r="G103" s="243">
        <f t="shared" si="3"/>
        <v>0</v>
      </c>
      <c r="H103" s="247"/>
      <c r="I103" s="243">
        <f>IF(Table33[[#This Row],[Category]]="Fall Product",Table33[[#This Row],[Account Deposit Amount]]-Table33[[#This Row],[Account Withdrawl Amount]], )</f>
        <v>0</v>
      </c>
      <c r="J103" s="243">
        <f>IF(Table33[[#This Row],[Category]]="Cookies",Table33[[#This Row],[Account Deposit Amount]]-Table33[[#This Row],[Account Withdrawl Amount]], )</f>
        <v>0</v>
      </c>
      <c r="K103" s="243">
        <f>IF(Table33[[#This Row],[Category]]="Additional Money Earning Activities",Table33[[#This Row],[Account Deposit Amount]]-Table33[[#This Row],[Account Withdrawl Amount]], )</f>
        <v>0</v>
      </c>
      <c r="L103" s="243">
        <f>IF(Table33[[#This Row],[Category]]="Sponsorships",Table33[[#This Row],[Account Deposit Amount]]-Table33[[#This Row],[Account Withdrawl Amount]], )</f>
        <v>0</v>
      </c>
      <c r="M103" s="243">
        <f>IF(Table33[[#This Row],[Category]]="Troop Dues",Table33[[#This Row],[Account Deposit Amount]]-Table33[[#This Row],[Account Withdrawl Amount]], )</f>
        <v>0</v>
      </c>
      <c r="N103" s="243">
        <f>IF(Table33[[#This Row],[Category]]="Other Income",Table33[[#This Row],[Account Deposit Amount]]-Table33[[#This Row],[Account Withdrawl Amount]], )</f>
        <v>0</v>
      </c>
      <c r="O103" s="243">
        <f>IF(Table33[[#This Row],[Category]]="Registration",Table33[[#This Row],[Account Deposit Amount]]-Table33[[#This Row],[Account Withdrawl Amount]], )</f>
        <v>0</v>
      </c>
      <c r="P103" s="243">
        <f>IF(Table33[[#This Row],[Category]]="Insignia",Table33[[#This Row],[Account Deposit Amount]]-Table33[[#This Row],[Account Withdrawl Amount]], )</f>
        <v>0</v>
      </c>
      <c r="Q103" s="243">
        <f>IF(Table33[[#This Row],[Category]]="Activities/Program",Table33[[#This Row],[Account Deposit Amount]]-Table33[[#This Row],[Account Withdrawl Amount]], )</f>
        <v>0</v>
      </c>
      <c r="R103" s="243">
        <f>IF(Table33[[#This Row],[Category]]="Travel",Table33[[#This Row],[Account Deposit Amount]]-Table33[[#This Row],[Account Withdrawl Amount]], )</f>
        <v>0</v>
      </c>
      <c r="S103" s="243">
        <f>IF(Table33[[#This Row],[Category]]="Parties Food &amp; Beverages",Table33[[#This Row],[Account Deposit Amount]]-Table33[[#This Row],[Account Withdrawl Amount]], )</f>
        <v>0</v>
      </c>
      <c r="T103" s="243">
        <f>IF(Table33[[#This Row],[Category]]="Service Projects Donation",Table33[[#This Row],[Account Deposit Amount]]-Table33[[#This Row],[Account Withdrawl Amount]], )</f>
        <v>0</v>
      </c>
      <c r="U103" s="243">
        <f>IF(Table33[[#This Row],[Category]]="Cookie Debt",Table33[[#This Row],[Account Deposit Amount]]-Table33[[#This Row],[Account Withdrawl Amount]], )</f>
        <v>0</v>
      </c>
      <c r="V103" s="243">
        <f>IF(Table33[[#This Row],[Category]]="Other Expense",Table33[[#This Row],[Account Deposit Amount]]-Table33[[#This Row],[Account Withdrawl Amount]], )</f>
        <v>0</v>
      </c>
    </row>
    <row r="104" spans="1:22">
      <c r="A104" s="225"/>
      <c r="B104" s="252"/>
      <c r="C104" s="253"/>
      <c r="D104" s="248"/>
      <c r="E104" s="258"/>
      <c r="F104" s="254"/>
      <c r="G104" s="243">
        <f t="shared" si="3"/>
        <v>0</v>
      </c>
      <c r="H104" s="248"/>
      <c r="I104" s="243">
        <f>IF(Table33[[#This Row],[Category]]="Fall Product",Table33[[#This Row],[Account Deposit Amount]]-Table33[[#This Row],[Account Withdrawl Amount]], )</f>
        <v>0</v>
      </c>
      <c r="J104" s="243">
        <f>IF(Table33[[#This Row],[Category]]="Cookies",Table33[[#This Row],[Account Deposit Amount]]-Table33[[#This Row],[Account Withdrawl Amount]], )</f>
        <v>0</v>
      </c>
      <c r="K104" s="243">
        <f>IF(Table33[[#This Row],[Category]]="Additional Money Earning Activities",Table33[[#This Row],[Account Deposit Amount]]-Table33[[#This Row],[Account Withdrawl Amount]], )</f>
        <v>0</v>
      </c>
      <c r="L104" s="243">
        <f>IF(Table33[[#This Row],[Category]]="Sponsorships",Table33[[#This Row],[Account Deposit Amount]]-Table33[[#This Row],[Account Withdrawl Amount]], )</f>
        <v>0</v>
      </c>
      <c r="M104" s="243">
        <f>IF(Table33[[#This Row],[Category]]="Troop Dues",Table33[[#This Row],[Account Deposit Amount]]-Table33[[#This Row],[Account Withdrawl Amount]], )</f>
        <v>0</v>
      </c>
      <c r="N104" s="243">
        <f>IF(Table33[[#This Row],[Category]]="Other Income",Table33[[#This Row],[Account Deposit Amount]]-Table33[[#This Row],[Account Withdrawl Amount]], )</f>
        <v>0</v>
      </c>
      <c r="O104" s="243">
        <f>IF(Table33[[#This Row],[Category]]="Registration",Table33[[#This Row],[Account Deposit Amount]]-Table33[[#This Row],[Account Withdrawl Amount]], )</f>
        <v>0</v>
      </c>
      <c r="P104" s="243">
        <f>IF(Table33[[#This Row],[Category]]="Insignia",Table33[[#This Row],[Account Deposit Amount]]-Table33[[#This Row],[Account Withdrawl Amount]], )</f>
        <v>0</v>
      </c>
      <c r="Q104" s="243">
        <f>IF(Table33[[#This Row],[Category]]="Activities/Program",Table33[[#This Row],[Account Deposit Amount]]-Table33[[#This Row],[Account Withdrawl Amount]], )</f>
        <v>0</v>
      </c>
      <c r="R104" s="243">
        <f>IF(Table33[[#This Row],[Category]]="Travel",Table33[[#This Row],[Account Deposit Amount]]-Table33[[#This Row],[Account Withdrawl Amount]], )</f>
        <v>0</v>
      </c>
      <c r="S104" s="243">
        <f>IF(Table33[[#This Row],[Category]]="Parties Food &amp; Beverages",Table33[[#This Row],[Account Deposit Amount]]-Table33[[#This Row],[Account Withdrawl Amount]], )</f>
        <v>0</v>
      </c>
      <c r="T104" s="243">
        <f>IF(Table33[[#This Row],[Category]]="Service Projects Donation",Table33[[#This Row],[Account Deposit Amount]]-Table33[[#This Row],[Account Withdrawl Amount]], )</f>
        <v>0</v>
      </c>
      <c r="U104" s="243">
        <f>IF(Table33[[#This Row],[Category]]="Cookie Debt",Table33[[#This Row],[Account Deposit Amount]]-Table33[[#This Row],[Account Withdrawl Amount]], )</f>
        <v>0</v>
      </c>
      <c r="V104" s="243">
        <f>IF(Table33[[#This Row],[Category]]="Other Expense",Table33[[#This Row],[Account Deposit Amount]]-Table33[[#This Row],[Account Withdrawl Amount]], )</f>
        <v>0</v>
      </c>
    </row>
    <row r="105" spans="1:22">
      <c r="A105" s="225"/>
      <c r="B105" s="249"/>
      <c r="C105" s="256"/>
      <c r="D105" s="247"/>
      <c r="E105" s="250"/>
      <c r="F105" s="257"/>
      <c r="G105" s="243">
        <f t="shared" si="3"/>
        <v>0</v>
      </c>
      <c r="H105" s="247"/>
      <c r="I105" s="243">
        <f>IF(Table33[[#This Row],[Category]]="Fall Product",Table33[[#This Row],[Account Deposit Amount]]-Table33[[#This Row],[Account Withdrawl Amount]], )</f>
        <v>0</v>
      </c>
      <c r="J105" s="243">
        <f>IF(Table33[[#This Row],[Category]]="Cookies",Table33[[#This Row],[Account Deposit Amount]]-Table33[[#This Row],[Account Withdrawl Amount]], )</f>
        <v>0</v>
      </c>
      <c r="K105" s="243">
        <f>IF(Table33[[#This Row],[Category]]="Additional Money Earning Activities",Table33[[#This Row],[Account Deposit Amount]]-Table33[[#This Row],[Account Withdrawl Amount]], )</f>
        <v>0</v>
      </c>
      <c r="L105" s="243">
        <f>IF(Table33[[#This Row],[Category]]="Sponsorships",Table33[[#This Row],[Account Deposit Amount]]-Table33[[#This Row],[Account Withdrawl Amount]], )</f>
        <v>0</v>
      </c>
      <c r="M105" s="243">
        <f>IF(Table33[[#This Row],[Category]]="Troop Dues",Table33[[#This Row],[Account Deposit Amount]]-Table33[[#This Row],[Account Withdrawl Amount]], )</f>
        <v>0</v>
      </c>
      <c r="N105" s="243">
        <f>IF(Table33[[#This Row],[Category]]="Other Income",Table33[[#This Row],[Account Deposit Amount]]-Table33[[#This Row],[Account Withdrawl Amount]], )</f>
        <v>0</v>
      </c>
      <c r="O105" s="243">
        <f>IF(Table33[[#This Row],[Category]]="Registration",Table33[[#This Row],[Account Deposit Amount]]-Table33[[#This Row],[Account Withdrawl Amount]], )</f>
        <v>0</v>
      </c>
      <c r="P105" s="243">
        <f>IF(Table33[[#This Row],[Category]]="Insignia",Table33[[#This Row],[Account Deposit Amount]]-Table33[[#This Row],[Account Withdrawl Amount]], )</f>
        <v>0</v>
      </c>
      <c r="Q105" s="243">
        <f>IF(Table33[[#This Row],[Category]]="Activities/Program",Table33[[#This Row],[Account Deposit Amount]]-Table33[[#This Row],[Account Withdrawl Amount]], )</f>
        <v>0</v>
      </c>
      <c r="R105" s="243">
        <f>IF(Table33[[#This Row],[Category]]="Travel",Table33[[#This Row],[Account Deposit Amount]]-Table33[[#This Row],[Account Withdrawl Amount]], )</f>
        <v>0</v>
      </c>
      <c r="S105" s="243">
        <f>IF(Table33[[#This Row],[Category]]="Parties Food &amp; Beverages",Table33[[#This Row],[Account Deposit Amount]]-Table33[[#This Row],[Account Withdrawl Amount]], )</f>
        <v>0</v>
      </c>
      <c r="T105" s="243">
        <f>IF(Table33[[#This Row],[Category]]="Service Projects Donation",Table33[[#This Row],[Account Deposit Amount]]-Table33[[#This Row],[Account Withdrawl Amount]], )</f>
        <v>0</v>
      </c>
      <c r="U105" s="243">
        <f>IF(Table33[[#This Row],[Category]]="Cookie Debt",Table33[[#This Row],[Account Deposit Amount]]-Table33[[#This Row],[Account Withdrawl Amount]], )</f>
        <v>0</v>
      </c>
      <c r="V105" s="243">
        <f>IF(Table33[[#This Row],[Category]]="Other Expense",Table33[[#This Row],[Account Deposit Amount]]-Table33[[#This Row],[Account Withdrawl Amount]], )</f>
        <v>0</v>
      </c>
    </row>
    <row r="106" spans="1:22">
      <c r="A106" s="225"/>
      <c r="B106" s="252"/>
      <c r="C106" s="253"/>
      <c r="D106" s="248"/>
      <c r="E106" s="258"/>
      <c r="F106" s="254"/>
      <c r="G106" s="243">
        <f t="shared" si="3"/>
        <v>0</v>
      </c>
      <c r="H106" s="248"/>
      <c r="I106" s="243">
        <f>IF(Table33[[#This Row],[Category]]="Fall Product",Table33[[#This Row],[Account Deposit Amount]]-Table33[[#This Row],[Account Withdrawl Amount]], )</f>
        <v>0</v>
      </c>
      <c r="J106" s="243">
        <f>IF(Table33[[#This Row],[Category]]="Cookies",Table33[[#This Row],[Account Deposit Amount]]-Table33[[#This Row],[Account Withdrawl Amount]], )</f>
        <v>0</v>
      </c>
      <c r="K106" s="243">
        <f>IF(Table33[[#This Row],[Category]]="Additional Money Earning Activities",Table33[[#This Row],[Account Deposit Amount]]-Table33[[#This Row],[Account Withdrawl Amount]], )</f>
        <v>0</v>
      </c>
      <c r="L106" s="243">
        <f>IF(Table33[[#This Row],[Category]]="Sponsorships",Table33[[#This Row],[Account Deposit Amount]]-Table33[[#This Row],[Account Withdrawl Amount]], )</f>
        <v>0</v>
      </c>
      <c r="M106" s="243">
        <f>IF(Table33[[#This Row],[Category]]="Troop Dues",Table33[[#This Row],[Account Deposit Amount]]-Table33[[#This Row],[Account Withdrawl Amount]], )</f>
        <v>0</v>
      </c>
      <c r="N106" s="243">
        <f>IF(Table33[[#This Row],[Category]]="Other Income",Table33[[#This Row],[Account Deposit Amount]]-Table33[[#This Row],[Account Withdrawl Amount]], )</f>
        <v>0</v>
      </c>
      <c r="O106" s="243">
        <f>IF(Table33[[#This Row],[Category]]="Registration",Table33[[#This Row],[Account Deposit Amount]]-Table33[[#This Row],[Account Withdrawl Amount]], )</f>
        <v>0</v>
      </c>
      <c r="P106" s="243">
        <f>IF(Table33[[#This Row],[Category]]="Insignia",Table33[[#This Row],[Account Deposit Amount]]-Table33[[#This Row],[Account Withdrawl Amount]], )</f>
        <v>0</v>
      </c>
      <c r="Q106" s="243">
        <f>IF(Table33[[#This Row],[Category]]="Activities/Program",Table33[[#This Row],[Account Deposit Amount]]-Table33[[#This Row],[Account Withdrawl Amount]], )</f>
        <v>0</v>
      </c>
      <c r="R106" s="243">
        <f>IF(Table33[[#This Row],[Category]]="Travel",Table33[[#This Row],[Account Deposit Amount]]-Table33[[#This Row],[Account Withdrawl Amount]], )</f>
        <v>0</v>
      </c>
      <c r="S106" s="243">
        <f>IF(Table33[[#This Row],[Category]]="Parties Food &amp; Beverages",Table33[[#This Row],[Account Deposit Amount]]-Table33[[#This Row],[Account Withdrawl Amount]], )</f>
        <v>0</v>
      </c>
      <c r="T106" s="243">
        <f>IF(Table33[[#This Row],[Category]]="Service Projects Donation",Table33[[#This Row],[Account Deposit Amount]]-Table33[[#This Row],[Account Withdrawl Amount]], )</f>
        <v>0</v>
      </c>
      <c r="U106" s="243">
        <f>IF(Table33[[#This Row],[Category]]="Cookie Debt",Table33[[#This Row],[Account Deposit Amount]]-Table33[[#This Row],[Account Withdrawl Amount]], )</f>
        <v>0</v>
      </c>
      <c r="V106" s="243">
        <f>IF(Table33[[#This Row],[Category]]="Other Expense",Table33[[#This Row],[Account Deposit Amount]]-Table33[[#This Row],[Account Withdrawl Amount]], )</f>
        <v>0</v>
      </c>
    </row>
    <row r="107" spans="1:22">
      <c r="A107" s="225"/>
      <c r="B107" s="249"/>
      <c r="C107" s="256"/>
      <c r="D107" s="247"/>
      <c r="E107" s="251"/>
      <c r="F107" s="250"/>
      <c r="G107" s="243">
        <f t="shared" si="3"/>
        <v>0</v>
      </c>
      <c r="H107" s="247"/>
      <c r="I107" s="243">
        <f>IF(Table33[[#This Row],[Category]]="Fall Product",Table33[[#This Row],[Account Deposit Amount]]-Table33[[#This Row],[Account Withdrawl Amount]], )</f>
        <v>0</v>
      </c>
      <c r="J107" s="243">
        <f>IF(Table33[[#This Row],[Category]]="Cookies",Table33[[#This Row],[Account Deposit Amount]]-Table33[[#This Row],[Account Withdrawl Amount]], )</f>
        <v>0</v>
      </c>
      <c r="K107" s="243">
        <f>IF(Table33[[#This Row],[Category]]="Additional Money Earning Activities",Table33[[#This Row],[Account Deposit Amount]]-Table33[[#This Row],[Account Withdrawl Amount]], )</f>
        <v>0</v>
      </c>
      <c r="L107" s="243">
        <f>IF(Table33[[#This Row],[Category]]="Sponsorships",Table33[[#This Row],[Account Deposit Amount]]-Table33[[#This Row],[Account Withdrawl Amount]], )</f>
        <v>0</v>
      </c>
      <c r="M107" s="243">
        <f>IF(Table33[[#This Row],[Category]]="Troop Dues",Table33[[#This Row],[Account Deposit Amount]]-Table33[[#This Row],[Account Withdrawl Amount]], )</f>
        <v>0</v>
      </c>
      <c r="N107" s="243">
        <f>IF(Table33[[#This Row],[Category]]="Other Income",Table33[[#This Row],[Account Deposit Amount]]-Table33[[#This Row],[Account Withdrawl Amount]], )</f>
        <v>0</v>
      </c>
      <c r="O107" s="243">
        <f>IF(Table33[[#This Row],[Category]]="Registration",Table33[[#This Row],[Account Deposit Amount]]-Table33[[#This Row],[Account Withdrawl Amount]], )</f>
        <v>0</v>
      </c>
      <c r="P107" s="243">
        <f>IF(Table33[[#This Row],[Category]]="Insignia",Table33[[#This Row],[Account Deposit Amount]]-Table33[[#This Row],[Account Withdrawl Amount]], )</f>
        <v>0</v>
      </c>
      <c r="Q107" s="243">
        <f>IF(Table33[[#This Row],[Category]]="Activities/Program",Table33[[#This Row],[Account Deposit Amount]]-Table33[[#This Row],[Account Withdrawl Amount]], )</f>
        <v>0</v>
      </c>
      <c r="R107" s="243">
        <f>IF(Table33[[#This Row],[Category]]="Travel",Table33[[#This Row],[Account Deposit Amount]]-Table33[[#This Row],[Account Withdrawl Amount]], )</f>
        <v>0</v>
      </c>
      <c r="S107" s="243">
        <f>IF(Table33[[#This Row],[Category]]="Parties Food &amp; Beverages",Table33[[#This Row],[Account Deposit Amount]]-Table33[[#This Row],[Account Withdrawl Amount]], )</f>
        <v>0</v>
      </c>
      <c r="T107" s="243">
        <f>IF(Table33[[#This Row],[Category]]="Service Projects Donation",Table33[[#This Row],[Account Deposit Amount]]-Table33[[#This Row],[Account Withdrawl Amount]], )</f>
        <v>0</v>
      </c>
      <c r="U107" s="243">
        <f>IF(Table33[[#This Row],[Category]]="Cookie Debt",Table33[[#This Row],[Account Deposit Amount]]-Table33[[#This Row],[Account Withdrawl Amount]], )</f>
        <v>0</v>
      </c>
      <c r="V107" s="243">
        <f>IF(Table33[[#This Row],[Category]]="Other Expense",Table33[[#This Row],[Account Deposit Amount]]-Table33[[#This Row],[Account Withdrawl Amount]], )</f>
        <v>0</v>
      </c>
    </row>
    <row r="108" spans="1:22">
      <c r="A108" s="225"/>
      <c r="B108" s="252"/>
      <c r="C108" s="253"/>
      <c r="D108" s="248"/>
      <c r="E108" s="258"/>
      <c r="F108" s="254"/>
      <c r="G108" s="243">
        <f t="shared" si="3"/>
        <v>0</v>
      </c>
      <c r="H108" s="248"/>
      <c r="I108" s="243">
        <f>IF(Table33[[#This Row],[Category]]="Fall Product",Table33[[#This Row],[Account Deposit Amount]]-Table33[[#This Row],[Account Withdrawl Amount]], )</f>
        <v>0</v>
      </c>
      <c r="J108" s="243">
        <f>IF(Table33[[#This Row],[Category]]="Cookies",Table33[[#This Row],[Account Deposit Amount]]-Table33[[#This Row],[Account Withdrawl Amount]], )</f>
        <v>0</v>
      </c>
      <c r="K108" s="243">
        <f>IF(Table33[[#This Row],[Category]]="Additional Money Earning Activities",Table33[[#This Row],[Account Deposit Amount]]-Table33[[#This Row],[Account Withdrawl Amount]], )</f>
        <v>0</v>
      </c>
      <c r="L108" s="243">
        <f>IF(Table33[[#This Row],[Category]]="Sponsorships",Table33[[#This Row],[Account Deposit Amount]]-Table33[[#This Row],[Account Withdrawl Amount]], )</f>
        <v>0</v>
      </c>
      <c r="M108" s="243">
        <f>IF(Table33[[#This Row],[Category]]="Troop Dues",Table33[[#This Row],[Account Deposit Amount]]-Table33[[#This Row],[Account Withdrawl Amount]], )</f>
        <v>0</v>
      </c>
      <c r="N108" s="243">
        <f>IF(Table33[[#This Row],[Category]]="Other Income",Table33[[#This Row],[Account Deposit Amount]]-Table33[[#This Row],[Account Withdrawl Amount]], )</f>
        <v>0</v>
      </c>
      <c r="O108" s="243">
        <f>IF(Table33[[#This Row],[Category]]="Registration",Table33[[#This Row],[Account Deposit Amount]]-Table33[[#This Row],[Account Withdrawl Amount]], )</f>
        <v>0</v>
      </c>
      <c r="P108" s="243">
        <f>IF(Table33[[#This Row],[Category]]="Insignia",Table33[[#This Row],[Account Deposit Amount]]-Table33[[#This Row],[Account Withdrawl Amount]], )</f>
        <v>0</v>
      </c>
      <c r="Q108" s="243">
        <f>IF(Table33[[#This Row],[Category]]="Activities/Program",Table33[[#This Row],[Account Deposit Amount]]-Table33[[#This Row],[Account Withdrawl Amount]], )</f>
        <v>0</v>
      </c>
      <c r="R108" s="243">
        <f>IF(Table33[[#This Row],[Category]]="Travel",Table33[[#This Row],[Account Deposit Amount]]-Table33[[#This Row],[Account Withdrawl Amount]], )</f>
        <v>0</v>
      </c>
      <c r="S108" s="243">
        <f>IF(Table33[[#This Row],[Category]]="Parties Food &amp; Beverages",Table33[[#This Row],[Account Deposit Amount]]-Table33[[#This Row],[Account Withdrawl Amount]], )</f>
        <v>0</v>
      </c>
      <c r="T108" s="243">
        <f>IF(Table33[[#This Row],[Category]]="Service Projects Donation",Table33[[#This Row],[Account Deposit Amount]]-Table33[[#This Row],[Account Withdrawl Amount]], )</f>
        <v>0</v>
      </c>
      <c r="U108" s="243">
        <f>IF(Table33[[#This Row],[Category]]="Cookie Debt",Table33[[#This Row],[Account Deposit Amount]]-Table33[[#This Row],[Account Withdrawl Amount]], )</f>
        <v>0</v>
      </c>
      <c r="V108" s="243">
        <f>IF(Table33[[#This Row],[Category]]="Other Expense",Table33[[#This Row],[Account Deposit Amount]]-Table33[[#This Row],[Account Withdrawl Amount]], )</f>
        <v>0</v>
      </c>
    </row>
    <row r="109" spans="1:22">
      <c r="A109" s="225"/>
      <c r="B109" s="241"/>
      <c r="C109" s="244"/>
      <c r="D109" s="225"/>
      <c r="E109" s="242"/>
      <c r="F109" s="242"/>
      <c r="G109" s="243">
        <f t="shared" si="3"/>
        <v>0</v>
      </c>
      <c r="H109" s="225"/>
      <c r="I109" s="243">
        <f>IF(Table33[[#This Row],[Category]]="Fall Product",Table33[[#This Row],[Account Deposit Amount]]-Table33[[#This Row],[Account Withdrawl Amount]], )</f>
        <v>0</v>
      </c>
      <c r="J109" s="243">
        <f>IF(Table33[[#This Row],[Category]]="Cookies",Table33[[#This Row],[Account Deposit Amount]]-Table33[[#This Row],[Account Withdrawl Amount]], )</f>
        <v>0</v>
      </c>
      <c r="K109" s="243">
        <f>IF(Table33[[#This Row],[Category]]="Additional Money Earning Activities",Table33[[#This Row],[Account Deposit Amount]]-Table33[[#This Row],[Account Withdrawl Amount]], )</f>
        <v>0</v>
      </c>
      <c r="L109" s="243">
        <f>IF(Table33[[#This Row],[Category]]="Sponsorships",Table33[[#This Row],[Account Deposit Amount]]-Table33[[#This Row],[Account Withdrawl Amount]], )</f>
        <v>0</v>
      </c>
      <c r="M109" s="243">
        <f>IF(Table33[[#This Row],[Category]]="Troop Dues",Table33[[#This Row],[Account Deposit Amount]]-Table33[[#This Row],[Account Withdrawl Amount]], )</f>
        <v>0</v>
      </c>
      <c r="N109" s="243">
        <f>IF(Table33[[#This Row],[Category]]="Other Income",Table33[[#This Row],[Account Deposit Amount]]-Table33[[#This Row],[Account Withdrawl Amount]], )</f>
        <v>0</v>
      </c>
      <c r="O109" s="243">
        <f>IF(Table33[[#This Row],[Category]]="Registration",Table33[[#This Row],[Account Deposit Amount]]-Table33[[#This Row],[Account Withdrawl Amount]], )</f>
        <v>0</v>
      </c>
      <c r="P109" s="243">
        <f>IF(Table33[[#This Row],[Category]]="Insignia",Table33[[#This Row],[Account Deposit Amount]]-Table33[[#This Row],[Account Withdrawl Amount]], )</f>
        <v>0</v>
      </c>
      <c r="Q109" s="243">
        <f>IF(Table33[[#This Row],[Category]]="Activities/Program",Table33[[#This Row],[Account Deposit Amount]]-Table33[[#This Row],[Account Withdrawl Amount]], )</f>
        <v>0</v>
      </c>
      <c r="R109" s="243">
        <f>IF(Table33[[#This Row],[Category]]="Travel",Table33[[#This Row],[Account Deposit Amount]]-Table33[[#This Row],[Account Withdrawl Amount]], )</f>
        <v>0</v>
      </c>
      <c r="S109" s="243">
        <f>IF(Table33[[#This Row],[Category]]="Parties Food &amp; Beverages",Table33[[#This Row],[Account Deposit Amount]]-Table33[[#This Row],[Account Withdrawl Amount]], )</f>
        <v>0</v>
      </c>
      <c r="T109" s="243">
        <f>IF(Table33[[#This Row],[Category]]="Service Projects Donation",Table33[[#This Row],[Account Deposit Amount]]-Table33[[#This Row],[Account Withdrawl Amount]], )</f>
        <v>0</v>
      </c>
      <c r="U109" s="243">
        <f>IF(Table33[[#This Row],[Category]]="Cookie Debt",Table33[[#This Row],[Account Deposit Amount]]-Table33[[#This Row],[Account Withdrawl Amount]], )</f>
        <v>0</v>
      </c>
      <c r="V109" s="243">
        <f>IF(Table33[[#This Row],[Category]]="Other Expense",Table33[[#This Row],[Account Deposit Amount]]-Table33[[#This Row],[Account Withdrawl Amount]], )</f>
        <v>0</v>
      </c>
    </row>
    <row r="110" spans="1:22">
      <c r="A110" s="225"/>
      <c r="B110" s="241"/>
      <c r="C110" s="244"/>
      <c r="D110" s="225"/>
      <c r="E110" s="242"/>
      <c r="F110" s="242"/>
      <c r="G110" s="243">
        <f t="shared" si="3"/>
        <v>0</v>
      </c>
      <c r="H110" s="225"/>
      <c r="I110" s="243">
        <f>IF(Table33[[#This Row],[Category]]="Fall Product",Table33[[#This Row],[Account Deposit Amount]]-Table33[[#This Row],[Account Withdrawl Amount]], )</f>
        <v>0</v>
      </c>
      <c r="J110" s="243">
        <f>IF(Table33[[#This Row],[Category]]="Cookies",Table33[[#This Row],[Account Deposit Amount]]-Table33[[#This Row],[Account Withdrawl Amount]], )</f>
        <v>0</v>
      </c>
      <c r="K110" s="243">
        <f>IF(Table33[[#This Row],[Category]]="Additional Money Earning Activities",Table33[[#This Row],[Account Deposit Amount]]-Table33[[#This Row],[Account Withdrawl Amount]], )</f>
        <v>0</v>
      </c>
      <c r="L110" s="243">
        <f>IF(Table33[[#This Row],[Category]]="Sponsorships",Table33[[#This Row],[Account Deposit Amount]]-Table33[[#This Row],[Account Withdrawl Amount]], )</f>
        <v>0</v>
      </c>
      <c r="M110" s="243">
        <f>IF(Table33[[#This Row],[Category]]="Troop Dues",Table33[[#This Row],[Account Deposit Amount]]-Table33[[#This Row],[Account Withdrawl Amount]], )</f>
        <v>0</v>
      </c>
      <c r="N110" s="243">
        <f>IF(Table33[[#This Row],[Category]]="Other Income",Table33[[#This Row],[Account Deposit Amount]]-Table33[[#This Row],[Account Withdrawl Amount]], )</f>
        <v>0</v>
      </c>
      <c r="O110" s="243">
        <f>IF(Table33[[#This Row],[Category]]="Registration",Table33[[#This Row],[Account Deposit Amount]]-Table33[[#This Row],[Account Withdrawl Amount]], )</f>
        <v>0</v>
      </c>
      <c r="P110" s="243">
        <f>IF(Table33[[#This Row],[Category]]="Insignia",Table33[[#This Row],[Account Deposit Amount]]-Table33[[#This Row],[Account Withdrawl Amount]], )</f>
        <v>0</v>
      </c>
      <c r="Q110" s="243">
        <f>IF(Table33[[#This Row],[Category]]="Activities/Program",Table33[[#This Row],[Account Deposit Amount]]-Table33[[#This Row],[Account Withdrawl Amount]], )</f>
        <v>0</v>
      </c>
      <c r="R110" s="243">
        <f>IF(Table33[[#This Row],[Category]]="Travel",Table33[[#This Row],[Account Deposit Amount]]-Table33[[#This Row],[Account Withdrawl Amount]], )</f>
        <v>0</v>
      </c>
      <c r="S110" s="243">
        <f>IF(Table33[[#This Row],[Category]]="Parties Food &amp; Beverages",Table33[[#This Row],[Account Deposit Amount]]-Table33[[#This Row],[Account Withdrawl Amount]], )</f>
        <v>0</v>
      </c>
      <c r="T110" s="243">
        <f>IF(Table33[[#This Row],[Category]]="Service Projects Donation",Table33[[#This Row],[Account Deposit Amount]]-Table33[[#This Row],[Account Withdrawl Amount]], )</f>
        <v>0</v>
      </c>
      <c r="U110" s="243">
        <f>IF(Table33[[#This Row],[Category]]="Cookie Debt",Table33[[#This Row],[Account Deposit Amount]]-Table33[[#This Row],[Account Withdrawl Amount]], )</f>
        <v>0</v>
      </c>
      <c r="V110" s="243">
        <f>IF(Table33[[#This Row],[Category]]="Other Expense",Table33[[#This Row],[Account Deposit Amount]]-Table33[[#This Row],[Account Withdrawl Amount]], )</f>
        <v>0</v>
      </c>
    </row>
    <row r="111" spans="1:22">
      <c r="A111" s="225"/>
      <c r="B111" s="241"/>
      <c r="C111" s="244"/>
      <c r="D111" s="225"/>
      <c r="E111" s="242"/>
      <c r="F111" s="242"/>
      <c r="G111" s="243">
        <f t="shared" si="3"/>
        <v>0</v>
      </c>
      <c r="H111" s="225"/>
      <c r="I111" s="243">
        <f>IF(Table33[[#This Row],[Category]]="Fall Product",Table33[[#This Row],[Account Deposit Amount]]-Table33[[#This Row],[Account Withdrawl Amount]], )</f>
        <v>0</v>
      </c>
      <c r="J111" s="243">
        <f>IF(Table33[[#This Row],[Category]]="Cookies",Table33[[#This Row],[Account Deposit Amount]]-Table33[[#This Row],[Account Withdrawl Amount]], )</f>
        <v>0</v>
      </c>
      <c r="K111" s="243">
        <f>IF(Table33[[#This Row],[Category]]="Additional Money Earning Activities",Table33[[#This Row],[Account Deposit Amount]]-Table33[[#This Row],[Account Withdrawl Amount]], )</f>
        <v>0</v>
      </c>
      <c r="L111" s="243">
        <f>IF(Table33[[#This Row],[Category]]="Sponsorships",Table33[[#This Row],[Account Deposit Amount]]-Table33[[#This Row],[Account Withdrawl Amount]], )</f>
        <v>0</v>
      </c>
      <c r="M111" s="243">
        <f>IF(Table33[[#This Row],[Category]]="Troop Dues",Table33[[#This Row],[Account Deposit Amount]]-Table33[[#This Row],[Account Withdrawl Amount]], )</f>
        <v>0</v>
      </c>
      <c r="N111" s="243">
        <f>IF(Table33[[#This Row],[Category]]="Other Income",Table33[[#This Row],[Account Deposit Amount]]-Table33[[#This Row],[Account Withdrawl Amount]], )</f>
        <v>0</v>
      </c>
      <c r="O111" s="243">
        <f>IF(Table33[[#This Row],[Category]]="Registration",Table33[[#This Row],[Account Deposit Amount]]-Table33[[#This Row],[Account Withdrawl Amount]], )</f>
        <v>0</v>
      </c>
      <c r="P111" s="243">
        <f>IF(Table33[[#This Row],[Category]]="Insignia",Table33[[#This Row],[Account Deposit Amount]]-Table33[[#This Row],[Account Withdrawl Amount]], )</f>
        <v>0</v>
      </c>
      <c r="Q111" s="243">
        <f>IF(Table33[[#This Row],[Category]]="Activities/Program",Table33[[#This Row],[Account Deposit Amount]]-Table33[[#This Row],[Account Withdrawl Amount]], )</f>
        <v>0</v>
      </c>
      <c r="R111" s="243">
        <f>IF(Table33[[#This Row],[Category]]="Travel",Table33[[#This Row],[Account Deposit Amount]]-Table33[[#This Row],[Account Withdrawl Amount]], )</f>
        <v>0</v>
      </c>
      <c r="S111" s="243">
        <f>IF(Table33[[#This Row],[Category]]="Parties Food &amp; Beverages",Table33[[#This Row],[Account Deposit Amount]]-Table33[[#This Row],[Account Withdrawl Amount]], )</f>
        <v>0</v>
      </c>
      <c r="T111" s="243">
        <f>IF(Table33[[#This Row],[Category]]="Service Projects Donation",Table33[[#This Row],[Account Deposit Amount]]-Table33[[#This Row],[Account Withdrawl Amount]], )</f>
        <v>0</v>
      </c>
      <c r="U111" s="243">
        <f>IF(Table33[[#This Row],[Category]]="Cookie Debt",Table33[[#This Row],[Account Deposit Amount]]-Table33[[#This Row],[Account Withdrawl Amount]], )</f>
        <v>0</v>
      </c>
      <c r="V111" s="243">
        <f>IF(Table33[[#This Row],[Category]]="Other Expense",Table33[[#This Row],[Account Deposit Amount]]-Table33[[#This Row],[Account Withdrawl Amount]], )</f>
        <v>0</v>
      </c>
    </row>
    <row r="112" spans="1:22">
      <c r="A112" s="225"/>
      <c r="B112" s="241"/>
      <c r="C112" s="244"/>
      <c r="D112" s="225"/>
      <c r="E112" s="242"/>
      <c r="F112" s="242"/>
      <c r="G112" s="243">
        <f t="shared" si="3"/>
        <v>0</v>
      </c>
      <c r="H112" s="225"/>
      <c r="I112" s="243">
        <f>IF(Table33[[#This Row],[Category]]="Fall Product",Table33[[#This Row],[Account Deposit Amount]]-Table33[[#This Row],[Account Withdrawl Amount]], )</f>
        <v>0</v>
      </c>
      <c r="J112" s="243">
        <f>IF(Table33[[#This Row],[Category]]="Cookies",Table33[[#This Row],[Account Deposit Amount]]-Table33[[#This Row],[Account Withdrawl Amount]], )</f>
        <v>0</v>
      </c>
      <c r="K112" s="243">
        <f>IF(Table33[[#This Row],[Category]]="Additional Money Earning Activities",Table33[[#This Row],[Account Deposit Amount]]-Table33[[#This Row],[Account Withdrawl Amount]], )</f>
        <v>0</v>
      </c>
      <c r="L112" s="243">
        <f>IF(Table33[[#This Row],[Category]]="Sponsorships",Table33[[#This Row],[Account Deposit Amount]]-Table33[[#This Row],[Account Withdrawl Amount]], )</f>
        <v>0</v>
      </c>
      <c r="M112" s="243">
        <f>IF(Table33[[#This Row],[Category]]="Troop Dues",Table33[[#This Row],[Account Deposit Amount]]-Table33[[#This Row],[Account Withdrawl Amount]], )</f>
        <v>0</v>
      </c>
      <c r="N112" s="243">
        <f>IF(Table33[[#This Row],[Category]]="Other Income",Table33[[#This Row],[Account Deposit Amount]]-Table33[[#This Row],[Account Withdrawl Amount]], )</f>
        <v>0</v>
      </c>
      <c r="O112" s="243">
        <f>IF(Table33[[#This Row],[Category]]="Registration",Table33[[#This Row],[Account Deposit Amount]]-Table33[[#This Row],[Account Withdrawl Amount]], )</f>
        <v>0</v>
      </c>
      <c r="P112" s="243">
        <f>IF(Table33[[#This Row],[Category]]="Insignia",Table33[[#This Row],[Account Deposit Amount]]-Table33[[#This Row],[Account Withdrawl Amount]], )</f>
        <v>0</v>
      </c>
      <c r="Q112" s="243">
        <f>IF(Table33[[#This Row],[Category]]="Activities/Program",Table33[[#This Row],[Account Deposit Amount]]-Table33[[#This Row],[Account Withdrawl Amount]], )</f>
        <v>0</v>
      </c>
      <c r="R112" s="243">
        <f>IF(Table33[[#This Row],[Category]]="Travel",Table33[[#This Row],[Account Deposit Amount]]-Table33[[#This Row],[Account Withdrawl Amount]], )</f>
        <v>0</v>
      </c>
      <c r="S112" s="243">
        <f>IF(Table33[[#This Row],[Category]]="Parties Food &amp; Beverages",Table33[[#This Row],[Account Deposit Amount]]-Table33[[#This Row],[Account Withdrawl Amount]], )</f>
        <v>0</v>
      </c>
      <c r="T112" s="243">
        <f>IF(Table33[[#This Row],[Category]]="Service Projects Donation",Table33[[#This Row],[Account Deposit Amount]]-Table33[[#This Row],[Account Withdrawl Amount]], )</f>
        <v>0</v>
      </c>
      <c r="U112" s="243">
        <f>IF(Table33[[#This Row],[Category]]="Cookie Debt",Table33[[#This Row],[Account Deposit Amount]]-Table33[[#This Row],[Account Withdrawl Amount]], )</f>
        <v>0</v>
      </c>
      <c r="V112" s="243">
        <f>IF(Table33[[#This Row],[Category]]="Other Expense",Table33[[#This Row],[Account Deposit Amount]]-Table33[[#This Row],[Account Withdrawl Amount]], )</f>
        <v>0</v>
      </c>
    </row>
    <row r="113" spans="1:22">
      <c r="A113" s="225"/>
      <c r="B113" s="241"/>
      <c r="C113" s="244"/>
      <c r="D113" s="225"/>
      <c r="E113" s="242"/>
      <c r="F113" s="242"/>
      <c r="G113" s="243">
        <f t="shared" si="3"/>
        <v>0</v>
      </c>
      <c r="H113" s="225"/>
      <c r="I113" s="243">
        <f>IF(Table33[[#This Row],[Category]]="Fall Product",Table33[[#This Row],[Account Deposit Amount]]-Table33[[#This Row],[Account Withdrawl Amount]], )</f>
        <v>0</v>
      </c>
      <c r="J113" s="243">
        <f>IF(Table33[[#This Row],[Category]]="Cookies",Table33[[#This Row],[Account Deposit Amount]]-Table33[[#This Row],[Account Withdrawl Amount]], )</f>
        <v>0</v>
      </c>
      <c r="K113" s="243">
        <f>IF(Table33[[#This Row],[Category]]="Additional Money Earning Activities",Table33[[#This Row],[Account Deposit Amount]]-Table33[[#This Row],[Account Withdrawl Amount]], )</f>
        <v>0</v>
      </c>
      <c r="L113" s="243">
        <f>IF(Table33[[#This Row],[Category]]="Sponsorships",Table33[[#This Row],[Account Deposit Amount]]-Table33[[#This Row],[Account Withdrawl Amount]], )</f>
        <v>0</v>
      </c>
      <c r="M113" s="243">
        <f>IF(Table33[[#This Row],[Category]]="Troop Dues",Table33[[#This Row],[Account Deposit Amount]]-Table33[[#This Row],[Account Withdrawl Amount]], )</f>
        <v>0</v>
      </c>
      <c r="N113" s="243">
        <f>IF(Table33[[#This Row],[Category]]="Other Income",Table33[[#This Row],[Account Deposit Amount]]-Table33[[#This Row],[Account Withdrawl Amount]], )</f>
        <v>0</v>
      </c>
      <c r="O113" s="243">
        <f>IF(Table33[[#This Row],[Category]]="Registration",Table33[[#This Row],[Account Deposit Amount]]-Table33[[#This Row],[Account Withdrawl Amount]], )</f>
        <v>0</v>
      </c>
      <c r="P113" s="243">
        <f>IF(Table33[[#This Row],[Category]]="Insignia",Table33[[#This Row],[Account Deposit Amount]]-Table33[[#This Row],[Account Withdrawl Amount]], )</f>
        <v>0</v>
      </c>
      <c r="Q113" s="243">
        <f>IF(Table33[[#This Row],[Category]]="Activities/Program",Table33[[#This Row],[Account Deposit Amount]]-Table33[[#This Row],[Account Withdrawl Amount]], )</f>
        <v>0</v>
      </c>
      <c r="R113" s="243">
        <f>IF(Table33[[#This Row],[Category]]="Travel",Table33[[#This Row],[Account Deposit Amount]]-Table33[[#This Row],[Account Withdrawl Amount]], )</f>
        <v>0</v>
      </c>
      <c r="S113" s="243">
        <f>IF(Table33[[#This Row],[Category]]="Parties Food &amp; Beverages",Table33[[#This Row],[Account Deposit Amount]]-Table33[[#This Row],[Account Withdrawl Amount]], )</f>
        <v>0</v>
      </c>
      <c r="T113" s="243">
        <f>IF(Table33[[#This Row],[Category]]="Service Projects Donation",Table33[[#This Row],[Account Deposit Amount]]-Table33[[#This Row],[Account Withdrawl Amount]], )</f>
        <v>0</v>
      </c>
      <c r="U113" s="243">
        <f>IF(Table33[[#This Row],[Category]]="Cookie Debt",Table33[[#This Row],[Account Deposit Amount]]-Table33[[#This Row],[Account Withdrawl Amount]], )</f>
        <v>0</v>
      </c>
      <c r="V113" s="243">
        <f>IF(Table33[[#This Row],[Category]]="Other Expense",Table33[[#This Row],[Account Deposit Amount]]-Table33[[#This Row],[Account Withdrawl Amount]], )</f>
        <v>0</v>
      </c>
    </row>
    <row r="114" spans="1:22">
      <c r="A114" s="225"/>
      <c r="B114" s="241"/>
      <c r="C114" s="244"/>
      <c r="D114" s="225"/>
      <c r="E114" s="242"/>
      <c r="F114" s="242"/>
      <c r="G114" s="243">
        <f t="shared" si="3"/>
        <v>0</v>
      </c>
      <c r="H114" s="225"/>
      <c r="I114" s="243">
        <f>IF(Table33[[#This Row],[Category]]="Fall Product",Table33[[#This Row],[Account Deposit Amount]]-Table33[[#This Row],[Account Withdrawl Amount]], )</f>
        <v>0</v>
      </c>
      <c r="J114" s="243">
        <f>IF(Table33[[#This Row],[Category]]="Cookies",Table33[[#This Row],[Account Deposit Amount]]-Table33[[#This Row],[Account Withdrawl Amount]], )</f>
        <v>0</v>
      </c>
      <c r="K114" s="243">
        <f>IF(Table33[[#This Row],[Category]]="Additional Money Earning Activities",Table33[[#This Row],[Account Deposit Amount]]-Table33[[#This Row],[Account Withdrawl Amount]], )</f>
        <v>0</v>
      </c>
      <c r="L114" s="243">
        <f>IF(Table33[[#This Row],[Category]]="Sponsorships",Table33[[#This Row],[Account Deposit Amount]]-Table33[[#This Row],[Account Withdrawl Amount]], )</f>
        <v>0</v>
      </c>
      <c r="M114" s="243">
        <f>IF(Table33[[#This Row],[Category]]="Troop Dues",Table33[[#This Row],[Account Deposit Amount]]-Table33[[#This Row],[Account Withdrawl Amount]], )</f>
        <v>0</v>
      </c>
      <c r="N114" s="243">
        <f>IF(Table33[[#This Row],[Category]]="Other Income",Table33[[#This Row],[Account Deposit Amount]]-Table33[[#This Row],[Account Withdrawl Amount]], )</f>
        <v>0</v>
      </c>
      <c r="O114" s="243">
        <f>IF(Table33[[#This Row],[Category]]="Registration",Table33[[#This Row],[Account Deposit Amount]]-Table33[[#This Row],[Account Withdrawl Amount]], )</f>
        <v>0</v>
      </c>
      <c r="P114" s="243">
        <f>IF(Table33[[#This Row],[Category]]="Insignia",Table33[[#This Row],[Account Deposit Amount]]-Table33[[#This Row],[Account Withdrawl Amount]], )</f>
        <v>0</v>
      </c>
      <c r="Q114" s="243">
        <f>IF(Table33[[#This Row],[Category]]="Activities/Program",Table33[[#This Row],[Account Deposit Amount]]-Table33[[#This Row],[Account Withdrawl Amount]], )</f>
        <v>0</v>
      </c>
      <c r="R114" s="243">
        <f>IF(Table33[[#This Row],[Category]]="Travel",Table33[[#This Row],[Account Deposit Amount]]-Table33[[#This Row],[Account Withdrawl Amount]], )</f>
        <v>0</v>
      </c>
      <c r="S114" s="243">
        <f>IF(Table33[[#This Row],[Category]]="Parties Food &amp; Beverages",Table33[[#This Row],[Account Deposit Amount]]-Table33[[#This Row],[Account Withdrawl Amount]], )</f>
        <v>0</v>
      </c>
      <c r="T114" s="243">
        <f>IF(Table33[[#This Row],[Category]]="Service Projects Donation",Table33[[#This Row],[Account Deposit Amount]]-Table33[[#This Row],[Account Withdrawl Amount]], )</f>
        <v>0</v>
      </c>
      <c r="U114" s="243">
        <f>IF(Table33[[#This Row],[Category]]="Cookie Debt",Table33[[#This Row],[Account Deposit Amount]]-Table33[[#This Row],[Account Withdrawl Amount]], )</f>
        <v>0</v>
      </c>
      <c r="V114" s="243">
        <f>IF(Table33[[#This Row],[Category]]="Other Expense",Table33[[#This Row],[Account Deposit Amount]]-Table33[[#This Row],[Account Withdrawl Amount]], )</f>
        <v>0</v>
      </c>
    </row>
    <row r="115" spans="1:22">
      <c r="A115" s="225"/>
      <c r="B115" s="241"/>
      <c r="C115" s="244"/>
      <c r="D115" s="225"/>
      <c r="E115" s="242"/>
      <c r="F115" s="242"/>
      <c r="G115" s="243">
        <f t="shared" si="3"/>
        <v>0</v>
      </c>
      <c r="H115" s="225"/>
      <c r="I115" s="243">
        <f>IF(Table33[[#This Row],[Category]]="Fall Product",Table33[[#This Row],[Account Deposit Amount]]-Table33[[#This Row],[Account Withdrawl Amount]], )</f>
        <v>0</v>
      </c>
      <c r="J115" s="243">
        <f>IF(Table33[[#This Row],[Category]]="Cookies",Table33[[#This Row],[Account Deposit Amount]]-Table33[[#This Row],[Account Withdrawl Amount]], )</f>
        <v>0</v>
      </c>
      <c r="K115" s="243">
        <f>IF(Table33[[#This Row],[Category]]="Additional Money Earning Activities",Table33[[#This Row],[Account Deposit Amount]]-Table33[[#This Row],[Account Withdrawl Amount]], )</f>
        <v>0</v>
      </c>
      <c r="L115" s="243">
        <f>IF(Table33[[#This Row],[Category]]="Sponsorships",Table33[[#This Row],[Account Deposit Amount]]-Table33[[#This Row],[Account Withdrawl Amount]], )</f>
        <v>0</v>
      </c>
      <c r="M115" s="243">
        <f>IF(Table33[[#This Row],[Category]]="Troop Dues",Table33[[#This Row],[Account Deposit Amount]]-Table33[[#This Row],[Account Withdrawl Amount]], )</f>
        <v>0</v>
      </c>
      <c r="N115" s="243">
        <f>IF(Table33[[#This Row],[Category]]="Other Income",Table33[[#This Row],[Account Deposit Amount]]-Table33[[#This Row],[Account Withdrawl Amount]], )</f>
        <v>0</v>
      </c>
      <c r="O115" s="243">
        <f>IF(Table33[[#This Row],[Category]]="Registration",Table33[[#This Row],[Account Deposit Amount]]-Table33[[#This Row],[Account Withdrawl Amount]], )</f>
        <v>0</v>
      </c>
      <c r="P115" s="243">
        <f>IF(Table33[[#This Row],[Category]]="Insignia",Table33[[#This Row],[Account Deposit Amount]]-Table33[[#This Row],[Account Withdrawl Amount]], )</f>
        <v>0</v>
      </c>
      <c r="Q115" s="243">
        <f>IF(Table33[[#This Row],[Category]]="Activities/Program",Table33[[#This Row],[Account Deposit Amount]]-Table33[[#This Row],[Account Withdrawl Amount]], )</f>
        <v>0</v>
      </c>
      <c r="R115" s="243">
        <f>IF(Table33[[#This Row],[Category]]="Travel",Table33[[#This Row],[Account Deposit Amount]]-Table33[[#This Row],[Account Withdrawl Amount]], )</f>
        <v>0</v>
      </c>
      <c r="S115" s="243">
        <f>IF(Table33[[#This Row],[Category]]="Parties Food &amp; Beverages",Table33[[#This Row],[Account Deposit Amount]]-Table33[[#This Row],[Account Withdrawl Amount]], )</f>
        <v>0</v>
      </c>
      <c r="T115" s="243">
        <f>IF(Table33[[#This Row],[Category]]="Service Projects Donation",Table33[[#This Row],[Account Deposit Amount]]-Table33[[#This Row],[Account Withdrawl Amount]], )</f>
        <v>0</v>
      </c>
      <c r="U115" s="243">
        <f>IF(Table33[[#This Row],[Category]]="Cookie Debt",Table33[[#This Row],[Account Deposit Amount]]-Table33[[#This Row],[Account Withdrawl Amount]], )</f>
        <v>0</v>
      </c>
      <c r="V115" s="243">
        <f>IF(Table33[[#This Row],[Category]]="Other Expense",Table33[[#This Row],[Account Deposit Amount]]-Table33[[#This Row],[Account Withdrawl Amount]], )</f>
        <v>0</v>
      </c>
    </row>
    <row r="116" spans="1:22">
      <c r="A116" s="225"/>
      <c r="B116" s="241"/>
      <c r="C116" s="244"/>
      <c r="D116" s="225"/>
      <c r="E116" s="242"/>
      <c r="F116" s="242"/>
      <c r="G116" s="243">
        <f t="shared" si="3"/>
        <v>0</v>
      </c>
      <c r="H116" s="225"/>
      <c r="I116" s="243">
        <f>IF(Table33[[#This Row],[Category]]="Fall Product",Table33[[#This Row],[Account Deposit Amount]]-Table33[[#This Row],[Account Withdrawl Amount]], )</f>
        <v>0</v>
      </c>
      <c r="J116" s="243">
        <f>IF(Table33[[#This Row],[Category]]="Cookies",Table33[[#This Row],[Account Deposit Amount]]-Table33[[#This Row],[Account Withdrawl Amount]], )</f>
        <v>0</v>
      </c>
      <c r="K116" s="243">
        <f>IF(Table33[[#This Row],[Category]]="Additional Money Earning Activities",Table33[[#This Row],[Account Deposit Amount]]-Table33[[#This Row],[Account Withdrawl Amount]], )</f>
        <v>0</v>
      </c>
      <c r="L116" s="243">
        <f>IF(Table33[[#This Row],[Category]]="Sponsorships",Table33[[#This Row],[Account Deposit Amount]]-Table33[[#This Row],[Account Withdrawl Amount]], )</f>
        <v>0</v>
      </c>
      <c r="M116" s="243">
        <f>IF(Table33[[#This Row],[Category]]="Troop Dues",Table33[[#This Row],[Account Deposit Amount]]-Table33[[#This Row],[Account Withdrawl Amount]], )</f>
        <v>0</v>
      </c>
      <c r="N116" s="243">
        <f>IF(Table33[[#This Row],[Category]]="Other Income",Table33[[#This Row],[Account Deposit Amount]]-Table33[[#This Row],[Account Withdrawl Amount]], )</f>
        <v>0</v>
      </c>
      <c r="O116" s="243">
        <f>IF(Table33[[#This Row],[Category]]="Registration",Table33[[#This Row],[Account Deposit Amount]]-Table33[[#This Row],[Account Withdrawl Amount]], )</f>
        <v>0</v>
      </c>
      <c r="P116" s="243">
        <f>IF(Table33[[#This Row],[Category]]="Insignia",Table33[[#This Row],[Account Deposit Amount]]-Table33[[#This Row],[Account Withdrawl Amount]], )</f>
        <v>0</v>
      </c>
      <c r="Q116" s="243">
        <f>IF(Table33[[#This Row],[Category]]="Activities/Program",Table33[[#This Row],[Account Deposit Amount]]-Table33[[#This Row],[Account Withdrawl Amount]], )</f>
        <v>0</v>
      </c>
      <c r="R116" s="243">
        <f>IF(Table33[[#This Row],[Category]]="Travel",Table33[[#This Row],[Account Deposit Amount]]-Table33[[#This Row],[Account Withdrawl Amount]], )</f>
        <v>0</v>
      </c>
      <c r="S116" s="243">
        <f>IF(Table33[[#This Row],[Category]]="Parties Food &amp; Beverages",Table33[[#This Row],[Account Deposit Amount]]-Table33[[#This Row],[Account Withdrawl Amount]], )</f>
        <v>0</v>
      </c>
      <c r="T116" s="243">
        <f>IF(Table33[[#This Row],[Category]]="Service Projects Donation",Table33[[#This Row],[Account Deposit Amount]]-Table33[[#This Row],[Account Withdrawl Amount]], )</f>
        <v>0</v>
      </c>
      <c r="U116" s="243">
        <f>IF(Table33[[#This Row],[Category]]="Cookie Debt",Table33[[#This Row],[Account Deposit Amount]]-Table33[[#This Row],[Account Withdrawl Amount]], )</f>
        <v>0</v>
      </c>
      <c r="V116" s="243">
        <f>IF(Table33[[#This Row],[Category]]="Other Expense",Table33[[#This Row],[Account Deposit Amount]]-Table33[[#This Row],[Account Withdrawl Amount]], )</f>
        <v>0</v>
      </c>
    </row>
    <row r="117" spans="1:22">
      <c r="A117" s="225"/>
      <c r="B117" s="241"/>
      <c r="C117" s="244"/>
      <c r="D117" s="225"/>
      <c r="E117" s="242"/>
      <c r="F117" s="242"/>
      <c r="G117" s="243">
        <f t="shared" si="3"/>
        <v>0</v>
      </c>
      <c r="H117" s="225"/>
      <c r="I117" s="243">
        <f>IF(Table33[[#This Row],[Category]]="Fall Product",Table33[[#This Row],[Account Deposit Amount]]-Table33[[#This Row],[Account Withdrawl Amount]], )</f>
        <v>0</v>
      </c>
      <c r="J117" s="243">
        <f>IF(Table33[[#This Row],[Category]]="Cookies",Table33[[#This Row],[Account Deposit Amount]]-Table33[[#This Row],[Account Withdrawl Amount]], )</f>
        <v>0</v>
      </c>
      <c r="K117" s="243">
        <f>IF(Table33[[#This Row],[Category]]="Additional Money Earning Activities",Table33[[#This Row],[Account Deposit Amount]]-Table33[[#This Row],[Account Withdrawl Amount]], )</f>
        <v>0</v>
      </c>
      <c r="L117" s="243">
        <f>IF(Table33[[#This Row],[Category]]="Sponsorships",Table33[[#This Row],[Account Deposit Amount]]-Table33[[#This Row],[Account Withdrawl Amount]], )</f>
        <v>0</v>
      </c>
      <c r="M117" s="243">
        <f>IF(Table33[[#This Row],[Category]]="Troop Dues",Table33[[#This Row],[Account Deposit Amount]]-Table33[[#This Row],[Account Withdrawl Amount]], )</f>
        <v>0</v>
      </c>
      <c r="N117" s="243">
        <f>IF(Table33[[#This Row],[Category]]="Other Income",Table33[[#This Row],[Account Deposit Amount]]-Table33[[#This Row],[Account Withdrawl Amount]], )</f>
        <v>0</v>
      </c>
      <c r="O117" s="243">
        <f>IF(Table33[[#This Row],[Category]]="Registration",Table33[[#This Row],[Account Deposit Amount]]-Table33[[#This Row],[Account Withdrawl Amount]], )</f>
        <v>0</v>
      </c>
      <c r="P117" s="243">
        <f>IF(Table33[[#This Row],[Category]]="Insignia",Table33[[#This Row],[Account Deposit Amount]]-Table33[[#This Row],[Account Withdrawl Amount]], )</f>
        <v>0</v>
      </c>
      <c r="Q117" s="243">
        <f>IF(Table33[[#This Row],[Category]]="Activities/Program",Table33[[#This Row],[Account Deposit Amount]]-Table33[[#This Row],[Account Withdrawl Amount]], )</f>
        <v>0</v>
      </c>
      <c r="R117" s="243">
        <f>IF(Table33[[#This Row],[Category]]="Travel",Table33[[#This Row],[Account Deposit Amount]]-Table33[[#This Row],[Account Withdrawl Amount]], )</f>
        <v>0</v>
      </c>
      <c r="S117" s="243">
        <f>IF(Table33[[#This Row],[Category]]="Parties Food &amp; Beverages",Table33[[#This Row],[Account Deposit Amount]]-Table33[[#This Row],[Account Withdrawl Amount]], )</f>
        <v>0</v>
      </c>
      <c r="T117" s="243">
        <f>IF(Table33[[#This Row],[Category]]="Service Projects Donation",Table33[[#This Row],[Account Deposit Amount]]-Table33[[#This Row],[Account Withdrawl Amount]], )</f>
        <v>0</v>
      </c>
      <c r="U117" s="243">
        <f>IF(Table33[[#This Row],[Category]]="Cookie Debt",Table33[[#This Row],[Account Deposit Amount]]-Table33[[#This Row],[Account Withdrawl Amount]], )</f>
        <v>0</v>
      </c>
      <c r="V117" s="243">
        <f>IF(Table33[[#This Row],[Category]]="Other Expense",Table33[[#This Row],[Account Deposit Amount]]-Table33[[#This Row],[Account Withdrawl Amount]], )</f>
        <v>0</v>
      </c>
    </row>
    <row r="118" spans="1:22">
      <c r="A118" s="225"/>
      <c r="B118" s="241"/>
      <c r="C118" s="244"/>
      <c r="D118" s="225"/>
      <c r="E118" s="242"/>
      <c r="F118" s="242"/>
      <c r="G118" s="243">
        <f t="shared" si="3"/>
        <v>0</v>
      </c>
      <c r="H118" s="225"/>
      <c r="I118" s="243">
        <f>IF(Table33[[#This Row],[Category]]="Fall Product",Table33[[#This Row],[Account Deposit Amount]]-Table33[[#This Row],[Account Withdrawl Amount]], )</f>
        <v>0</v>
      </c>
      <c r="J118" s="243">
        <f>IF(Table33[[#This Row],[Category]]="Cookies",Table33[[#This Row],[Account Deposit Amount]]-Table33[[#This Row],[Account Withdrawl Amount]], )</f>
        <v>0</v>
      </c>
      <c r="K118" s="243">
        <f>IF(Table33[[#This Row],[Category]]="Additional Money Earning Activities",Table33[[#This Row],[Account Deposit Amount]]-Table33[[#This Row],[Account Withdrawl Amount]], )</f>
        <v>0</v>
      </c>
      <c r="L118" s="243">
        <f>IF(Table33[[#This Row],[Category]]="Sponsorships",Table33[[#This Row],[Account Deposit Amount]]-Table33[[#This Row],[Account Withdrawl Amount]], )</f>
        <v>0</v>
      </c>
      <c r="M118" s="243">
        <f>IF(Table33[[#This Row],[Category]]="Troop Dues",Table33[[#This Row],[Account Deposit Amount]]-Table33[[#This Row],[Account Withdrawl Amount]], )</f>
        <v>0</v>
      </c>
      <c r="N118" s="243">
        <f>IF(Table33[[#This Row],[Category]]="Other Income",Table33[[#This Row],[Account Deposit Amount]]-Table33[[#This Row],[Account Withdrawl Amount]], )</f>
        <v>0</v>
      </c>
      <c r="O118" s="243">
        <f>IF(Table33[[#This Row],[Category]]="Registration",Table33[[#This Row],[Account Deposit Amount]]-Table33[[#This Row],[Account Withdrawl Amount]], )</f>
        <v>0</v>
      </c>
      <c r="P118" s="243">
        <f>IF(Table33[[#This Row],[Category]]="Insignia",Table33[[#This Row],[Account Deposit Amount]]-Table33[[#This Row],[Account Withdrawl Amount]], )</f>
        <v>0</v>
      </c>
      <c r="Q118" s="243">
        <f>IF(Table33[[#This Row],[Category]]="Activities/Program",Table33[[#This Row],[Account Deposit Amount]]-Table33[[#This Row],[Account Withdrawl Amount]], )</f>
        <v>0</v>
      </c>
      <c r="R118" s="243">
        <f>IF(Table33[[#This Row],[Category]]="Travel",Table33[[#This Row],[Account Deposit Amount]]-Table33[[#This Row],[Account Withdrawl Amount]], )</f>
        <v>0</v>
      </c>
      <c r="S118" s="243">
        <f>IF(Table33[[#This Row],[Category]]="Parties Food &amp; Beverages",Table33[[#This Row],[Account Deposit Amount]]-Table33[[#This Row],[Account Withdrawl Amount]], )</f>
        <v>0</v>
      </c>
      <c r="T118" s="243">
        <f>IF(Table33[[#This Row],[Category]]="Service Projects Donation",Table33[[#This Row],[Account Deposit Amount]]-Table33[[#This Row],[Account Withdrawl Amount]], )</f>
        <v>0</v>
      </c>
      <c r="U118" s="243">
        <f>IF(Table33[[#This Row],[Category]]="Cookie Debt",Table33[[#This Row],[Account Deposit Amount]]-Table33[[#This Row],[Account Withdrawl Amount]], )</f>
        <v>0</v>
      </c>
      <c r="V118" s="243">
        <f>IF(Table33[[#This Row],[Category]]="Other Expense",Table33[[#This Row],[Account Deposit Amount]]-Table33[[#This Row],[Account Withdrawl Amount]], )</f>
        <v>0</v>
      </c>
    </row>
    <row r="119" spans="1:22">
      <c r="A119" s="225"/>
      <c r="B119" s="241"/>
      <c r="C119" s="244"/>
      <c r="D119" s="225"/>
      <c r="E119" s="242"/>
      <c r="F119" s="242"/>
      <c r="G119" s="243">
        <f t="shared" si="3"/>
        <v>0</v>
      </c>
      <c r="H119" s="225"/>
      <c r="I119" s="243">
        <f>IF(Table33[[#This Row],[Category]]="Fall Product",Table33[[#This Row],[Account Deposit Amount]]-Table33[[#This Row],[Account Withdrawl Amount]], )</f>
        <v>0</v>
      </c>
      <c r="J119" s="243">
        <f>IF(Table33[[#This Row],[Category]]="Cookies",Table33[[#This Row],[Account Deposit Amount]]-Table33[[#This Row],[Account Withdrawl Amount]], )</f>
        <v>0</v>
      </c>
      <c r="K119" s="243">
        <f>IF(Table33[[#This Row],[Category]]="Additional Money Earning Activities",Table33[[#This Row],[Account Deposit Amount]]-Table33[[#This Row],[Account Withdrawl Amount]], )</f>
        <v>0</v>
      </c>
      <c r="L119" s="243">
        <f>IF(Table33[[#This Row],[Category]]="Sponsorships",Table33[[#This Row],[Account Deposit Amount]]-Table33[[#This Row],[Account Withdrawl Amount]], )</f>
        <v>0</v>
      </c>
      <c r="M119" s="243">
        <f>IF(Table33[[#This Row],[Category]]="Troop Dues",Table33[[#This Row],[Account Deposit Amount]]-Table33[[#This Row],[Account Withdrawl Amount]], )</f>
        <v>0</v>
      </c>
      <c r="N119" s="243">
        <f>IF(Table33[[#This Row],[Category]]="Other Income",Table33[[#This Row],[Account Deposit Amount]]-Table33[[#This Row],[Account Withdrawl Amount]], )</f>
        <v>0</v>
      </c>
      <c r="O119" s="243">
        <f>IF(Table33[[#This Row],[Category]]="Registration",Table33[[#This Row],[Account Deposit Amount]]-Table33[[#This Row],[Account Withdrawl Amount]], )</f>
        <v>0</v>
      </c>
      <c r="P119" s="243">
        <f>IF(Table33[[#This Row],[Category]]="Insignia",Table33[[#This Row],[Account Deposit Amount]]-Table33[[#This Row],[Account Withdrawl Amount]], )</f>
        <v>0</v>
      </c>
      <c r="Q119" s="243">
        <f>IF(Table33[[#This Row],[Category]]="Activities/Program",Table33[[#This Row],[Account Deposit Amount]]-Table33[[#This Row],[Account Withdrawl Amount]], )</f>
        <v>0</v>
      </c>
      <c r="R119" s="243">
        <f>IF(Table33[[#This Row],[Category]]="Travel",Table33[[#This Row],[Account Deposit Amount]]-Table33[[#This Row],[Account Withdrawl Amount]], )</f>
        <v>0</v>
      </c>
      <c r="S119" s="243">
        <f>IF(Table33[[#This Row],[Category]]="Parties Food &amp; Beverages",Table33[[#This Row],[Account Deposit Amount]]-Table33[[#This Row],[Account Withdrawl Amount]], )</f>
        <v>0</v>
      </c>
      <c r="T119" s="243">
        <f>IF(Table33[[#This Row],[Category]]="Service Projects Donation",Table33[[#This Row],[Account Deposit Amount]]-Table33[[#This Row],[Account Withdrawl Amount]], )</f>
        <v>0</v>
      </c>
      <c r="U119" s="243">
        <f>IF(Table33[[#This Row],[Category]]="Cookie Debt",Table33[[#This Row],[Account Deposit Amount]]-Table33[[#This Row],[Account Withdrawl Amount]], )</f>
        <v>0</v>
      </c>
      <c r="V119" s="243">
        <f>IF(Table33[[#This Row],[Category]]="Other Expense",Table33[[#This Row],[Account Deposit Amount]]-Table33[[#This Row],[Account Withdrawl Amount]], )</f>
        <v>0</v>
      </c>
    </row>
    <row r="120" spans="1:22">
      <c r="A120" s="225"/>
      <c r="B120" s="241"/>
      <c r="C120" s="244"/>
      <c r="D120" s="225"/>
      <c r="E120" s="242"/>
      <c r="F120" s="242"/>
      <c r="G120" s="243">
        <f t="shared" si="3"/>
        <v>0</v>
      </c>
      <c r="H120" s="225"/>
      <c r="I120" s="243">
        <f>IF(Table33[[#This Row],[Category]]="Fall Product",Table33[[#This Row],[Account Deposit Amount]]-Table33[[#This Row],[Account Withdrawl Amount]], )</f>
        <v>0</v>
      </c>
      <c r="J120" s="243">
        <f>IF(Table33[[#This Row],[Category]]="Cookies",Table33[[#This Row],[Account Deposit Amount]]-Table33[[#This Row],[Account Withdrawl Amount]], )</f>
        <v>0</v>
      </c>
      <c r="K120" s="243">
        <f>IF(Table33[[#This Row],[Category]]="Additional Money Earning Activities",Table33[[#This Row],[Account Deposit Amount]]-Table33[[#This Row],[Account Withdrawl Amount]], )</f>
        <v>0</v>
      </c>
      <c r="L120" s="243">
        <f>IF(Table33[[#This Row],[Category]]="Sponsorships",Table33[[#This Row],[Account Deposit Amount]]-Table33[[#This Row],[Account Withdrawl Amount]], )</f>
        <v>0</v>
      </c>
      <c r="M120" s="243">
        <f>IF(Table33[[#This Row],[Category]]="Troop Dues",Table33[[#This Row],[Account Deposit Amount]]-Table33[[#This Row],[Account Withdrawl Amount]], )</f>
        <v>0</v>
      </c>
      <c r="N120" s="243">
        <f>IF(Table33[[#This Row],[Category]]="Other Income",Table33[[#This Row],[Account Deposit Amount]]-Table33[[#This Row],[Account Withdrawl Amount]], )</f>
        <v>0</v>
      </c>
      <c r="O120" s="243">
        <f>IF(Table33[[#This Row],[Category]]="Registration",Table33[[#This Row],[Account Deposit Amount]]-Table33[[#This Row],[Account Withdrawl Amount]], )</f>
        <v>0</v>
      </c>
      <c r="P120" s="243">
        <f>IF(Table33[[#This Row],[Category]]="Insignia",Table33[[#This Row],[Account Deposit Amount]]-Table33[[#This Row],[Account Withdrawl Amount]], )</f>
        <v>0</v>
      </c>
      <c r="Q120" s="243">
        <f>IF(Table33[[#This Row],[Category]]="Activities/Program",Table33[[#This Row],[Account Deposit Amount]]-Table33[[#This Row],[Account Withdrawl Amount]], )</f>
        <v>0</v>
      </c>
      <c r="R120" s="243">
        <f>IF(Table33[[#This Row],[Category]]="Travel",Table33[[#This Row],[Account Deposit Amount]]-Table33[[#This Row],[Account Withdrawl Amount]], )</f>
        <v>0</v>
      </c>
      <c r="S120" s="243">
        <f>IF(Table33[[#This Row],[Category]]="Parties Food &amp; Beverages",Table33[[#This Row],[Account Deposit Amount]]-Table33[[#This Row],[Account Withdrawl Amount]], )</f>
        <v>0</v>
      </c>
      <c r="T120" s="243">
        <f>IF(Table33[[#This Row],[Category]]="Service Projects Donation",Table33[[#This Row],[Account Deposit Amount]]-Table33[[#This Row],[Account Withdrawl Amount]], )</f>
        <v>0</v>
      </c>
      <c r="U120" s="243">
        <f>IF(Table33[[#This Row],[Category]]="Cookie Debt",Table33[[#This Row],[Account Deposit Amount]]-Table33[[#This Row],[Account Withdrawl Amount]], )</f>
        <v>0</v>
      </c>
      <c r="V120" s="243">
        <f>IF(Table33[[#This Row],[Category]]="Other Expense",Table33[[#This Row],[Account Deposit Amount]]-Table33[[#This Row],[Account Withdrawl Amount]], )</f>
        <v>0</v>
      </c>
    </row>
    <row r="121" spans="1:22">
      <c r="A121" s="225"/>
      <c r="B121" s="241"/>
      <c r="C121" s="244"/>
      <c r="D121" s="225"/>
      <c r="E121" s="242"/>
      <c r="F121" s="242"/>
      <c r="G121" s="243">
        <f t="shared" si="3"/>
        <v>0</v>
      </c>
      <c r="H121" s="225"/>
      <c r="I121" s="243">
        <f>IF(Table33[[#This Row],[Category]]="Fall Product",Table33[[#This Row],[Account Deposit Amount]]-Table33[[#This Row],[Account Withdrawl Amount]], )</f>
        <v>0</v>
      </c>
      <c r="J121" s="243">
        <f>IF(Table33[[#This Row],[Category]]="Cookies",Table33[[#This Row],[Account Deposit Amount]]-Table33[[#This Row],[Account Withdrawl Amount]], )</f>
        <v>0</v>
      </c>
      <c r="K121" s="243">
        <f>IF(Table33[[#This Row],[Category]]="Additional Money Earning Activities",Table33[[#This Row],[Account Deposit Amount]]-Table33[[#This Row],[Account Withdrawl Amount]], )</f>
        <v>0</v>
      </c>
      <c r="L121" s="243">
        <f>IF(Table33[[#This Row],[Category]]="Sponsorships",Table33[[#This Row],[Account Deposit Amount]]-Table33[[#This Row],[Account Withdrawl Amount]], )</f>
        <v>0</v>
      </c>
      <c r="M121" s="243">
        <f>IF(Table33[[#This Row],[Category]]="Troop Dues",Table33[[#This Row],[Account Deposit Amount]]-Table33[[#This Row],[Account Withdrawl Amount]], )</f>
        <v>0</v>
      </c>
      <c r="N121" s="243">
        <f>IF(Table33[[#This Row],[Category]]="Other Income",Table33[[#This Row],[Account Deposit Amount]]-Table33[[#This Row],[Account Withdrawl Amount]], )</f>
        <v>0</v>
      </c>
      <c r="O121" s="243">
        <f>IF(Table33[[#This Row],[Category]]="Registration",Table33[[#This Row],[Account Deposit Amount]]-Table33[[#This Row],[Account Withdrawl Amount]], )</f>
        <v>0</v>
      </c>
      <c r="P121" s="243">
        <f>IF(Table33[[#This Row],[Category]]="Insignia",Table33[[#This Row],[Account Deposit Amount]]-Table33[[#This Row],[Account Withdrawl Amount]], )</f>
        <v>0</v>
      </c>
      <c r="Q121" s="243">
        <f>IF(Table33[[#This Row],[Category]]="Activities/Program",Table33[[#This Row],[Account Deposit Amount]]-Table33[[#This Row],[Account Withdrawl Amount]], )</f>
        <v>0</v>
      </c>
      <c r="R121" s="243">
        <f>IF(Table33[[#This Row],[Category]]="Travel",Table33[[#This Row],[Account Deposit Amount]]-Table33[[#This Row],[Account Withdrawl Amount]], )</f>
        <v>0</v>
      </c>
      <c r="S121" s="243">
        <f>IF(Table33[[#This Row],[Category]]="Parties Food &amp; Beverages",Table33[[#This Row],[Account Deposit Amount]]-Table33[[#This Row],[Account Withdrawl Amount]], )</f>
        <v>0</v>
      </c>
      <c r="T121" s="243">
        <f>IF(Table33[[#This Row],[Category]]="Service Projects Donation",Table33[[#This Row],[Account Deposit Amount]]-Table33[[#This Row],[Account Withdrawl Amount]], )</f>
        <v>0</v>
      </c>
      <c r="U121" s="243">
        <f>IF(Table33[[#This Row],[Category]]="Cookie Debt",Table33[[#This Row],[Account Deposit Amount]]-Table33[[#This Row],[Account Withdrawl Amount]], )</f>
        <v>0</v>
      </c>
      <c r="V121" s="243">
        <f>IF(Table33[[#This Row],[Category]]="Other Expense",Table33[[#This Row],[Account Deposit Amount]]-Table33[[#This Row],[Account Withdrawl Amount]], )</f>
        <v>0</v>
      </c>
    </row>
    <row r="122" spans="1:22">
      <c r="A122" s="225"/>
      <c r="B122" s="241"/>
      <c r="C122" s="244"/>
      <c r="D122" s="225"/>
      <c r="E122" s="242"/>
      <c r="F122" s="242"/>
      <c r="G122" s="243">
        <f t="shared" si="3"/>
        <v>0</v>
      </c>
      <c r="H122" s="225"/>
      <c r="I122" s="243">
        <f>IF(Table33[[#This Row],[Category]]="Fall Product",Table33[[#This Row],[Account Deposit Amount]]-Table33[[#This Row],[Account Withdrawl Amount]], )</f>
        <v>0</v>
      </c>
      <c r="J122" s="243">
        <f>IF(Table33[[#This Row],[Category]]="Cookies",Table33[[#This Row],[Account Deposit Amount]]-Table33[[#This Row],[Account Withdrawl Amount]], )</f>
        <v>0</v>
      </c>
      <c r="K122" s="243">
        <f>IF(Table33[[#This Row],[Category]]="Additional Money Earning Activities",Table33[[#This Row],[Account Deposit Amount]]-Table33[[#This Row],[Account Withdrawl Amount]], )</f>
        <v>0</v>
      </c>
      <c r="L122" s="243">
        <f>IF(Table33[[#This Row],[Category]]="Sponsorships",Table33[[#This Row],[Account Deposit Amount]]-Table33[[#This Row],[Account Withdrawl Amount]], )</f>
        <v>0</v>
      </c>
      <c r="M122" s="243">
        <f>IF(Table33[[#This Row],[Category]]="Troop Dues",Table33[[#This Row],[Account Deposit Amount]]-Table33[[#This Row],[Account Withdrawl Amount]], )</f>
        <v>0</v>
      </c>
      <c r="N122" s="243">
        <f>IF(Table33[[#This Row],[Category]]="Other Income",Table33[[#This Row],[Account Deposit Amount]]-Table33[[#This Row],[Account Withdrawl Amount]], )</f>
        <v>0</v>
      </c>
      <c r="O122" s="243">
        <f>IF(Table33[[#This Row],[Category]]="Registration",Table33[[#This Row],[Account Deposit Amount]]-Table33[[#This Row],[Account Withdrawl Amount]], )</f>
        <v>0</v>
      </c>
      <c r="P122" s="243">
        <f>IF(Table33[[#This Row],[Category]]="Insignia",Table33[[#This Row],[Account Deposit Amount]]-Table33[[#This Row],[Account Withdrawl Amount]], )</f>
        <v>0</v>
      </c>
      <c r="Q122" s="243">
        <f>IF(Table33[[#This Row],[Category]]="Activities/Program",Table33[[#This Row],[Account Deposit Amount]]-Table33[[#This Row],[Account Withdrawl Amount]], )</f>
        <v>0</v>
      </c>
      <c r="R122" s="243">
        <f>IF(Table33[[#This Row],[Category]]="Travel",Table33[[#This Row],[Account Deposit Amount]]-Table33[[#This Row],[Account Withdrawl Amount]], )</f>
        <v>0</v>
      </c>
      <c r="S122" s="243">
        <f>IF(Table33[[#This Row],[Category]]="Parties Food &amp; Beverages",Table33[[#This Row],[Account Deposit Amount]]-Table33[[#This Row],[Account Withdrawl Amount]], )</f>
        <v>0</v>
      </c>
      <c r="T122" s="243">
        <f>IF(Table33[[#This Row],[Category]]="Service Projects Donation",Table33[[#This Row],[Account Deposit Amount]]-Table33[[#This Row],[Account Withdrawl Amount]], )</f>
        <v>0</v>
      </c>
      <c r="U122" s="243">
        <f>IF(Table33[[#This Row],[Category]]="Cookie Debt",Table33[[#This Row],[Account Deposit Amount]]-Table33[[#This Row],[Account Withdrawl Amount]], )</f>
        <v>0</v>
      </c>
      <c r="V122" s="243">
        <f>IF(Table33[[#This Row],[Category]]="Other Expense",Table33[[#This Row],[Account Deposit Amount]]-Table33[[#This Row],[Account Withdrawl Amount]], )</f>
        <v>0</v>
      </c>
    </row>
    <row r="123" spans="1:22">
      <c r="A123" s="225"/>
      <c r="B123" s="241"/>
      <c r="C123" s="244"/>
      <c r="D123" s="225"/>
      <c r="E123" s="242"/>
      <c r="F123" s="242"/>
      <c r="G123" s="243">
        <f t="shared" si="3"/>
        <v>0</v>
      </c>
      <c r="H123" s="225"/>
      <c r="I123" s="243">
        <f>IF(Table33[[#This Row],[Category]]="Fall Product",Table33[[#This Row],[Account Deposit Amount]]-Table33[[#This Row],[Account Withdrawl Amount]], )</f>
        <v>0</v>
      </c>
      <c r="J123" s="243">
        <f>IF(Table33[[#This Row],[Category]]="Cookies",Table33[[#This Row],[Account Deposit Amount]]-Table33[[#This Row],[Account Withdrawl Amount]], )</f>
        <v>0</v>
      </c>
      <c r="K123" s="243">
        <f>IF(Table33[[#This Row],[Category]]="Additional Money Earning Activities",Table33[[#This Row],[Account Deposit Amount]]-Table33[[#This Row],[Account Withdrawl Amount]], )</f>
        <v>0</v>
      </c>
      <c r="L123" s="243">
        <f>IF(Table33[[#This Row],[Category]]="Sponsorships",Table33[[#This Row],[Account Deposit Amount]]-Table33[[#This Row],[Account Withdrawl Amount]], )</f>
        <v>0</v>
      </c>
      <c r="M123" s="243">
        <f>IF(Table33[[#This Row],[Category]]="Troop Dues",Table33[[#This Row],[Account Deposit Amount]]-Table33[[#This Row],[Account Withdrawl Amount]], )</f>
        <v>0</v>
      </c>
      <c r="N123" s="243">
        <f>IF(Table33[[#This Row],[Category]]="Other Income",Table33[[#This Row],[Account Deposit Amount]]-Table33[[#This Row],[Account Withdrawl Amount]], )</f>
        <v>0</v>
      </c>
      <c r="O123" s="243">
        <f>IF(Table33[[#This Row],[Category]]="Registration",Table33[[#This Row],[Account Deposit Amount]]-Table33[[#This Row],[Account Withdrawl Amount]], )</f>
        <v>0</v>
      </c>
      <c r="P123" s="243">
        <f>IF(Table33[[#This Row],[Category]]="Insignia",Table33[[#This Row],[Account Deposit Amount]]-Table33[[#This Row],[Account Withdrawl Amount]], )</f>
        <v>0</v>
      </c>
      <c r="Q123" s="243">
        <f>IF(Table33[[#This Row],[Category]]="Activities/Program",Table33[[#This Row],[Account Deposit Amount]]-Table33[[#This Row],[Account Withdrawl Amount]], )</f>
        <v>0</v>
      </c>
      <c r="R123" s="243">
        <f>IF(Table33[[#This Row],[Category]]="Travel",Table33[[#This Row],[Account Deposit Amount]]-Table33[[#This Row],[Account Withdrawl Amount]], )</f>
        <v>0</v>
      </c>
      <c r="S123" s="243">
        <f>IF(Table33[[#This Row],[Category]]="Parties Food &amp; Beverages",Table33[[#This Row],[Account Deposit Amount]]-Table33[[#This Row],[Account Withdrawl Amount]], )</f>
        <v>0</v>
      </c>
      <c r="T123" s="243">
        <f>IF(Table33[[#This Row],[Category]]="Service Projects Donation",Table33[[#This Row],[Account Deposit Amount]]-Table33[[#This Row],[Account Withdrawl Amount]], )</f>
        <v>0</v>
      </c>
      <c r="U123" s="243">
        <f>IF(Table33[[#This Row],[Category]]="Cookie Debt",Table33[[#This Row],[Account Deposit Amount]]-Table33[[#This Row],[Account Withdrawl Amount]], )</f>
        <v>0</v>
      </c>
      <c r="V123" s="243">
        <f>IF(Table33[[#This Row],[Category]]="Other Expense",Table33[[#This Row],[Account Deposit Amount]]-Table33[[#This Row],[Account Withdrawl Amount]], )</f>
        <v>0</v>
      </c>
    </row>
    <row r="124" spans="1:22">
      <c r="A124" s="225"/>
      <c r="B124" s="241"/>
      <c r="C124" s="244"/>
      <c r="D124" s="225"/>
      <c r="E124" s="242"/>
      <c r="F124" s="242"/>
      <c r="G124" s="243">
        <f t="shared" si="3"/>
        <v>0</v>
      </c>
      <c r="H124" s="225"/>
      <c r="I124" s="243">
        <f>IF(Table33[[#This Row],[Category]]="Fall Product",Table33[[#This Row],[Account Deposit Amount]]-Table33[[#This Row],[Account Withdrawl Amount]], )</f>
        <v>0</v>
      </c>
      <c r="J124" s="243">
        <f>IF(Table33[[#This Row],[Category]]="Cookies",Table33[[#This Row],[Account Deposit Amount]]-Table33[[#This Row],[Account Withdrawl Amount]], )</f>
        <v>0</v>
      </c>
      <c r="K124" s="243">
        <f>IF(Table33[[#This Row],[Category]]="Additional Money Earning Activities",Table33[[#This Row],[Account Deposit Amount]]-Table33[[#This Row],[Account Withdrawl Amount]], )</f>
        <v>0</v>
      </c>
      <c r="L124" s="243">
        <f>IF(Table33[[#This Row],[Category]]="Sponsorships",Table33[[#This Row],[Account Deposit Amount]]-Table33[[#This Row],[Account Withdrawl Amount]], )</f>
        <v>0</v>
      </c>
      <c r="M124" s="243">
        <f>IF(Table33[[#This Row],[Category]]="Troop Dues",Table33[[#This Row],[Account Deposit Amount]]-Table33[[#This Row],[Account Withdrawl Amount]], )</f>
        <v>0</v>
      </c>
      <c r="N124" s="243">
        <f>IF(Table33[[#This Row],[Category]]="Other Income",Table33[[#This Row],[Account Deposit Amount]]-Table33[[#This Row],[Account Withdrawl Amount]], )</f>
        <v>0</v>
      </c>
      <c r="O124" s="243">
        <f>IF(Table33[[#This Row],[Category]]="Registration",Table33[[#This Row],[Account Deposit Amount]]-Table33[[#This Row],[Account Withdrawl Amount]], )</f>
        <v>0</v>
      </c>
      <c r="P124" s="243">
        <f>IF(Table33[[#This Row],[Category]]="Insignia",Table33[[#This Row],[Account Deposit Amount]]-Table33[[#This Row],[Account Withdrawl Amount]], )</f>
        <v>0</v>
      </c>
      <c r="Q124" s="243">
        <f>IF(Table33[[#This Row],[Category]]="Activities/Program",Table33[[#This Row],[Account Deposit Amount]]-Table33[[#This Row],[Account Withdrawl Amount]], )</f>
        <v>0</v>
      </c>
      <c r="R124" s="243">
        <f>IF(Table33[[#This Row],[Category]]="Travel",Table33[[#This Row],[Account Deposit Amount]]-Table33[[#This Row],[Account Withdrawl Amount]], )</f>
        <v>0</v>
      </c>
      <c r="S124" s="243">
        <f>IF(Table33[[#This Row],[Category]]="Parties Food &amp; Beverages",Table33[[#This Row],[Account Deposit Amount]]-Table33[[#This Row],[Account Withdrawl Amount]], )</f>
        <v>0</v>
      </c>
      <c r="T124" s="243">
        <f>IF(Table33[[#This Row],[Category]]="Service Projects Donation",Table33[[#This Row],[Account Deposit Amount]]-Table33[[#This Row],[Account Withdrawl Amount]], )</f>
        <v>0</v>
      </c>
      <c r="U124" s="243">
        <f>IF(Table33[[#This Row],[Category]]="Cookie Debt",Table33[[#This Row],[Account Deposit Amount]]-Table33[[#This Row],[Account Withdrawl Amount]], )</f>
        <v>0</v>
      </c>
      <c r="V124" s="243">
        <f>IF(Table33[[#This Row],[Category]]="Other Expense",Table33[[#This Row],[Account Deposit Amount]]-Table33[[#This Row],[Account Withdrawl Amount]], )</f>
        <v>0</v>
      </c>
    </row>
    <row r="125" spans="1:22">
      <c r="A125" s="225"/>
      <c r="B125" s="241"/>
      <c r="C125" s="244"/>
      <c r="D125" s="225"/>
      <c r="E125" s="242"/>
      <c r="F125" s="242"/>
      <c r="G125" s="243">
        <f t="shared" si="3"/>
        <v>0</v>
      </c>
      <c r="H125" s="225"/>
      <c r="I125" s="243">
        <f>IF(Table33[[#This Row],[Category]]="Fall Product",Table33[[#This Row],[Account Deposit Amount]]-Table33[[#This Row],[Account Withdrawl Amount]], )</f>
        <v>0</v>
      </c>
      <c r="J125" s="243">
        <f>IF(Table33[[#This Row],[Category]]="Cookies",Table33[[#This Row],[Account Deposit Amount]]-Table33[[#This Row],[Account Withdrawl Amount]], )</f>
        <v>0</v>
      </c>
      <c r="K125" s="243">
        <f>IF(Table33[[#This Row],[Category]]="Additional Money Earning Activities",Table33[[#This Row],[Account Deposit Amount]]-Table33[[#This Row],[Account Withdrawl Amount]], )</f>
        <v>0</v>
      </c>
      <c r="L125" s="243">
        <f>IF(Table33[[#This Row],[Category]]="Sponsorships",Table33[[#This Row],[Account Deposit Amount]]-Table33[[#This Row],[Account Withdrawl Amount]], )</f>
        <v>0</v>
      </c>
      <c r="M125" s="243">
        <f>IF(Table33[[#This Row],[Category]]="Troop Dues",Table33[[#This Row],[Account Deposit Amount]]-Table33[[#This Row],[Account Withdrawl Amount]], )</f>
        <v>0</v>
      </c>
      <c r="N125" s="243">
        <f>IF(Table33[[#This Row],[Category]]="Other Income",Table33[[#This Row],[Account Deposit Amount]]-Table33[[#This Row],[Account Withdrawl Amount]], )</f>
        <v>0</v>
      </c>
      <c r="O125" s="243">
        <f>IF(Table33[[#This Row],[Category]]="Registration",Table33[[#This Row],[Account Deposit Amount]]-Table33[[#This Row],[Account Withdrawl Amount]], )</f>
        <v>0</v>
      </c>
      <c r="P125" s="243">
        <f>IF(Table33[[#This Row],[Category]]="Insignia",Table33[[#This Row],[Account Deposit Amount]]-Table33[[#This Row],[Account Withdrawl Amount]], )</f>
        <v>0</v>
      </c>
      <c r="Q125" s="243">
        <f>IF(Table33[[#This Row],[Category]]="Activities/Program",Table33[[#This Row],[Account Deposit Amount]]-Table33[[#This Row],[Account Withdrawl Amount]], )</f>
        <v>0</v>
      </c>
      <c r="R125" s="243">
        <f>IF(Table33[[#This Row],[Category]]="Travel",Table33[[#This Row],[Account Deposit Amount]]-Table33[[#This Row],[Account Withdrawl Amount]], )</f>
        <v>0</v>
      </c>
      <c r="S125" s="243">
        <f>IF(Table33[[#This Row],[Category]]="Parties Food &amp; Beverages",Table33[[#This Row],[Account Deposit Amount]]-Table33[[#This Row],[Account Withdrawl Amount]], )</f>
        <v>0</v>
      </c>
      <c r="T125" s="243">
        <f>IF(Table33[[#This Row],[Category]]="Service Projects Donation",Table33[[#This Row],[Account Deposit Amount]]-Table33[[#This Row],[Account Withdrawl Amount]], )</f>
        <v>0</v>
      </c>
      <c r="U125" s="243">
        <f>IF(Table33[[#This Row],[Category]]="Cookie Debt",Table33[[#This Row],[Account Deposit Amount]]-Table33[[#This Row],[Account Withdrawl Amount]], )</f>
        <v>0</v>
      </c>
      <c r="V125" s="243">
        <f>IF(Table33[[#This Row],[Category]]="Other Expense",Table33[[#This Row],[Account Deposit Amount]]-Table33[[#This Row],[Account Withdrawl Amount]], )</f>
        <v>0</v>
      </c>
    </row>
    <row r="126" spans="1:22">
      <c r="A126" s="225"/>
      <c r="B126" s="241"/>
      <c r="C126" s="244"/>
      <c r="D126" s="224"/>
      <c r="E126" s="242"/>
      <c r="F126" s="242"/>
      <c r="G126" s="243">
        <f t="shared" si="3"/>
        <v>0</v>
      </c>
      <c r="H126" s="225"/>
      <c r="I126" s="243">
        <f>IF(Table33[[#This Row],[Category]]="Fall Product",Table33[[#This Row],[Account Deposit Amount]]-Table33[[#This Row],[Account Withdrawl Amount]], )</f>
        <v>0</v>
      </c>
      <c r="J126" s="243">
        <f>IF(Table33[[#This Row],[Category]]="Cookies",Table33[[#This Row],[Account Deposit Amount]]-Table33[[#This Row],[Account Withdrawl Amount]], )</f>
        <v>0</v>
      </c>
      <c r="K126" s="243">
        <f>IF(Table33[[#This Row],[Category]]="Additional Money Earning Activities",Table33[[#This Row],[Account Deposit Amount]]-Table33[[#This Row],[Account Withdrawl Amount]], )</f>
        <v>0</v>
      </c>
      <c r="L126" s="243">
        <f>IF(Table33[[#This Row],[Category]]="Sponsorships",Table33[[#This Row],[Account Deposit Amount]]-Table33[[#This Row],[Account Withdrawl Amount]], )</f>
        <v>0</v>
      </c>
      <c r="M126" s="243">
        <f>IF(Table33[[#This Row],[Category]]="Troop Dues",Table33[[#This Row],[Account Deposit Amount]]-Table33[[#This Row],[Account Withdrawl Amount]], )</f>
        <v>0</v>
      </c>
      <c r="N126" s="243">
        <f>IF(Table33[[#This Row],[Category]]="Other Income",Table33[[#This Row],[Account Deposit Amount]]-Table33[[#This Row],[Account Withdrawl Amount]], )</f>
        <v>0</v>
      </c>
      <c r="O126" s="243">
        <f>IF(Table33[[#This Row],[Category]]="Registration",Table33[[#This Row],[Account Deposit Amount]]-Table33[[#This Row],[Account Withdrawl Amount]], )</f>
        <v>0</v>
      </c>
      <c r="P126" s="243">
        <f>IF(Table33[[#This Row],[Category]]="Insignia",Table33[[#This Row],[Account Deposit Amount]]-Table33[[#This Row],[Account Withdrawl Amount]], )</f>
        <v>0</v>
      </c>
      <c r="Q126" s="243">
        <f>IF(Table33[[#This Row],[Category]]="Activities/Program",Table33[[#This Row],[Account Deposit Amount]]-Table33[[#This Row],[Account Withdrawl Amount]], )</f>
        <v>0</v>
      </c>
      <c r="R126" s="243">
        <f>IF(Table33[[#This Row],[Category]]="Travel",Table33[[#This Row],[Account Deposit Amount]]-Table33[[#This Row],[Account Withdrawl Amount]], )</f>
        <v>0</v>
      </c>
      <c r="S126" s="243">
        <f>IF(Table33[[#This Row],[Category]]="Parties Food &amp; Beverages",Table33[[#This Row],[Account Deposit Amount]]-Table33[[#This Row],[Account Withdrawl Amount]], )</f>
        <v>0</v>
      </c>
      <c r="T126" s="243">
        <f>IF(Table33[[#This Row],[Category]]="Service Projects Donation",Table33[[#This Row],[Account Deposit Amount]]-Table33[[#This Row],[Account Withdrawl Amount]], )</f>
        <v>0</v>
      </c>
      <c r="U126" s="243">
        <f>IF(Table33[[#This Row],[Category]]="Cookie Debt",Table33[[#This Row],[Account Deposit Amount]]-Table33[[#This Row],[Account Withdrawl Amount]], )</f>
        <v>0</v>
      </c>
      <c r="V126" s="243">
        <f>IF(Table33[[#This Row],[Category]]="Other Expense",Table33[[#This Row],[Account Deposit Amount]]-Table33[[#This Row],[Account Withdrawl Amount]], )</f>
        <v>0</v>
      </c>
    </row>
    <row r="127" spans="1:22">
      <c r="A127" s="225"/>
      <c r="B127" s="241"/>
      <c r="C127" s="244"/>
      <c r="D127" s="225"/>
      <c r="E127" s="242"/>
      <c r="F127" s="242"/>
      <c r="G127" s="243">
        <f t="shared" si="3"/>
        <v>0</v>
      </c>
      <c r="H127" s="225"/>
      <c r="I127" s="243">
        <f>IF(Table33[[#This Row],[Category]]="Fall Product",Table33[[#This Row],[Account Deposit Amount]]-Table33[[#This Row],[Account Withdrawl Amount]], )</f>
        <v>0</v>
      </c>
      <c r="J127" s="243">
        <f>IF(Table33[[#This Row],[Category]]="Cookies",Table33[[#This Row],[Account Deposit Amount]]-Table33[[#This Row],[Account Withdrawl Amount]], )</f>
        <v>0</v>
      </c>
      <c r="K127" s="243">
        <f>IF(Table33[[#This Row],[Category]]="Additional Money Earning Activities",Table33[[#This Row],[Account Deposit Amount]]-Table33[[#This Row],[Account Withdrawl Amount]], )</f>
        <v>0</v>
      </c>
      <c r="L127" s="243">
        <f>IF(Table33[[#This Row],[Category]]="Sponsorships",Table33[[#This Row],[Account Deposit Amount]]-Table33[[#This Row],[Account Withdrawl Amount]], )</f>
        <v>0</v>
      </c>
      <c r="M127" s="243">
        <f>IF(Table33[[#This Row],[Category]]="Troop Dues",Table33[[#This Row],[Account Deposit Amount]]-Table33[[#This Row],[Account Withdrawl Amount]], )</f>
        <v>0</v>
      </c>
      <c r="N127" s="243">
        <f>IF(Table33[[#This Row],[Category]]="Other Income",Table33[[#This Row],[Account Deposit Amount]]-Table33[[#This Row],[Account Withdrawl Amount]], )</f>
        <v>0</v>
      </c>
      <c r="O127" s="243">
        <f>IF(Table33[[#This Row],[Category]]="Registration",Table33[[#This Row],[Account Deposit Amount]]-Table33[[#This Row],[Account Withdrawl Amount]], )</f>
        <v>0</v>
      </c>
      <c r="P127" s="243">
        <f>IF(Table33[[#This Row],[Category]]="Insignia",Table33[[#This Row],[Account Deposit Amount]]-Table33[[#This Row],[Account Withdrawl Amount]], )</f>
        <v>0</v>
      </c>
      <c r="Q127" s="243">
        <f>IF(Table33[[#This Row],[Category]]="Activities/Program",Table33[[#This Row],[Account Deposit Amount]]-Table33[[#This Row],[Account Withdrawl Amount]], )</f>
        <v>0</v>
      </c>
      <c r="R127" s="243">
        <f>IF(Table33[[#This Row],[Category]]="Travel",Table33[[#This Row],[Account Deposit Amount]]-Table33[[#This Row],[Account Withdrawl Amount]], )</f>
        <v>0</v>
      </c>
      <c r="S127" s="243">
        <f>IF(Table33[[#This Row],[Category]]="Parties Food &amp; Beverages",Table33[[#This Row],[Account Deposit Amount]]-Table33[[#This Row],[Account Withdrawl Amount]], )</f>
        <v>0</v>
      </c>
      <c r="T127" s="243">
        <f>IF(Table33[[#This Row],[Category]]="Service Projects Donation",Table33[[#This Row],[Account Deposit Amount]]-Table33[[#This Row],[Account Withdrawl Amount]], )</f>
        <v>0</v>
      </c>
      <c r="U127" s="243">
        <f>IF(Table33[[#This Row],[Category]]="Cookie Debt",Table33[[#This Row],[Account Deposit Amount]]-Table33[[#This Row],[Account Withdrawl Amount]], )</f>
        <v>0</v>
      </c>
      <c r="V127" s="243">
        <f>IF(Table33[[#This Row],[Category]]="Other Expense",Table33[[#This Row],[Account Deposit Amount]]-Table33[[#This Row],[Account Withdrawl Amount]], )</f>
        <v>0</v>
      </c>
    </row>
    <row r="128" spans="1:22">
      <c r="A128" s="225"/>
      <c r="B128" s="241"/>
      <c r="C128" s="244"/>
      <c r="D128" s="225"/>
      <c r="E128" s="242"/>
      <c r="F128" s="242"/>
      <c r="G128" s="243">
        <f t="shared" si="3"/>
        <v>0</v>
      </c>
      <c r="H128" s="225"/>
      <c r="I128" s="243">
        <f>IF(Table33[[#This Row],[Category]]="Fall Product",Table33[[#This Row],[Account Deposit Amount]]-Table33[[#This Row],[Account Withdrawl Amount]], )</f>
        <v>0</v>
      </c>
      <c r="J128" s="243">
        <f>IF(Table33[[#This Row],[Category]]="Cookies",Table33[[#This Row],[Account Deposit Amount]]-Table33[[#This Row],[Account Withdrawl Amount]], )</f>
        <v>0</v>
      </c>
      <c r="K128" s="243">
        <f>IF(Table33[[#This Row],[Category]]="Additional Money Earning Activities",Table33[[#This Row],[Account Deposit Amount]]-Table33[[#This Row],[Account Withdrawl Amount]], )</f>
        <v>0</v>
      </c>
      <c r="L128" s="243">
        <f>IF(Table33[[#This Row],[Category]]="Sponsorships",Table33[[#This Row],[Account Deposit Amount]]-Table33[[#This Row],[Account Withdrawl Amount]], )</f>
        <v>0</v>
      </c>
      <c r="M128" s="243">
        <f>IF(Table33[[#This Row],[Category]]="Troop Dues",Table33[[#This Row],[Account Deposit Amount]]-Table33[[#This Row],[Account Withdrawl Amount]], )</f>
        <v>0</v>
      </c>
      <c r="N128" s="243">
        <f>IF(Table33[[#This Row],[Category]]="Other Income",Table33[[#This Row],[Account Deposit Amount]]-Table33[[#This Row],[Account Withdrawl Amount]], )</f>
        <v>0</v>
      </c>
      <c r="O128" s="243">
        <f>IF(Table33[[#This Row],[Category]]="Registration",Table33[[#This Row],[Account Deposit Amount]]-Table33[[#This Row],[Account Withdrawl Amount]], )</f>
        <v>0</v>
      </c>
      <c r="P128" s="243">
        <f>IF(Table33[[#This Row],[Category]]="Insignia",Table33[[#This Row],[Account Deposit Amount]]-Table33[[#This Row],[Account Withdrawl Amount]], )</f>
        <v>0</v>
      </c>
      <c r="Q128" s="243">
        <f>IF(Table33[[#This Row],[Category]]="Activities/Program",Table33[[#This Row],[Account Deposit Amount]]-Table33[[#This Row],[Account Withdrawl Amount]], )</f>
        <v>0</v>
      </c>
      <c r="R128" s="243">
        <f>IF(Table33[[#This Row],[Category]]="Travel",Table33[[#This Row],[Account Deposit Amount]]-Table33[[#This Row],[Account Withdrawl Amount]], )</f>
        <v>0</v>
      </c>
      <c r="S128" s="243">
        <f>IF(Table33[[#This Row],[Category]]="Parties Food &amp; Beverages",Table33[[#This Row],[Account Deposit Amount]]-Table33[[#This Row],[Account Withdrawl Amount]], )</f>
        <v>0</v>
      </c>
      <c r="T128" s="243">
        <f>IF(Table33[[#This Row],[Category]]="Service Projects Donation",Table33[[#This Row],[Account Deposit Amount]]-Table33[[#This Row],[Account Withdrawl Amount]], )</f>
        <v>0</v>
      </c>
      <c r="U128" s="243">
        <f>IF(Table33[[#This Row],[Category]]="Cookie Debt",Table33[[#This Row],[Account Deposit Amount]]-Table33[[#This Row],[Account Withdrawl Amount]], )</f>
        <v>0</v>
      </c>
      <c r="V128" s="243">
        <f>IF(Table33[[#This Row],[Category]]="Other Expense",Table33[[#This Row],[Account Deposit Amount]]-Table33[[#This Row],[Account Withdrawl Amount]], )</f>
        <v>0</v>
      </c>
    </row>
    <row r="129" spans="1:22">
      <c r="A129" s="225"/>
      <c r="B129" s="241"/>
      <c r="C129" s="244"/>
      <c r="D129" s="225"/>
      <c r="E129" s="242"/>
      <c r="F129" s="242"/>
      <c r="G129" s="243">
        <f t="shared" si="3"/>
        <v>0</v>
      </c>
      <c r="H129" s="225"/>
      <c r="I129" s="243">
        <f>IF(Table33[[#This Row],[Category]]="Fall Product",Table33[[#This Row],[Account Deposit Amount]]-Table33[[#This Row],[Account Withdrawl Amount]], )</f>
        <v>0</v>
      </c>
      <c r="J129" s="243">
        <f>IF(Table33[[#This Row],[Category]]="Cookies",Table33[[#This Row],[Account Deposit Amount]]-Table33[[#This Row],[Account Withdrawl Amount]], )</f>
        <v>0</v>
      </c>
      <c r="K129" s="243">
        <f>IF(Table33[[#This Row],[Category]]="Additional Money Earning Activities",Table33[[#This Row],[Account Deposit Amount]]-Table33[[#This Row],[Account Withdrawl Amount]], )</f>
        <v>0</v>
      </c>
      <c r="L129" s="243">
        <f>IF(Table33[[#This Row],[Category]]="Sponsorships",Table33[[#This Row],[Account Deposit Amount]]-Table33[[#This Row],[Account Withdrawl Amount]], )</f>
        <v>0</v>
      </c>
      <c r="M129" s="243">
        <f>IF(Table33[[#This Row],[Category]]="Troop Dues",Table33[[#This Row],[Account Deposit Amount]]-Table33[[#This Row],[Account Withdrawl Amount]], )</f>
        <v>0</v>
      </c>
      <c r="N129" s="243">
        <f>IF(Table33[[#This Row],[Category]]="Other Income",Table33[[#This Row],[Account Deposit Amount]]-Table33[[#This Row],[Account Withdrawl Amount]], )</f>
        <v>0</v>
      </c>
      <c r="O129" s="243">
        <f>IF(Table33[[#This Row],[Category]]="Registration",Table33[[#This Row],[Account Deposit Amount]]-Table33[[#This Row],[Account Withdrawl Amount]], )</f>
        <v>0</v>
      </c>
      <c r="P129" s="243">
        <f>IF(Table33[[#This Row],[Category]]="Insignia",Table33[[#This Row],[Account Deposit Amount]]-Table33[[#This Row],[Account Withdrawl Amount]], )</f>
        <v>0</v>
      </c>
      <c r="Q129" s="243">
        <f>IF(Table33[[#This Row],[Category]]="Activities/Program",Table33[[#This Row],[Account Deposit Amount]]-Table33[[#This Row],[Account Withdrawl Amount]], )</f>
        <v>0</v>
      </c>
      <c r="R129" s="243">
        <f>IF(Table33[[#This Row],[Category]]="Travel",Table33[[#This Row],[Account Deposit Amount]]-Table33[[#This Row],[Account Withdrawl Amount]], )</f>
        <v>0</v>
      </c>
      <c r="S129" s="243">
        <f>IF(Table33[[#This Row],[Category]]="Parties Food &amp; Beverages",Table33[[#This Row],[Account Deposit Amount]]-Table33[[#This Row],[Account Withdrawl Amount]], )</f>
        <v>0</v>
      </c>
      <c r="T129" s="243">
        <f>IF(Table33[[#This Row],[Category]]="Service Projects Donation",Table33[[#This Row],[Account Deposit Amount]]-Table33[[#This Row],[Account Withdrawl Amount]], )</f>
        <v>0</v>
      </c>
      <c r="U129" s="243">
        <f>IF(Table33[[#This Row],[Category]]="Cookie Debt",Table33[[#This Row],[Account Deposit Amount]]-Table33[[#This Row],[Account Withdrawl Amount]], )</f>
        <v>0</v>
      </c>
      <c r="V129" s="243">
        <f>IF(Table33[[#This Row],[Category]]="Other Expense",Table33[[#This Row],[Account Deposit Amount]]-Table33[[#This Row],[Account Withdrawl Amount]], )</f>
        <v>0</v>
      </c>
    </row>
    <row r="130" spans="1:22">
      <c r="A130" s="225"/>
      <c r="B130" s="241"/>
      <c r="C130" s="244"/>
      <c r="D130" s="225"/>
      <c r="E130" s="242"/>
      <c r="F130" s="242"/>
      <c r="G130" s="243">
        <f t="shared" si="3"/>
        <v>0</v>
      </c>
      <c r="H130" s="225"/>
      <c r="I130" s="243">
        <f>IF(Table33[[#This Row],[Category]]="Fall Product",Table33[[#This Row],[Account Deposit Amount]]-Table33[[#This Row],[Account Withdrawl Amount]], )</f>
        <v>0</v>
      </c>
      <c r="J130" s="243">
        <f>IF(Table33[[#This Row],[Category]]="Cookies",Table33[[#This Row],[Account Deposit Amount]]-Table33[[#This Row],[Account Withdrawl Amount]], )</f>
        <v>0</v>
      </c>
      <c r="K130" s="243">
        <f>IF(Table33[[#This Row],[Category]]="Additional Money Earning Activities",Table33[[#This Row],[Account Deposit Amount]]-Table33[[#This Row],[Account Withdrawl Amount]], )</f>
        <v>0</v>
      </c>
      <c r="L130" s="243">
        <f>IF(Table33[[#This Row],[Category]]="Sponsorships",Table33[[#This Row],[Account Deposit Amount]]-Table33[[#This Row],[Account Withdrawl Amount]], )</f>
        <v>0</v>
      </c>
      <c r="M130" s="243">
        <f>IF(Table33[[#This Row],[Category]]="Troop Dues",Table33[[#This Row],[Account Deposit Amount]]-Table33[[#This Row],[Account Withdrawl Amount]], )</f>
        <v>0</v>
      </c>
      <c r="N130" s="243">
        <f>IF(Table33[[#This Row],[Category]]="Other Income",Table33[[#This Row],[Account Deposit Amount]]-Table33[[#This Row],[Account Withdrawl Amount]], )</f>
        <v>0</v>
      </c>
      <c r="O130" s="243">
        <f>IF(Table33[[#This Row],[Category]]="Registration",Table33[[#This Row],[Account Deposit Amount]]-Table33[[#This Row],[Account Withdrawl Amount]], )</f>
        <v>0</v>
      </c>
      <c r="P130" s="243">
        <f>IF(Table33[[#This Row],[Category]]="Insignia",Table33[[#This Row],[Account Deposit Amount]]-Table33[[#This Row],[Account Withdrawl Amount]], )</f>
        <v>0</v>
      </c>
      <c r="Q130" s="243">
        <f>IF(Table33[[#This Row],[Category]]="Activities/Program",Table33[[#This Row],[Account Deposit Amount]]-Table33[[#This Row],[Account Withdrawl Amount]], )</f>
        <v>0</v>
      </c>
      <c r="R130" s="243">
        <f>IF(Table33[[#This Row],[Category]]="Travel",Table33[[#This Row],[Account Deposit Amount]]-Table33[[#This Row],[Account Withdrawl Amount]], )</f>
        <v>0</v>
      </c>
      <c r="S130" s="243">
        <f>IF(Table33[[#This Row],[Category]]="Parties Food &amp; Beverages",Table33[[#This Row],[Account Deposit Amount]]-Table33[[#This Row],[Account Withdrawl Amount]], )</f>
        <v>0</v>
      </c>
      <c r="T130" s="243">
        <f>IF(Table33[[#This Row],[Category]]="Service Projects Donation",Table33[[#This Row],[Account Deposit Amount]]-Table33[[#This Row],[Account Withdrawl Amount]], )</f>
        <v>0</v>
      </c>
      <c r="U130" s="243">
        <f>IF(Table33[[#This Row],[Category]]="Cookie Debt",Table33[[#This Row],[Account Deposit Amount]]-Table33[[#This Row],[Account Withdrawl Amount]], )</f>
        <v>0</v>
      </c>
      <c r="V130" s="243">
        <f>IF(Table33[[#This Row],[Category]]="Other Expense",Table33[[#This Row],[Account Deposit Amount]]-Table33[[#This Row],[Account Withdrawl Amount]], )</f>
        <v>0</v>
      </c>
    </row>
    <row r="131" spans="1:22">
      <c r="A131" s="225"/>
      <c r="B131" s="241"/>
      <c r="C131" s="244"/>
      <c r="D131" s="225"/>
      <c r="E131" s="242"/>
      <c r="F131" s="242"/>
      <c r="G131" s="243">
        <f t="shared" si="3"/>
        <v>0</v>
      </c>
      <c r="H131" s="225"/>
      <c r="I131" s="243">
        <f>IF(Table33[[#This Row],[Category]]="Fall Product",Table33[[#This Row],[Account Deposit Amount]]-Table33[[#This Row],[Account Withdrawl Amount]], )</f>
        <v>0</v>
      </c>
      <c r="J131" s="243">
        <f>IF(Table33[[#This Row],[Category]]="Cookies",Table33[[#This Row],[Account Deposit Amount]]-Table33[[#This Row],[Account Withdrawl Amount]], )</f>
        <v>0</v>
      </c>
      <c r="K131" s="243">
        <f>IF(Table33[[#This Row],[Category]]="Additional Money Earning Activities",Table33[[#This Row],[Account Deposit Amount]]-Table33[[#This Row],[Account Withdrawl Amount]], )</f>
        <v>0</v>
      </c>
      <c r="L131" s="243">
        <f>IF(Table33[[#This Row],[Category]]="Sponsorships",Table33[[#This Row],[Account Deposit Amount]]-Table33[[#This Row],[Account Withdrawl Amount]], )</f>
        <v>0</v>
      </c>
      <c r="M131" s="243">
        <f>IF(Table33[[#This Row],[Category]]="Troop Dues",Table33[[#This Row],[Account Deposit Amount]]-Table33[[#This Row],[Account Withdrawl Amount]], )</f>
        <v>0</v>
      </c>
      <c r="N131" s="243">
        <f>IF(Table33[[#This Row],[Category]]="Other Income",Table33[[#This Row],[Account Deposit Amount]]-Table33[[#This Row],[Account Withdrawl Amount]], )</f>
        <v>0</v>
      </c>
      <c r="O131" s="243">
        <f>IF(Table33[[#This Row],[Category]]="Registration",Table33[[#This Row],[Account Deposit Amount]]-Table33[[#This Row],[Account Withdrawl Amount]], )</f>
        <v>0</v>
      </c>
      <c r="P131" s="243">
        <f>IF(Table33[[#This Row],[Category]]="Insignia",Table33[[#This Row],[Account Deposit Amount]]-Table33[[#This Row],[Account Withdrawl Amount]], )</f>
        <v>0</v>
      </c>
      <c r="Q131" s="243">
        <f>IF(Table33[[#This Row],[Category]]="Activities/Program",Table33[[#This Row],[Account Deposit Amount]]-Table33[[#This Row],[Account Withdrawl Amount]], )</f>
        <v>0</v>
      </c>
      <c r="R131" s="243">
        <f>IF(Table33[[#This Row],[Category]]="Travel",Table33[[#This Row],[Account Deposit Amount]]-Table33[[#This Row],[Account Withdrawl Amount]], )</f>
        <v>0</v>
      </c>
      <c r="S131" s="243">
        <f>IF(Table33[[#This Row],[Category]]="Parties Food &amp; Beverages",Table33[[#This Row],[Account Deposit Amount]]-Table33[[#This Row],[Account Withdrawl Amount]], )</f>
        <v>0</v>
      </c>
      <c r="T131" s="243">
        <f>IF(Table33[[#This Row],[Category]]="Service Projects Donation",Table33[[#This Row],[Account Deposit Amount]]-Table33[[#This Row],[Account Withdrawl Amount]], )</f>
        <v>0</v>
      </c>
      <c r="U131" s="243">
        <f>IF(Table33[[#This Row],[Category]]="Cookie Debt",Table33[[#This Row],[Account Deposit Amount]]-Table33[[#This Row],[Account Withdrawl Amount]], )</f>
        <v>0</v>
      </c>
      <c r="V131" s="243">
        <f>IF(Table33[[#This Row],[Category]]="Other Expense",Table33[[#This Row],[Account Deposit Amount]]-Table33[[#This Row],[Account Withdrawl Amount]], )</f>
        <v>0</v>
      </c>
    </row>
    <row r="132" spans="1:22">
      <c r="A132" s="225"/>
      <c r="B132" s="241"/>
      <c r="C132" s="244"/>
      <c r="D132" s="225"/>
      <c r="E132" s="242"/>
      <c r="F132" s="242"/>
      <c r="G132" s="243">
        <f t="shared" si="3"/>
        <v>0</v>
      </c>
      <c r="H132" s="225"/>
      <c r="I132" s="243">
        <f>IF(Table33[[#This Row],[Category]]="Fall Product",Table33[[#This Row],[Account Deposit Amount]]-Table33[[#This Row],[Account Withdrawl Amount]], )</f>
        <v>0</v>
      </c>
      <c r="J132" s="243">
        <f>IF(Table33[[#This Row],[Category]]="Cookies",Table33[[#This Row],[Account Deposit Amount]]-Table33[[#This Row],[Account Withdrawl Amount]], )</f>
        <v>0</v>
      </c>
      <c r="K132" s="243">
        <f>IF(Table33[[#This Row],[Category]]="Additional Money Earning Activities",Table33[[#This Row],[Account Deposit Amount]]-Table33[[#This Row],[Account Withdrawl Amount]], )</f>
        <v>0</v>
      </c>
      <c r="L132" s="243">
        <f>IF(Table33[[#This Row],[Category]]="Sponsorships",Table33[[#This Row],[Account Deposit Amount]]-Table33[[#This Row],[Account Withdrawl Amount]], )</f>
        <v>0</v>
      </c>
      <c r="M132" s="243">
        <f>IF(Table33[[#This Row],[Category]]="Troop Dues",Table33[[#This Row],[Account Deposit Amount]]-Table33[[#This Row],[Account Withdrawl Amount]], )</f>
        <v>0</v>
      </c>
      <c r="N132" s="243">
        <f>IF(Table33[[#This Row],[Category]]="Other Income",Table33[[#This Row],[Account Deposit Amount]]-Table33[[#This Row],[Account Withdrawl Amount]], )</f>
        <v>0</v>
      </c>
      <c r="O132" s="243">
        <f>IF(Table33[[#This Row],[Category]]="Registration",Table33[[#This Row],[Account Deposit Amount]]-Table33[[#This Row],[Account Withdrawl Amount]], )</f>
        <v>0</v>
      </c>
      <c r="P132" s="243">
        <f>IF(Table33[[#This Row],[Category]]="Insignia",Table33[[#This Row],[Account Deposit Amount]]-Table33[[#This Row],[Account Withdrawl Amount]], )</f>
        <v>0</v>
      </c>
      <c r="Q132" s="243">
        <f>IF(Table33[[#This Row],[Category]]="Activities/Program",Table33[[#This Row],[Account Deposit Amount]]-Table33[[#This Row],[Account Withdrawl Amount]], )</f>
        <v>0</v>
      </c>
      <c r="R132" s="243">
        <f>IF(Table33[[#This Row],[Category]]="Travel",Table33[[#This Row],[Account Deposit Amount]]-Table33[[#This Row],[Account Withdrawl Amount]], )</f>
        <v>0</v>
      </c>
      <c r="S132" s="243">
        <f>IF(Table33[[#This Row],[Category]]="Parties Food &amp; Beverages",Table33[[#This Row],[Account Deposit Amount]]-Table33[[#This Row],[Account Withdrawl Amount]], )</f>
        <v>0</v>
      </c>
      <c r="T132" s="243">
        <f>IF(Table33[[#This Row],[Category]]="Service Projects Donation",Table33[[#This Row],[Account Deposit Amount]]-Table33[[#This Row],[Account Withdrawl Amount]], )</f>
        <v>0</v>
      </c>
      <c r="U132" s="243">
        <f>IF(Table33[[#This Row],[Category]]="Cookie Debt",Table33[[#This Row],[Account Deposit Amount]]-Table33[[#This Row],[Account Withdrawl Amount]], )</f>
        <v>0</v>
      </c>
      <c r="V132" s="243">
        <f>IF(Table33[[#This Row],[Category]]="Other Expense",Table33[[#This Row],[Account Deposit Amount]]-Table33[[#This Row],[Account Withdrawl Amount]], )</f>
        <v>0</v>
      </c>
    </row>
    <row r="133" spans="1:22">
      <c r="A133" s="225"/>
      <c r="B133" s="241"/>
      <c r="C133" s="244"/>
      <c r="D133" s="225"/>
      <c r="E133" s="242"/>
      <c r="F133" s="242"/>
      <c r="G133" s="243">
        <f t="shared" ref="G133:G196" si="4">G132+E133-F133</f>
        <v>0</v>
      </c>
      <c r="H133" s="225"/>
      <c r="I133" s="243">
        <f>IF(Table33[[#This Row],[Category]]="Fall Product",Table33[[#This Row],[Account Deposit Amount]]-Table33[[#This Row],[Account Withdrawl Amount]], )</f>
        <v>0</v>
      </c>
      <c r="J133" s="243">
        <f>IF(Table33[[#This Row],[Category]]="Cookies",Table33[[#This Row],[Account Deposit Amount]]-Table33[[#This Row],[Account Withdrawl Amount]], )</f>
        <v>0</v>
      </c>
      <c r="K133" s="243">
        <f>IF(Table33[[#This Row],[Category]]="Additional Money Earning Activities",Table33[[#This Row],[Account Deposit Amount]]-Table33[[#This Row],[Account Withdrawl Amount]], )</f>
        <v>0</v>
      </c>
      <c r="L133" s="243">
        <f>IF(Table33[[#This Row],[Category]]="Sponsorships",Table33[[#This Row],[Account Deposit Amount]]-Table33[[#This Row],[Account Withdrawl Amount]], )</f>
        <v>0</v>
      </c>
      <c r="M133" s="243">
        <f>IF(Table33[[#This Row],[Category]]="Troop Dues",Table33[[#This Row],[Account Deposit Amount]]-Table33[[#This Row],[Account Withdrawl Amount]], )</f>
        <v>0</v>
      </c>
      <c r="N133" s="243">
        <f>IF(Table33[[#This Row],[Category]]="Other Income",Table33[[#This Row],[Account Deposit Amount]]-Table33[[#This Row],[Account Withdrawl Amount]], )</f>
        <v>0</v>
      </c>
      <c r="O133" s="243">
        <f>IF(Table33[[#This Row],[Category]]="Registration",Table33[[#This Row],[Account Deposit Amount]]-Table33[[#This Row],[Account Withdrawl Amount]], )</f>
        <v>0</v>
      </c>
      <c r="P133" s="243">
        <f>IF(Table33[[#This Row],[Category]]="Insignia",Table33[[#This Row],[Account Deposit Amount]]-Table33[[#This Row],[Account Withdrawl Amount]], )</f>
        <v>0</v>
      </c>
      <c r="Q133" s="243">
        <f>IF(Table33[[#This Row],[Category]]="Activities/Program",Table33[[#This Row],[Account Deposit Amount]]-Table33[[#This Row],[Account Withdrawl Amount]], )</f>
        <v>0</v>
      </c>
      <c r="R133" s="243">
        <f>IF(Table33[[#This Row],[Category]]="Travel",Table33[[#This Row],[Account Deposit Amount]]-Table33[[#This Row],[Account Withdrawl Amount]], )</f>
        <v>0</v>
      </c>
      <c r="S133" s="243">
        <f>IF(Table33[[#This Row],[Category]]="Parties Food &amp; Beverages",Table33[[#This Row],[Account Deposit Amount]]-Table33[[#This Row],[Account Withdrawl Amount]], )</f>
        <v>0</v>
      </c>
      <c r="T133" s="243">
        <f>IF(Table33[[#This Row],[Category]]="Service Projects Donation",Table33[[#This Row],[Account Deposit Amount]]-Table33[[#This Row],[Account Withdrawl Amount]], )</f>
        <v>0</v>
      </c>
      <c r="U133" s="243">
        <f>IF(Table33[[#This Row],[Category]]="Cookie Debt",Table33[[#This Row],[Account Deposit Amount]]-Table33[[#This Row],[Account Withdrawl Amount]], )</f>
        <v>0</v>
      </c>
      <c r="V133" s="243">
        <f>IF(Table33[[#This Row],[Category]]="Other Expense",Table33[[#This Row],[Account Deposit Amount]]-Table33[[#This Row],[Account Withdrawl Amount]], )</f>
        <v>0</v>
      </c>
    </row>
    <row r="134" spans="1:22">
      <c r="A134" s="225"/>
      <c r="B134" s="241"/>
      <c r="C134" s="244"/>
      <c r="D134" s="225"/>
      <c r="E134" s="242"/>
      <c r="F134" s="242"/>
      <c r="G134" s="243">
        <f t="shared" si="4"/>
        <v>0</v>
      </c>
      <c r="H134" s="225"/>
      <c r="I134" s="243">
        <f>IF(Table33[[#This Row],[Category]]="Fall Product",Table33[[#This Row],[Account Deposit Amount]]-Table33[[#This Row],[Account Withdrawl Amount]], )</f>
        <v>0</v>
      </c>
      <c r="J134" s="243">
        <f>IF(Table33[[#This Row],[Category]]="Cookies",Table33[[#This Row],[Account Deposit Amount]]-Table33[[#This Row],[Account Withdrawl Amount]], )</f>
        <v>0</v>
      </c>
      <c r="K134" s="243">
        <f>IF(Table33[[#This Row],[Category]]="Additional Money Earning Activities",Table33[[#This Row],[Account Deposit Amount]]-Table33[[#This Row],[Account Withdrawl Amount]], )</f>
        <v>0</v>
      </c>
      <c r="L134" s="243">
        <f>IF(Table33[[#This Row],[Category]]="Sponsorships",Table33[[#This Row],[Account Deposit Amount]]-Table33[[#This Row],[Account Withdrawl Amount]], )</f>
        <v>0</v>
      </c>
      <c r="M134" s="243">
        <f>IF(Table33[[#This Row],[Category]]="Troop Dues",Table33[[#This Row],[Account Deposit Amount]]-Table33[[#This Row],[Account Withdrawl Amount]], )</f>
        <v>0</v>
      </c>
      <c r="N134" s="243">
        <f>IF(Table33[[#This Row],[Category]]="Other Income",Table33[[#This Row],[Account Deposit Amount]]-Table33[[#This Row],[Account Withdrawl Amount]], )</f>
        <v>0</v>
      </c>
      <c r="O134" s="243">
        <f>IF(Table33[[#This Row],[Category]]="Registration",Table33[[#This Row],[Account Deposit Amount]]-Table33[[#This Row],[Account Withdrawl Amount]], )</f>
        <v>0</v>
      </c>
      <c r="P134" s="243">
        <f>IF(Table33[[#This Row],[Category]]="Insignia",Table33[[#This Row],[Account Deposit Amount]]-Table33[[#This Row],[Account Withdrawl Amount]], )</f>
        <v>0</v>
      </c>
      <c r="Q134" s="243">
        <f>IF(Table33[[#This Row],[Category]]="Activities/Program",Table33[[#This Row],[Account Deposit Amount]]-Table33[[#This Row],[Account Withdrawl Amount]], )</f>
        <v>0</v>
      </c>
      <c r="R134" s="243">
        <f>IF(Table33[[#This Row],[Category]]="Travel",Table33[[#This Row],[Account Deposit Amount]]-Table33[[#This Row],[Account Withdrawl Amount]], )</f>
        <v>0</v>
      </c>
      <c r="S134" s="243">
        <f>IF(Table33[[#This Row],[Category]]="Parties Food &amp; Beverages",Table33[[#This Row],[Account Deposit Amount]]-Table33[[#This Row],[Account Withdrawl Amount]], )</f>
        <v>0</v>
      </c>
      <c r="T134" s="243">
        <f>IF(Table33[[#This Row],[Category]]="Service Projects Donation",Table33[[#This Row],[Account Deposit Amount]]-Table33[[#This Row],[Account Withdrawl Amount]], )</f>
        <v>0</v>
      </c>
      <c r="U134" s="243">
        <f>IF(Table33[[#This Row],[Category]]="Cookie Debt",Table33[[#This Row],[Account Deposit Amount]]-Table33[[#This Row],[Account Withdrawl Amount]], )</f>
        <v>0</v>
      </c>
      <c r="V134" s="243">
        <f>IF(Table33[[#This Row],[Category]]="Other Expense",Table33[[#This Row],[Account Deposit Amount]]-Table33[[#This Row],[Account Withdrawl Amount]], )</f>
        <v>0</v>
      </c>
    </row>
    <row r="135" spans="1:22">
      <c r="A135" s="225"/>
      <c r="B135" s="241"/>
      <c r="C135" s="244"/>
      <c r="D135" s="225"/>
      <c r="E135" s="242"/>
      <c r="F135" s="242"/>
      <c r="G135" s="243">
        <f t="shared" si="4"/>
        <v>0</v>
      </c>
      <c r="H135" s="225"/>
      <c r="I135" s="243">
        <f>IF(Table33[[#This Row],[Category]]="Fall Product",Table33[[#This Row],[Account Deposit Amount]]-Table33[[#This Row],[Account Withdrawl Amount]], )</f>
        <v>0</v>
      </c>
      <c r="J135" s="243">
        <f>IF(Table33[[#This Row],[Category]]="Cookies",Table33[[#This Row],[Account Deposit Amount]]-Table33[[#This Row],[Account Withdrawl Amount]], )</f>
        <v>0</v>
      </c>
      <c r="K135" s="243">
        <f>IF(Table33[[#This Row],[Category]]="Additional Money Earning Activities",Table33[[#This Row],[Account Deposit Amount]]-Table33[[#This Row],[Account Withdrawl Amount]], )</f>
        <v>0</v>
      </c>
      <c r="L135" s="243">
        <f>IF(Table33[[#This Row],[Category]]="Sponsorships",Table33[[#This Row],[Account Deposit Amount]]-Table33[[#This Row],[Account Withdrawl Amount]], )</f>
        <v>0</v>
      </c>
      <c r="M135" s="243">
        <f>IF(Table33[[#This Row],[Category]]="Troop Dues",Table33[[#This Row],[Account Deposit Amount]]-Table33[[#This Row],[Account Withdrawl Amount]], )</f>
        <v>0</v>
      </c>
      <c r="N135" s="243">
        <f>IF(Table33[[#This Row],[Category]]="Other Income",Table33[[#This Row],[Account Deposit Amount]]-Table33[[#This Row],[Account Withdrawl Amount]], )</f>
        <v>0</v>
      </c>
      <c r="O135" s="243">
        <f>IF(Table33[[#This Row],[Category]]="Registration",Table33[[#This Row],[Account Deposit Amount]]-Table33[[#This Row],[Account Withdrawl Amount]], )</f>
        <v>0</v>
      </c>
      <c r="P135" s="243">
        <f>IF(Table33[[#This Row],[Category]]="Insignia",Table33[[#This Row],[Account Deposit Amount]]-Table33[[#This Row],[Account Withdrawl Amount]], )</f>
        <v>0</v>
      </c>
      <c r="Q135" s="243">
        <f>IF(Table33[[#This Row],[Category]]="Activities/Program",Table33[[#This Row],[Account Deposit Amount]]-Table33[[#This Row],[Account Withdrawl Amount]], )</f>
        <v>0</v>
      </c>
      <c r="R135" s="243">
        <f>IF(Table33[[#This Row],[Category]]="Travel",Table33[[#This Row],[Account Deposit Amount]]-Table33[[#This Row],[Account Withdrawl Amount]], )</f>
        <v>0</v>
      </c>
      <c r="S135" s="243">
        <f>IF(Table33[[#This Row],[Category]]="Parties Food &amp; Beverages",Table33[[#This Row],[Account Deposit Amount]]-Table33[[#This Row],[Account Withdrawl Amount]], )</f>
        <v>0</v>
      </c>
      <c r="T135" s="243">
        <f>IF(Table33[[#This Row],[Category]]="Service Projects Donation",Table33[[#This Row],[Account Deposit Amount]]-Table33[[#This Row],[Account Withdrawl Amount]], )</f>
        <v>0</v>
      </c>
      <c r="U135" s="243">
        <f>IF(Table33[[#This Row],[Category]]="Cookie Debt",Table33[[#This Row],[Account Deposit Amount]]-Table33[[#This Row],[Account Withdrawl Amount]], )</f>
        <v>0</v>
      </c>
      <c r="V135" s="243">
        <f>IF(Table33[[#This Row],[Category]]="Other Expense",Table33[[#This Row],[Account Deposit Amount]]-Table33[[#This Row],[Account Withdrawl Amount]], )</f>
        <v>0</v>
      </c>
    </row>
    <row r="136" spans="1:22">
      <c r="A136" s="225"/>
      <c r="B136" s="241"/>
      <c r="C136" s="244"/>
      <c r="D136" s="225"/>
      <c r="E136" s="242"/>
      <c r="F136" s="242"/>
      <c r="G136" s="243">
        <f t="shared" si="4"/>
        <v>0</v>
      </c>
      <c r="H136" s="225"/>
      <c r="I136" s="243">
        <f>IF(Table33[[#This Row],[Category]]="Fall Product",Table33[[#This Row],[Account Deposit Amount]]-Table33[[#This Row],[Account Withdrawl Amount]], )</f>
        <v>0</v>
      </c>
      <c r="J136" s="243">
        <f>IF(Table33[[#This Row],[Category]]="Cookies",Table33[[#This Row],[Account Deposit Amount]]-Table33[[#This Row],[Account Withdrawl Amount]], )</f>
        <v>0</v>
      </c>
      <c r="K136" s="243">
        <f>IF(Table33[[#This Row],[Category]]="Additional Money Earning Activities",Table33[[#This Row],[Account Deposit Amount]]-Table33[[#This Row],[Account Withdrawl Amount]], )</f>
        <v>0</v>
      </c>
      <c r="L136" s="243">
        <f>IF(Table33[[#This Row],[Category]]="Sponsorships",Table33[[#This Row],[Account Deposit Amount]]-Table33[[#This Row],[Account Withdrawl Amount]], )</f>
        <v>0</v>
      </c>
      <c r="M136" s="243">
        <f>IF(Table33[[#This Row],[Category]]="Troop Dues",Table33[[#This Row],[Account Deposit Amount]]-Table33[[#This Row],[Account Withdrawl Amount]], )</f>
        <v>0</v>
      </c>
      <c r="N136" s="243">
        <f>IF(Table33[[#This Row],[Category]]="Other Income",Table33[[#This Row],[Account Deposit Amount]]-Table33[[#This Row],[Account Withdrawl Amount]], )</f>
        <v>0</v>
      </c>
      <c r="O136" s="243">
        <f>IF(Table33[[#This Row],[Category]]="Registration",Table33[[#This Row],[Account Deposit Amount]]-Table33[[#This Row],[Account Withdrawl Amount]], )</f>
        <v>0</v>
      </c>
      <c r="P136" s="243">
        <f>IF(Table33[[#This Row],[Category]]="Insignia",Table33[[#This Row],[Account Deposit Amount]]-Table33[[#This Row],[Account Withdrawl Amount]], )</f>
        <v>0</v>
      </c>
      <c r="Q136" s="243">
        <f>IF(Table33[[#This Row],[Category]]="Activities/Program",Table33[[#This Row],[Account Deposit Amount]]-Table33[[#This Row],[Account Withdrawl Amount]], )</f>
        <v>0</v>
      </c>
      <c r="R136" s="243">
        <f>IF(Table33[[#This Row],[Category]]="Travel",Table33[[#This Row],[Account Deposit Amount]]-Table33[[#This Row],[Account Withdrawl Amount]], )</f>
        <v>0</v>
      </c>
      <c r="S136" s="243">
        <f>IF(Table33[[#This Row],[Category]]="Parties Food &amp; Beverages",Table33[[#This Row],[Account Deposit Amount]]-Table33[[#This Row],[Account Withdrawl Amount]], )</f>
        <v>0</v>
      </c>
      <c r="T136" s="243">
        <f>IF(Table33[[#This Row],[Category]]="Service Projects Donation",Table33[[#This Row],[Account Deposit Amount]]-Table33[[#This Row],[Account Withdrawl Amount]], )</f>
        <v>0</v>
      </c>
      <c r="U136" s="243">
        <f>IF(Table33[[#This Row],[Category]]="Cookie Debt",Table33[[#This Row],[Account Deposit Amount]]-Table33[[#This Row],[Account Withdrawl Amount]], )</f>
        <v>0</v>
      </c>
      <c r="V136" s="243">
        <f>IF(Table33[[#This Row],[Category]]="Other Expense",Table33[[#This Row],[Account Deposit Amount]]-Table33[[#This Row],[Account Withdrawl Amount]], )</f>
        <v>0</v>
      </c>
    </row>
    <row r="137" spans="1:22">
      <c r="A137" s="225"/>
      <c r="B137" s="241"/>
      <c r="C137" s="244"/>
      <c r="D137" s="225"/>
      <c r="E137" s="242"/>
      <c r="F137" s="242"/>
      <c r="G137" s="243">
        <f t="shared" si="4"/>
        <v>0</v>
      </c>
      <c r="H137" s="225"/>
      <c r="I137" s="243">
        <f>IF(Table33[[#This Row],[Category]]="Fall Product",Table33[[#This Row],[Account Deposit Amount]]-Table33[[#This Row],[Account Withdrawl Amount]], )</f>
        <v>0</v>
      </c>
      <c r="J137" s="243">
        <f>IF(Table33[[#This Row],[Category]]="Cookies",Table33[[#This Row],[Account Deposit Amount]]-Table33[[#This Row],[Account Withdrawl Amount]], )</f>
        <v>0</v>
      </c>
      <c r="K137" s="243">
        <f>IF(Table33[[#This Row],[Category]]="Additional Money Earning Activities",Table33[[#This Row],[Account Deposit Amount]]-Table33[[#This Row],[Account Withdrawl Amount]], )</f>
        <v>0</v>
      </c>
      <c r="L137" s="243">
        <f>IF(Table33[[#This Row],[Category]]="Sponsorships",Table33[[#This Row],[Account Deposit Amount]]-Table33[[#This Row],[Account Withdrawl Amount]], )</f>
        <v>0</v>
      </c>
      <c r="M137" s="243">
        <f>IF(Table33[[#This Row],[Category]]="Troop Dues",Table33[[#This Row],[Account Deposit Amount]]-Table33[[#This Row],[Account Withdrawl Amount]], )</f>
        <v>0</v>
      </c>
      <c r="N137" s="243">
        <f>IF(Table33[[#This Row],[Category]]="Other Income",Table33[[#This Row],[Account Deposit Amount]]-Table33[[#This Row],[Account Withdrawl Amount]], )</f>
        <v>0</v>
      </c>
      <c r="O137" s="243">
        <f>IF(Table33[[#This Row],[Category]]="Registration",Table33[[#This Row],[Account Deposit Amount]]-Table33[[#This Row],[Account Withdrawl Amount]], )</f>
        <v>0</v>
      </c>
      <c r="P137" s="243">
        <f>IF(Table33[[#This Row],[Category]]="Insignia",Table33[[#This Row],[Account Deposit Amount]]-Table33[[#This Row],[Account Withdrawl Amount]], )</f>
        <v>0</v>
      </c>
      <c r="Q137" s="243">
        <f>IF(Table33[[#This Row],[Category]]="Activities/Program",Table33[[#This Row],[Account Deposit Amount]]-Table33[[#This Row],[Account Withdrawl Amount]], )</f>
        <v>0</v>
      </c>
      <c r="R137" s="243">
        <f>IF(Table33[[#This Row],[Category]]="Travel",Table33[[#This Row],[Account Deposit Amount]]-Table33[[#This Row],[Account Withdrawl Amount]], )</f>
        <v>0</v>
      </c>
      <c r="S137" s="243">
        <f>IF(Table33[[#This Row],[Category]]="Parties Food &amp; Beverages",Table33[[#This Row],[Account Deposit Amount]]-Table33[[#This Row],[Account Withdrawl Amount]], )</f>
        <v>0</v>
      </c>
      <c r="T137" s="243">
        <f>IF(Table33[[#This Row],[Category]]="Service Projects Donation",Table33[[#This Row],[Account Deposit Amount]]-Table33[[#This Row],[Account Withdrawl Amount]], )</f>
        <v>0</v>
      </c>
      <c r="U137" s="243">
        <f>IF(Table33[[#This Row],[Category]]="Cookie Debt",Table33[[#This Row],[Account Deposit Amount]]-Table33[[#This Row],[Account Withdrawl Amount]], )</f>
        <v>0</v>
      </c>
      <c r="V137" s="243">
        <f>IF(Table33[[#This Row],[Category]]="Other Expense",Table33[[#This Row],[Account Deposit Amount]]-Table33[[#This Row],[Account Withdrawl Amount]], )</f>
        <v>0</v>
      </c>
    </row>
    <row r="138" spans="1:22">
      <c r="A138" s="225"/>
      <c r="B138" s="241"/>
      <c r="C138" s="244"/>
      <c r="D138" s="225"/>
      <c r="E138" s="242"/>
      <c r="F138" s="242"/>
      <c r="G138" s="243">
        <f t="shared" si="4"/>
        <v>0</v>
      </c>
      <c r="H138" s="225"/>
      <c r="I138" s="243">
        <f>IF(Table33[[#This Row],[Category]]="Fall Product",Table33[[#This Row],[Account Deposit Amount]]-Table33[[#This Row],[Account Withdrawl Amount]], )</f>
        <v>0</v>
      </c>
      <c r="J138" s="243">
        <f>IF(Table33[[#This Row],[Category]]="Cookies",Table33[[#This Row],[Account Deposit Amount]]-Table33[[#This Row],[Account Withdrawl Amount]], )</f>
        <v>0</v>
      </c>
      <c r="K138" s="243">
        <f>IF(Table33[[#This Row],[Category]]="Additional Money Earning Activities",Table33[[#This Row],[Account Deposit Amount]]-Table33[[#This Row],[Account Withdrawl Amount]], )</f>
        <v>0</v>
      </c>
      <c r="L138" s="243">
        <f>IF(Table33[[#This Row],[Category]]="Sponsorships",Table33[[#This Row],[Account Deposit Amount]]-Table33[[#This Row],[Account Withdrawl Amount]], )</f>
        <v>0</v>
      </c>
      <c r="M138" s="243">
        <f>IF(Table33[[#This Row],[Category]]="Troop Dues",Table33[[#This Row],[Account Deposit Amount]]-Table33[[#This Row],[Account Withdrawl Amount]], )</f>
        <v>0</v>
      </c>
      <c r="N138" s="243">
        <f>IF(Table33[[#This Row],[Category]]="Other Income",Table33[[#This Row],[Account Deposit Amount]]-Table33[[#This Row],[Account Withdrawl Amount]], )</f>
        <v>0</v>
      </c>
      <c r="O138" s="243">
        <f>IF(Table33[[#This Row],[Category]]="Registration",Table33[[#This Row],[Account Deposit Amount]]-Table33[[#This Row],[Account Withdrawl Amount]], )</f>
        <v>0</v>
      </c>
      <c r="P138" s="243">
        <f>IF(Table33[[#This Row],[Category]]="Insignia",Table33[[#This Row],[Account Deposit Amount]]-Table33[[#This Row],[Account Withdrawl Amount]], )</f>
        <v>0</v>
      </c>
      <c r="Q138" s="243">
        <f>IF(Table33[[#This Row],[Category]]="Activities/Program",Table33[[#This Row],[Account Deposit Amount]]-Table33[[#This Row],[Account Withdrawl Amount]], )</f>
        <v>0</v>
      </c>
      <c r="R138" s="243">
        <f>IF(Table33[[#This Row],[Category]]="Travel",Table33[[#This Row],[Account Deposit Amount]]-Table33[[#This Row],[Account Withdrawl Amount]], )</f>
        <v>0</v>
      </c>
      <c r="S138" s="243">
        <f>IF(Table33[[#This Row],[Category]]="Parties Food &amp; Beverages",Table33[[#This Row],[Account Deposit Amount]]-Table33[[#This Row],[Account Withdrawl Amount]], )</f>
        <v>0</v>
      </c>
      <c r="T138" s="243">
        <f>IF(Table33[[#This Row],[Category]]="Service Projects Donation",Table33[[#This Row],[Account Deposit Amount]]-Table33[[#This Row],[Account Withdrawl Amount]], )</f>
        <v>0</v>
      </c>
      <c r="U138" s="243">
        <f>IF(Table33[[#This Row],[Category]]="Cookie Debt",Table33[[#This Row],[Account Deposit Amount]]-Table33[[#This Row],[Account Withdrawl Amount]], )</f>
        <v>0</v>
      </c>
      <c r="V138" s="243">
        <f>IF(Table33[[#This Row],[Category]]="Other Expense",Table33[[#This Row],[Account Deposit Amount]]-Table33[[#This Row],[Account Withdrawl Amount]], )</f>
        <v>0</v>
      </c>
    </row>
    <row r="139" spans="1:22">
      <c r="A139" s="225"/>
      <c r="B139" s="241"/>
      <c r="C139" s="244"/>
      <c r="D139" s="225"/>
      <c r="E139" s="242"/>
      <c r="F139" s="242"/>
      <c r="G139" s="243">
        <f t="shared" si="4"/>
        <v>0</v>
      </c>
      <c r="H139" s="225"/>
      <c r="I139" s="243">
        <f>IF(Table33[[#This Row],[Category]]="Fall Product",Table33[[#This Row],[Account Deposit Amount]]-Table33[[#This Row],[Account Withdrawl Amount]], )</f>
        <v>0</v>
      </c>
      <c r="J139" s="243">
        <f>IF(Table33[[#This Row],[Category]]="Cookies",Table33[[#This Row],[Account Deposit Amount]]-Table33[[#This Row],[Account Withdrawl Amount]], )</f>
        <v>0</v>
      </c>
      <c r="K139" s="243">
        <f>IF(Table33[[#This Row],[Category]]="Additional Money Earning Activities",Table33[[#This Row],[Account Deposit Amount]]-Table33[[#This Row],[Account Withdrawl Amount]], )</f>
        <v>0</v>
      </c>
      <c r="L139" s="243">
        <f>IF(Table33[[#This Row],[Category]]="Sponsorships",Table33[[#This Row],[Account Deposit Amount]]-Table33[[#This Row],[Account Withdrawl Amount]], )</f>
        <v>0</v>
      </c>
      <c r="M139" s="243">
        <f>IF(Table33[[#This Row],[Category]]="Troop Dues",Table33[[#This Row],[Account Deposit Amount]]-Table33[[#This Row],[Account Withdrawl Amount]], )</f>
        <v>0</v>
      </c>
      <c r="N139" s="243">
        <f>IF(Table33[[#This Row],[Category]]="Other Income",Table33[[#This Row],[Account Deposit Amount]]-Table33[[#This Row],[Account Withdrawl Amount]], )</f>
        <v>0</v>
      </c>
      <c r="O139" s="243">
        <f>IF(Table33[[#This Row],[Category]]="Registration",Table33[[#This Row],[Account Deposit Amount]]-Table33[[#This Row],[Account Withdrawl Amount]], )</f>
        <v>0</v>
      </c>
      <c r="P139" s="243">
        <f>IF(Table33[[#This Row],[Category]]="Insignia",Table33[[#This Row],[Account Deposit Amount]]-Table33[[#This Row],[Account Withdrawl Amount]], )</f>
        <v>0</v>
      </c>
      <c r="Q139" s="243">
        <f>IF(Table33[[#This Row],[Category]]="Activities/Program",Table33[[#This Row],[Account Deposit Amount]]-Table33[[#This Row],[Account Withdrawl Amount]], )</f>
        <v>0</v>
      </c>
      <c r="R139" s="243">
        <f>IF(Table33[[#This Row],[Category]]="Travel",Table33[[#This Row],[Account Deposit Amount]]-Table33[[#This Row],[Account Withdrawl Amount]], )</f>
        <v>0</v>
      </c>
      <c r="S139" s="243">
        <f>IF(Table33[[#This Row],[Category]]="Parties Food &amp; Beverages",Table33[[#This Row],[Account Deposit Amount]]-Table33[[#This Row],[Account Withdrawl Amount]], )</f>
        <v>0</v>
      </c>
      <c r="T139" s="243">
        <f>IF(Table33[[#This Row],[Category]]="Service Projects Donation",Table33[[#This Row],[Account Deposit Amount]]-Table33[[#This Row],[Account Withdrawl Amount]], )</f>
        <v>0</v>
      </c>
      <c r="U139" s="243">
        <f>IF(Table33[[#This Row],[Category]]="Cookie Debt",Table33[[#This Row],[Account Deposit Amount]]-Table33[[#This Row],[Account Withdrawl Amount]], )</f>
        <v>0</v>
      </c>
      <c r="V139" s="243">
        <f>IF(Table33[[#This Row],[Category]]="Other Expense",Table33[[#This Row],[Account Deposit Amount]]-Table33[[#This Row],[Account Withdrawl Amount]], )</f>
        <v>0</v>
      </c>
    </row>
    <row r="140" spans="1:22">
      <c r="A140" s="225"/>
      <c r="B140" s="241"/>
      <c r="C140" s="244"/>
      <c r="D140" s="225"/>
      <c r="E140" s="242"/>
      <c r="F140" s="242"/>
      <c r="G140" s="243">
        <f t="shared" si="4"/>
        <v>0</v>
      </c>
      <c r="H140" s="225"/>
      <c r="I140" s="243">
        <f>IF(Table33[[#This Row],[Category]]="Fall Product",Table33[[#This Row],[Account Deposit Amount]]-Table33[[#This Row],[Account Withdrawl Amount]], )</f>
        <v>0</v>
      </c>
      <c r="J140" s="243">
        <f>IF(Table33[[#This Row],[Category]]="Cookies",Table33[[#This Row],[Account Deposit Amount]]-Table33[[#This Row],[Account Withdrawl Amount]], )</f>
        <v>0</v>
      </c>
      <c r="K140" s="243">
        <f>IF(Table33[[#This Row],[Category]]="Additional Money Earning Activities",Table33[[#This Row],[Account Deposit Amount]]-Table33[[#This Row],[Account Withdrawl Amount]], )</f>
        <v>0</v>
      </c>
      <c r="L140" s="243">
        <f>IF(Table33[[#This Row],[Category]]="Sponsorships",Table33[[#This Row],[Account Deposit Amount]]-Table33[[#This Row],[Account Withdrawl Amount]], )</f>
        <v>0</v>
      </c>
      <c r="M140" s="243">
        <f>IF(Table33[[#This Row],[Category]]="Troop Dues",Table33[[#This Row],[Account Deposit Amount]]-Table33[[#This Row],[Account Withdrawl Amount]], )</f>
        <v>0</v>
      </c>
      <c r="N140" s="243">
        <f>IF(Table33[[#This Row],[Category]]="Other Income",Table33[[#This Row],[Account Deposit Amount]]-Table33[[#This Row],[Account Withdrawl Amount]], )</f>
        <v>0</v>
      </c>
      <c r="O140" s="243">
        <f>IF(Table33[[#This Row],[Category]]="Registration",Table33[[#This Row],[Account Deposit Amount]]-Table33[[#This Row],[Account Withdrawl Amount]], )</f>
        <v>0</v>
      </c>
      <c r="P140" s="243">
        <f>IF(Table33[[#This Row],[Category]]="Insignia",Table33[[#This Row],[Account Deposit Amount]]-Table33[[#This Row],[Account Withdrawl Amount]], )</f>
        <v>0</v>
      </c>
      <c r="Q140" s="243">
        <f>IF(Table33[[#This Row],[Category]]="Activities/Program",Table33[[#This Row],[Account Deposit Amount]]-Table33[[#This Row],[Account Withdrawl Amount]], )</f>
        <v>0</v>
      </c>
      <c r="R140" s="243">
        <f>IF(Table33[[#This Row],[Category]]="Travel",Table33[[#This Row],[Account Deposit Amount]]-Table33[[#This Row],[Account Withdrawl Amount]], )</f>
        <v>0</v>
      </c>
      <c r="S140" s="243">
        <f>IF(Table33[[#This Row],[Category]]="Parties Food &amp; Beverages",Table33[[#This Row],[Account Deposit Amount]]-Table33[[#This Row],[Account Withdrawl Amount]], )</f>
        <v>0</v>
      </c>
      <c r="T140" s="243">
        <f>IF(Table33[[#This Row],[Category]]="Service Projects Donation",Table33[[#This Row],[Account Deposit Amount]]-Table33[[#This Row],[Account Withdrawl Amount]], )</f>
        <v>0</v>
      </c>
      <c r="U140" s="243">
        <f>IF(Table33[[#This Row],[Category]]="Cookie Debt",Table33[[#This Row],[Account Deposit Amount]]-Table33[[#This Row],[Account Withdrawl Amount]], )</f>
        <v>0</v>
      </c>
      <c r="V140" s="243">
        <f>IF(Table33[[#This Row],[Category]]="Other Expense",Table33[[#This Row],[Account Deposit Amount]]-Table33[[#This Row],[Account Withdrawl Amount]], )</f>
        <v>0</v>
      </c>
    </row>
    <row r="141" spans="1:22">
      <c r="A141" s="225"/>
      <c r="B141" s="241"/>
      <c r="C141" s="244"/>
      <c r="D141" s="225"/>
      <c r="E141" s="242"/>
      <c r="F141" s="242"/>
      <c r="G141" s="243">
        <f t="shared" si="4"/>
        <v>0</v>
      </c>
      <c r="H141" s="225"/>
      <c r="I141" s="243">
        <f>IF(Table33[[#This Row],[Category]]="Fall Product",Table33[[#This Row],[Account Deposit Amount]]-Table33[[#This Row],[Account Withdrawl Amount]], )</f>
        <v>0</v>
      </c>
      <c r="J141" s="243">
        <f>IF(Table33[[#This Row],[Category]]="Cookies",Table33[[#This Row],[Account Deposit Amount]]-Table33[[#This Row],[Account Withdrawl Amount]], )</f>
        <v>0</v>
      </c>
      <c r="K141" s="243">
        <f>IF(Table33[[#This Row],[Category]]="Additional Money Earning Activities",Table33[[#This Row],[Account Deposit Amount]]-Table33[[#This Row],[Account Withdrawl Amount]], )</f>
        <v>0</v>
      </c>
      <c r="L141" s="243">
        <f>IF(Table33[[#This Row],[Category]]="Sponsorships",Table33[[#This Row],[Account Deposit Amount]]-Table33[[#This Row],[Account Withdrawl Amount]], )</f>
        <v>0</v>
      </c>
      <c r="M141" s="243">
        <f>IF(Table33[[#This Row],[Category]]="Troop Dues",Table33[[#This Row],[Account Deposit Amount]]-Table33[[#This Row],[Account Withdrawl Amount]], )</f>
        <v>0</v>
      </c>
      <c r="N141" s="243">
        <f>IF(Table33[[#This Row],[Category]]="Other Income",Table33[[#This Row],[Account Deposit Amount]]-Table33[[#This Row],[Account Withdrawl Amount]], )</f>
        <v>0</v>
      </c>
      <c r="O141" s="243">
        <f>IF(Table33[[#This Row],[Category]]="Registration",Table33[[#This Row],[Account Deposit Amount]]-Table33[[#This Row],[Account Withdrawl Amount]], )</f>
        <v>0</v>
      </c>
      <c r="P141" s="243">
        <f>IF(Table33[[#This Row],[Category]]="Insignia",Table33[[#This Row],[Account Deposit Amount]]-Table33[[#This Row],[Account Withdrawl Amount]], )</f>
        <v>0</v>
      </c>
      <c r="Q141" s="243">
        <f>IF(Table33[[#This Row],[Category]]="Activities/Program",Table33[[#This Row],[Account Deposit Amount]]-Table33[[#This Row],[Account Withdrawl Amount]], )</f>
        <v>0</v>
      </c>
      <c r="R141" s="243">
        <f>IF(Table33[[#This Row],[Category]]="Travel",Table33[[#This Row],[Account Deposit Amount]]-Table33[[#This Row],[Account Withdrawl Amount]], )</f>
        <v>0</v>
      </c>
      <c r="S141" s="243">
        <f>IF(Table33[[#This Row],[Category]]="Parties Food &amp; Beverages",Table33[[#This Row],[Account Deposit Amount]]-Table33[[#This Row],[Account Withdrawl Amount]], )</f>
        <v>0</v>
      </c>
      <c r="T141" s="243">
        <f>IF(Table33[[#This Row],[Category]]="Service Projects Donation",Table33[[#This Row],[Account Deposit Amount]]-Table33[[#This Row],[Account Withdrawl Amount]], )</f>
        <v>0</v>
      </c>
      <c r="U141" s="243">
        <f>IF(Table33[[#This Row],[Category]]="Cookie Debt",Table33[[#This Row],[Account Deposit Amount]]-Table33[[#This Row],[Account Withdrawl Amount]], )</f>
        <v>0</v>
      </c>
      <c r="V141" s="243">
        <f>IF(Table33[[#This Row],[Category]]="Other Expense",Table33[[#This Row],[Account Deposit Amount]]-Table33[[#This Row],[Account Withdrawl Amount]], )</f>
        <v>0</v>
      </c>
    </row>
    <row r="142" spans="1:22">
      <c r="A142" s="225"/>
      <c r="B142" s="241"/>
      <c r="C142" s="244"/>
      <c r="D142" s="225"/>
      <c r="E142" s="242"/>
      <c r="F142" s="242"/>
      <c r="G142" s="243">
        <f t="shared" si="4"/>
        <v>0</v>
      </c>
      <c r="H142" s="225"/>
      <c r="I142" s="243">
        <f>IF(Table33[[#This Row],[Category]]="Fall Product",Table33[[#This Row],[Account Deposit Amount]]-Table33[[#This Row],[Account Withdrawl Amount]], )</f>
        <v>0</v>
      </c>
      <c r="J142" s="243">
        <f>IF(Table33[[#This Row],[Category]]="Cookies",Table33[[#This Row],[Account Deposit Amount]]-Table33[[#This Row],[Account Withdrawl Amount]], )</f>
        <v>0</v>
      </c>
      <c r="K142" s="243">
        <f>IF(Table33[[#This Row],[Category]]="Additional Money Earning Activities",Table33[[#This Row],[Account Deposit Amount]]-Table33[[#This Row],[Account Withdrawl Amount]], )</f>
        <v>0</v>
      </c>
      <c r="L142" s="243">
        <f>IF(Table33[[#This Row],[Category]]="Sponsorships",Table33[[#This Row],[Account Deposit Amount]]-Table33[[#This Row],[Account Withdrawl Amount]], )</f>
        <v>0</v>
      </c>
      <c r="M142" s="243">
        <f>IF(Table33[[#This Row],[Category]]="Troop Dues",Table33[[#This Row],[Account Deposit Amount]]-Table33[[#This Row],[Account Withdrawl Amount]], )</f>
        <v>0</v>
      </c>
      <c r="N142" s="243">
        <f>IF(Table33[[#This Row],[Category]]="Other Income",Table33[[#This Row],[Account Deposit Amount]]-Table33[[#This Row],[Account Withdrawl Amount]], )</f>
        <v>0</v>
      </c>
      <c r="O142" s="243">
        <f>IF(Table33[[#This Row],[Category]]="Registration",Table33[[#This Row],[Account Deposit Amount]]-Table33[[#This Row],[Account Withdrawl Amount]], )</f>
        <v>0</v>
      </c>
      <c r="P142" s="243">
        <f>IF(Table33[[#This Row],[Category]]="Insignia",Table33[[#This Row],[Account Deposit Amount]]-Table33[[#This Row],[Account Withdrawl Amount]], )</f>
        <v>0</v>
      </c>
      <c r="Q142" s="243">
        <f>IF(Table33[[#This Row],[Category]]="Activities/Program",Table33[[#This Row],[Account Deposit Amount]]-Table33[[#This Row],[Account Withdrawl Amount]], )</f>
        <v>0</v>
      </c>
      <c r="R142" s="243">
        <f>IF(Table33[[#This Row],[Category]]="Travel",Table33[[#This Row],[Account Deposit Amount]]-Table33[[#This Row],[Account Withdrawl Amount]], )</f>
        <v>0</v>
      </c>
      <c r="S142" s="243">
        <f>IF(Table33[[#This Row],[Category]]="Parties Food &amp; Beverages",Table33[[#This Row],[Account Deposit Amount]]-Table33[[#This Row],[Account Withdrawl Amount]], )</f>
        <v>0</v>
      </c>
      <c r="T142" s="243">
        <f>IF(Table33[[#This Row],[Category]]="Service Projects Donation",Table33[[#This Row],[Account Deposit Amount]]-Table33[[#This Row],[Account Withdrawl Amount]], )</f>
        <v>0</v>
      </c>
      <c r="U142" s="243">
        <f>IF(Table33[[#This Row],[Category]]="Cookie Debt",Table33[[#This Row],[Account Deposit Amount]]-Table33[[#This Row],[Account Withdrawl Amount]], )</f>
        <v>0</v>
      </c>
      <c r="V142" s="243">
        <f>IF(Table33[[#This Row],[Category]]="Other Expense",Table33[[#This Row],[Account Deposit Amount]]-Table33[[#This Row],[Account Withdrawl Amount]], )</f>
        <v>0</v>
      </c>
    </row>
    <row r="143" spans="1:22">
      <c r="A143" s="225"/>
      <c r="B143" s="241"/>
      <c r="C143" s="244"/>
      <c r="D143" s="225"/>
      <c r="E143" s="242"/>
      <c r="F143" s="242"/>
      <c r="G143" s="243">
        <f t="shared" si="4"/>
        <v>0</v>
      </c>
      <c r="H143" s="225"/>
      <c r="I143" s="243">
        <f>IF(Table33[[#This Row],[Category]]="Fall Product",Table33[[#This Row],[Account Deposit Amount]]-Table33[[#This Row],[Account Withdrawl Amount]], )</f>
        <v>0</v>
      </c>
      <c r="J143" s="243">
        <f>IF(Table33[[#This Row],[Category]]="Cookies",Table33[[#This Row],[Account Deposit Amount]]-Table33[[#This Row],[Account Withdrawl Amount]], )</f>
        <v>0</v>
      </c>
      <c r="K143" s="243">
        <f>IF(Table33[[#This Row],[Category]]="Additional Money Earning Activities",Table33[[#This Row],[Account Deposit Amount]]-Table33[[#This Row],[Account Withdrawl Amount]], )</f>
        <v>0</v>
      </c>
      <c r="L143" s="243">
        <f>IF(Table33[[#This Row],[Category]]="Sponsorships",Table33[[#This Row],[Account Deposit Amount]]-Table33[[#This Row],[Account Withdrawl Amount]], )</f>
        <v>0</v>
      </c>
      <c r="M143" s="243">
        <f>IF(Table33[[#This Row],[Category]]="Troop Dues",Table33[[#This Row],[Account Deposit Amount]]-Table33[[#This Row],[Account Withdrawl Amount]], )</f>
        <v>0</v>
      </c>
      <c r="N143" s="243">
        <f>IF(Table33[[#This Row],[Category]]="Other Income",Table33[[#This Row],[Account Deposit Amount]]-Table33[[#This Row],[Account Withdrawl Amount]], )</f>
        <v>0</v>
      </c>
      <c r="O143" s="243">
        <f>IF(Table33[[#This Row],[Category]]="Registration",Table33[[#This Row],[Account Deposit Amount]]-Table33[[#This Row],[Account Withdrawl Amount]], )</f>
        <v>0</v>
      </c>
      <c r="P143" s="243">
        <f>IF(Table33[[#This Row],[Category]]="Insignia",Table33[[#This Row],[Account Deposit Amount]]-Table33[[#This Row],[Account Withdrawl Amount]], )</f>
        <v>0</v>
      </c>
      <c r="Q143" s="243">
        <f>IF(Table33[[#This Row],[Category]]="Activities/Program",Table33[[#This Row],[Account Deposit Amount]]-Table33[[#This Row],[Account Withdrawl Amount]], )</f>
        <v>0</v>
      </c>
      <c r="R143" s="243">
        <f>IF(Table33[[#This Row],[Category]]="Travel",Table33[[#This Row],[Account Deposit Amount]]-Table33[[#This Row],[Account Withdrawl Amount]], )</f>
        <v>0</v>
      </c>
      <c r="S143" s="243">
        <f>IF(Table33[[#This Row],[Category]]="Parties Food &amp; Beverages",Table33[[#This Row],[Account Deposit Amount]]-Table33[[#This Row],[Account Withdrawl Amount]], )</f>
        <v>0</v>
      </c>
      <c r="T143" s="243">
        <f>IF(Table33[[#This Row],[Category]]="Service Projects Donation",Table33[[#This Row],[Account Deposit Amount]]-Table33[[#This Row],[Account Withdrawl Amount]], )</f>
        <v>0</v>
      </c>
      <c r="U143" s="243">
        <f>IF(Table33[[#This Row],[Category]]="Cookie Debt",Table33[[#This Row],[Account Deposit Amount]]-Table33[[#This Row],[Account Withdrawl Amount]], )</f>
        <v>0</v>
      </c>
      <c r="V143" s="243">
        <f>IF(Table33[[#This Row],[Category]]="Other Expense",Table33[[#This Row],[Account Deposit Amount]]-Table33[[#This Row],[Account Withdrawl Amount]], )</f>
        <v>0</v>
      </c>
    </row>
    <row r="144" spans="1:22">
      <c r="A144" s="225"/>
      <c r="B144" s="241"/>
      <c r="C144" s="244"/>
      <c r="D144" s="225"/>
      <c r="E144" s="242"/>
      <c r="F144" s="242"/>
      <c r="G144" s="243">
        <f t="shared" si="4"/>
        <v>0</v>
      </c>
      <c r="H144" s="225"/>
      <c r="I144" s="243">
        <f>IF(Table33[[#This Row],[Category]]="Fall Product",Table33[[#This Row],[Account Deposit Amount]]-Table33[[#This Row],[Account Withdrawl Amount]], )</f>
        <v>0</v>
      </c>
      <c r="J144" s="243">
        <f>IF(Table33[[#This Row],[Category]]="Cookies",Table33[[#This Row],[Account Deposit Amount]]-Table33[[#This Row],[Account Withdrawl Amount]], )</f>
        <v>0</v>
      </c>
      <c r="K144" s="243">
        <f>IF(Table33[[#This Row],[Category]]="Additional Money Earning Activities",Table33[[#This Row],[Account Deposit Amount]]-Table33[[#This Row],[Account Withdrawl Amount]], )</f>
        <v>0</v>
      </c>
      <c r="L144" s="243">
        <f>IF(Table33[[#This Row],[Category]]="Sponsorships",Table33[[#This Row],[Account Deposit Amount]]-Table33[[#This Row],[Account Withdrawl Amount]], )</f>
        <v>0</v>
      </c>
      <c r="M144" s="243">
        <f>IF(Table33[[#This Row],[Category]]="Troop Dues",Table33[[#This Row],[Account Deposit Amount]]-Table33[[#This Row],[Account Withdrawl Amount]], )</f>
        <v>0</v>
      </c>
      <c r="N144" s="243">
        <f>IF(Table33[[#This Row],[Category]]="Other Income",Table33[[#This Row],[Account Deposit Amount]]-Table33[[#This Row],[Account Withdrawl Amount]], )</f>
        <v>0</v>
      </c>
      <c r="O144" s="243">
        <f>IF(Table33[[#This Row],[Category]]="Registration",Table33[[#This Row],[Account Deposit Amount]]-Table33[[#This Row],[Account Withdrawl Amount]], )</f>
        <v>0</v>
      </c>
      <c r="P144" s="243">
        <f>IF(Table33[[#This Row],[Category]]="Insignia",Table33[[#This Row],[Account Deposit Amount]]-Table33[[#This Row],[Account Withdrawl Amount]], )</f>
        <v>0</v>
      </c>
      <c r="Q144" s="243">
        <f>IF(Table33[[#This Row],[Category]]="Activities/Program",Table33[[#This Row],[Account Deposit Amount]]-Table33[[#This Row],[Account Withdrawl Amount]], )</f>
        <v>0</v>
      </c>
      <c r="R144" s="243">
        <f>IF(Table33[[#This Row],[Category]]="Travel",Table33[[#This Row],[Account Deposit Amount]]-Table33[[#This Row],[Account Withdrawl Amount]], )</f>
        <v>0</v>
      </c>
      <c r="S144" s="243">
        <f>IF(Table33[[#This Row],[Category]]="Parties Food &amp; Beverages",Table33[[#This Row],[Account Deposit Amount]]-Table33[[#This Row],[Account Withdrawl Amount]], )</f>
        <v>0</v>
      </c>
      <c r="T144" s="243">
        <f>IF(Table33[[#This Row],[Category]]="Service Projects Donation",Table33[[#This Row],[Account Deposit Amount]]-Table33[[#This Row],[Account Withdrawl Amount]], )</f>
        <v>0</v>
      </c>
      <c r="U144" s="243">
        <f>IF(Table33[[#This Row],[Category]]="Cookie Debt",Table33[[#This Row],[Account Deposit Amount]]-Table33[[#This Row],[Account Withdrawl Amount]], )</f>
        <v>0</v>
      </c>
      <c r="V144" s="243">
        <f>IF(Table33[[#This Row],[Category]]="Other Expense",Table33[[#This Row],[Account Deposit Amount]]-Table33[[#This Row],[Account Withdrawl Amount]], )</f>
        <v>0</v>
      </c>
    </row>
    <row r="145" spans="1:22">
      <c r="A145" s="225"/>
      <c r="B145" s="241"/>
      <c r="C145" s="244"/>
      <c r="D145" s="225"/>
      <c r="E145" s="242"/>
      <c r="F145" s="242"/>
      <c r="G145" s="243">
        <f t="shared" si="4"/>
        <v>0</v>
      </c>
      <c r="H145" s="225"/>
      <c r="I145" s="243">
        <f>IF(Table33[[#This Row],[Category]]="Fall Product",Table33[[#This Row],[Account Deposit Amount]]-Table33[[#This Row],[Account Withdrawl Amount]], )</f>
        <v>0</v>
      </c>
      <c r="J145" s="243">
        <f>IF(Table33[[#This Row],[Category]]="Cookies",Table33[[#This Row],[Account Deposit Amount]]-Table33[[#This Row],[Account Withdrawl Amount]], )</f>
        <v>0</v>
      </c>
      <c r="K145" s="243">
        <f>IF(Table33[[#This Row],[Category]]="Additional Money Earning Activities",Table33[[#This Row],[Account Deposit Amount]]-Table33[[#This Row],[Account Withdrawl Amount]], )</f>
        <v>0</v>
      </c>
      <c r="L145" s="243">
        <f>IF(Table33[[#This Row],[Category]]="Sponsorships",Table33[[#This Row],[Account Deposit Amount]]-Table33[[#This Row],[Account Withdrawl Amount]], )</f>
        <v>0</v>
      </c>
      <c r="M145" s="243">
        <f>IF(Table33[[#This Row],[Category]]="Troop Dues",Table33[[#This Row],[Account Deposit Amount]]-Table33[[#This Row],[Account Withdrawl Amount]], )</f>
        <v>0</v>
      </c>
      <c r="N145" s="243">
        <f>IF(Table33[[#This Row],[Category]]="Other Income",Table33[[#This Row],[Account Deposit Amount]]-Table33[[#This Row],[Account Withdrawl Amount]], )</f>
        <v>0</v>
      </c>
      <c r="O145" s="243">
        <f>IF(Table33[[#This Row],[Category]]="Registration",Table33[[#This Row],[Account Deposit Amount]]-Table33[[#This Row],[Account Withdrawl Amount]], )</f>
        <v>0</v>
      </c>
      <c r="P145" s="243">
        <f>IF(Table33[[#This Row],[Category]]="Insignia",Table33[[#This Row],[Account Deposit Amount]]-Table33[[#This Row],[Account Withdrawl Amount]], )</f>
        <v>0</v>
      </c>
      <c r="Q145" s="243">
        <f>IF(Table33[[#This Row],[Category]]="Activities/Program",Table33[[#This Row],[Account Deposit Amount]]-Table33[[#This Row],[Account Withdrawl Amount]], )</f>
        <v>0</v>
      </c>
      <c r="R145" s="243">
        <f>IF(Table33[[#This Row],[Category]]="Travel",Table33[[#This Row],[Account Deposit Amount]]-Table33[[#This Row],[Account Withdrawl Amount]], )</f>
        <v>0</v>
      </c>
      <c r="S145" s="243">
        <f>IF(Table33[[#This Row],[Category]]="Parties Food &amp; Beverages",Table33[[#This Row],[Account Deposit Amount]]-Table33[[#This Row],[Account Withdrawl Amount]], )</f>
        <v>0</v>
      </c>
      <c r="T145" s="243">
        <f>IF(Table33[[#This Row],[Category]]="Service Projects Donation",Table33[[#This Row],[Account Deposit Amount]]-Table33[[#This Row],[Account Withdrawl Amount]], )</f>
        <v>0</v>
      </c>
      <c r="U145" s="243">
        <f>IF(Table33[[#This Row],[Category]]="Cookie Debt",Table33[[#This Row],[Account Deposit Amount]]-Table33[[#This Row],[Account Withdrawl Amount]], )</f>
        <v>0</v>
      </c>
      <c r="V145" s="243">
        <f>IF(Table33[[#This Row],[Category]]="Other Expense",Table33[[#This Row],[Account Deposit Amount]]-Table33[[#This Row],[Account Withdrawl Amount]], )</f>
        <v>0</v>
      </c>
    </row>
    <row r="146" spans="1:22">
      <c r="A146" s="225"/>
      <c r="B146" s="241"/>
      <c r="C146" s="244"/>
      <c r="D146" s="225"/>
      <c r="E146" s="242"/>
      <c r="F146" s="242"/>
      <c r="G146" s="243">
        <f t="shared" si="4"/>
        <v>0</v>
      </c>
      <c r="H146" s="225"/>
      <c r="I146" s="243">
        <f>IF(Table33[[#This Row],[Category]]="Fall Product",Table33[[#This Row],[Account Deposit Amount]]-Table33[[#This Row],[Account Withdrawl Amount]], )</f>
        <v>0</v>
      </c>
      <c r="J146" s="243">
        <f>IF(Table33[[#This Row],[Category]]="Cookies",Table33[[#This Row],[Account Deposit Amount]]-Table33[[#This Row],[Account Withdrawl Amount]], )</f>
        <v>0</v>
      </c>
      <c r="K146" s="243">
        <f>IF(Table33[[#This Row],[Category]]="Additional Money Earning Activities",Table33[[#This Row],[Account Deposit Amount]]-Table33[[#This Row],[Account Withdrawl Amount]], )</f>
        <v>0</v>
      </c>
      <c r="L146" s="243">
        <f>IF(Table33[[#This Row],[Category]]="Sponsorships",Table33[[#This Row],[Account Deposit Amount]]-Table33[[#This Row],[Account Withdrawl Amount]], )</f>
        <v>0</v>
      </c>
      <c r="M146" s="243">
        <f>IF(Table33[[#This Row],[Category]]="Troop Dues",Table33[[#This Row],[Account Deposit Amount]]-Table33[[#This Row],[Account Withdrawl Amount]], )</f>
        <v>0</v>
      </c>
      <c r="N146" s="243">
        <f>IF(Table33[[#This Row],[Category]]="Other Income",Table33[[#This Row],[Account Deposit Amount]]-Table33[[#This Row],[Account Withdrawl Amount]], )</f>
        <v>0</v>
      </c>
      <c r="O146" s="243">
        <f>IF(Table33[[#This Row],[Category]]="Registration",Table33[[#This Row],[Account Deposit Amount]]-Table33[[#This Row],[Account Withdrawl Amount]], )</f>
        <v>0</v>
      </c>
      <c r="P146" s="243">
        <f>IF(Table33[[#This Row],[Category]]="Insignia",Table33[[#This Row],[Account Deposit Amount]]-Table33[[#This Row],[Account Withdrawl Amount]], )</f>
        <v>0</v>
      </c>
      <c r="Q146" s="243">
        <f>IF(Table33[[#This Row],[Category]]="Activities/Program",Table33[[#This Row],[Account Deposit Amount]]-Table33[[#This Row],[Account Withdrawl Amount]], )</f>
        <v>0</v>
      </c>
      <c r="R146" s="243">
        <f>IF(Table33[[#This Row],[Category]]="Travel",Table33[[#This Row],[Account Deposit Amount]]-Table33[[#This Row],[Account Withdrawl Amount]], )</f>
        <v>0</v>
      </c>
      <c r="S146" s="243">
        <f>IF(Table33[[#This Row],[Category]]="Parties Food &amp; Beverages",Table33[[#This Row],[Account Deposit Amount]]-Table33[[#This Row],[Account Withdrawl Amount]], )</f>
        <v>0</v>
      </c>
      <c r="T146" s="243">
        <f>IF(Table33[[#This Row],[Category]]="Service Projects Donation",Table33[[#This Row],[Account Deposit Amount]]-Table33[[#This Row],[Account Withdrawl Amount]], )</f>
        <v>0</v>
      </c>
      <c r="U146" s="243">
        <f>IF(Table33[[#This Row],[Category]]="Cookie Debt",Table33[[#This Row],[Account Deposit Amount]]-Table33[[#This Row],[Account Withdrawl Amount]], )</f>
        <v>0</v>
      </c>
      <c r="V146" s="243">
        <f>IF(Table33[[#This Row],[Category]]="Other Expense",Table33[[#This Row],[Account Deposit Amount]]-Table33[[#This Row],[Account Withdrawl Amount]], )</f>
        <v>0</v>
      </c>
    </row>
    <row r="147" spans="1:22">
      <c r="A147" s="225"/>
      <c r="B147" s="241"/>
      <c r="C147" s="244"/>
      <c r="D147" s="225"/>
      <c r="E147" s="242"/>
      <c r="F147" s="242"/>
      <c r="G147" s="243">
        <f t="shared" si="4"/>
        <v>0</v>
      </c>
      <c r="H147" s="225"/>
      <c r="I147" s="243">
        <f>IF(Table33[[#This Row],[Category]]="Fall Product",Table33[[#This Row],[Account Deposit Amount]]-Table33[[#This Row],[Account Withdrawl Amount]], )</f>
        <v>0</v>
      </c>
      <c r="J147" s="243">
        <f>IF(Table33[[#This Row],[Category]]="Cookies",Table33[[#This Row],[Account Deposit Amount]]-Table33[[#This Row],[Account Withdrawl Amount]], )</f>
        <v>0</v>
      </c>
      <c r="K147" s="243">
        <f>IF(Table33[[#This Row],[Category]]="Additional Money Earning Activities",Table33[[#This Row],[Account Deposit Amount]]-Table33[[#This Row],[Account Withdrawl Amount]], )</f>
        <v>0</v>
      </c>
      <c r="L147" s="243">
        <f>IF(Table33[[#This Row],[Category]]="Sponsorships",Table33[[#This Row],[Account Deposit Amount]]-Table33[[#This Row],[Account Withdrawl Amount]], )</f>
        <v>0</v>
      </c>
      <c r="M147" s="243">
        <f>IF(Table33[[#This Row],[Category]]="Troop Dues",Table33[[#This Row],[Account Deposit Amount]]-Table33[[#This Row],[Account Withdrawl Amount]], )</f>
        <v>0</v>
      </c>
      <c r="N147" s="243">
        <f>IF(Table33[[#This Row],[Category]]="Other Income",Table33[[#This Row],[Account Deposit Amount]]-Table33[[#This Row],[Account Withdrawl Amount]], )</f>
        <v>0</v>
      </c>
      <c r="O147" s="243">
        <f>IF(Table33[[#This Row],[Category]]="Registration",Table33[[#This Row],[Account Deposit Amount]]-Table33[[#This Row],[Account Withdrawl Amount]], )</f>
        <v>0</v>
      </c>
      <c r="P147" s="243">
        <f>IF(Table33[[#This Row],[Category]]="Insignia",Table33[[#This Row],[Account Deposit Amount]]-Table33[[#This Row],[Account Withdrawl Amount]], )</f>
        <v>0</v>
      </c>
      <c r="Q147" s="243">
        <f>IF(Table33[[#This Row],[Category]]="Activities/Program",Table33[[#This Row],[Account Deposit Amount]]-Table33[[#This Row],[Account Withdrawl Amount]], )</f>
        <v>0</v>
      </c>
      <c r="R147" s="243">
        <f>IF(Table33[[#This Row],[Category]]="Travel",Table33[[#This Row],[Account Deposit Amount]]-Table33[[#This Row],[Account Withdrawl Amount]], )</f>
        <v>0</v>
      </c>
      <c r="S147" s="243">
        <f>IF(Table33[[#This Row],[Category]]="Parties Food &amp; Beverages",Table33[[#This Row],[Account Deposit Amount]]-Table33[[#This Row],[Account Withdrawl Amount]], )</f>
        <v>0</v>
      </c>
      <c r="T147" s="243">
        <f>IF(Table33[[#This Row],[Category]]="Service Projects Donation",Table33[[#This Row],[Account Deposit Amount]]-Table33[[#This Row],[Account Withdrawl Amount]], )</f>
        <v>0</v>
      </c>
      <c r="U147" s="243">
        <f>IF(Table33[[#This Row],[Category]]="Cookie Debt",Table33[[#This Row],[Account Deposit Amount]]-Table33[[#This Row],[Account Withdrawl Amount]], )</f>
        <v>0</v>
      </c>
      <c r="V147" s="243">
        <f>IF(Table33[[#This Row],[Category]]="Other Expense",Table33[[#This Row],[Account Deposit Amount]]-Table33[[#This Row],[Account Withdrawl Amount]], )</f>
        <v>0</v>
      </c>
    </row>
    <row r="148" spans="1:22">
      <c r="A148" s="225"/>
      <c r="B148" s="241"/>
      <c r="C148" s="244"/>
      <c r="D148" s="225"/>
      <c r="E148" s="242"/>
      <c r="F148" s="242"/>
      <c r="G148" s="243">
        <f t="shared" si="4"/>
        <v>0</v>
      </c>
      <c r="H148" s="225"/>
      <c r="I148" s="243">
        <f>IF(Table33[[#This Row],[Category]]="Fall Product",Table33[[#This Row],[Account Deposit Amount]]-Table33[[#This Row],[Account Withdrawl Amount]], )</f>
        <v>0</v>
      </c>
      <c r="J148" s="243">
        <f>IF(Table33[[#This Row],[Category]]="Cookies",Table33[[#This Row],[Account Deposit Amount]]-Table33[[#This Row],[Account Withdrawl Amount]], )</f>
        <v>0</v>
      </c>
      <c r="K148" s="243">
        <f>IF(Table33[[#This Row],[Category]]="Additional Money Earning Activities",Table33[[#This Row],[Account Deposit Amount]]-Table33[[#This Row],[Account Withdrawl Amount]], )</f>
        <v>0</v>
      </c>
      <c r="L148" s="243">
        <f>IF(Table33[[#This Row],[Category]]="Sponsorships",Table33[[#This Row],[Account Deposit Amount]]-Table33[[#This Row],[Account Withdrawl Amount]], )</f>
        <v>0</v>
      </c>
      <c r="M148" s="243">
        <f>IF(Table33[[#This Row],[Category]]="Troop Dues",Table33[[#This Row],[Account Deposit Amount]]-Table33[[#This Row],[Account Withdrawl Amount]], )</f>
        <v>0</v>
      </c>
      <c r="N148" s="243">
        <f>IF(Table33[[#This Row],[Category]]="Other Income",Table33[[#This Row],[Account Deposit Amount]]-Table33[[#This Row],[Account Withdrawl Amount]], )</f>
        <v>0</v>
      </c>
      <c r="O148" s="243">
        <f>IF(Table33[[#This Row],[Category]]="Registration",Table33[[#This Row],[Account Deposit Amount]]-Table33[[#This Row],[Account Withdrawl Amount]], )</f>
        <v>0</v>
      </c>
      <c r="P148" s="243">
        <f>IF(Table33[[#This Row],[Category]]="Insignia",Table33[[#This Row],[Account Deposit Amount]]-Table33[[#This Row],[Account Withdrawl Amount]], )</f>
        <v>0</v>
      </c>
      <c r="Q148" s="243">
        <f>IF(Table33[[#This Row],[Category]]="Activities/Program",Table33[[#This Row],[Account Deposit Amount]]-Table33[[#This Row],[Account Withdrawl Amount]], )</f>
        <v>0</v>
      </c>
      <c r="R148" s="243">
        <f>IF(Table33[[#This Row],[Category]]="Travel",Table33[[#This Row],[Account Deposit Amount]]-Table33[[#This Row],[Account Withdrawl Amount]], )</f>
        <v>0</v>
      </c>
      <c r="S148" s="243">
        <f>IF(Table33[[#This Row],[Category]]="Parties Food &amp; Beverages",Table33[[#This Row],[Account Deposit Amount]]-Table33[[#This Row],[Account Withdrawl Amount]], )</f>
        <v>0</v>
      </c>
      <c r="T148" s="243">
        <f>IF(Table33[[#This Row],[Category]]="Service Projects Donation",Table33[[#This Row],[Account Deposit Amount]]-Table33[[#This Row],[Account Withdrawl Amount]], )</f>
        <v>0</v>
      </c>
      <c r="U148" s="243">
        <f>IF(Table33[[#This Row],[Category]]="Cookie Debt",Table33[[#This Row],[Account Deposit Amount]]-Table33[[#This Row],[Account Withdrawl Amount]], )</f>
        <v>0</v>
      </c>
      <c r="V148" s="243">
        <f>IF(Table33[[#This Row],[Category]]="Other Expense",Table33[[#This Row],[Account Deposit Amount]]-Table33[[#This Row],[Account Withdrawl Amount]], )</f>
        <v>0</v>
      </c>
    </row>
    <row r="149" spans="1:22">
      <c r="A149" s="225"/>
      <c r="B149" s="241"/>
      <c r="C149" s="244"/>
      <c r="D149" s="225"/>
      <c r="E149" s="242"/>
      <c r="F149" s="242"/>
      <c r="G149" s="243">
        <f t="shared" si="4"/>
        <v>0</v>
      </c>
      <c r="H149" s="225"/>
      <c r="I149" s="243">
        <f>IF(Table33[[#This Row],[Category]]="Fall Product",Table33[[#This Row],[Account Deposit Amount]]-Table33[[#This Row],[Account Withdrawl Amount]], )</f>
        <v>0</v>
      </c>
      <c r="J149" s="243">
        <f>IF(Table33[[#This Row],[Category]]="Cookies",Table33[[#This Row],[Account Deposit Amount]]-Table33[[#This Row],[Account Withdrawl Amount]], )</f>
        <v>0</v>
      </c>
      <c r="K149" s="243">
        <f>IF(Table33[[#This Row],[Category]]="Additional Money Earning Activities",Table33[[#This Row],[Account Deposit Amount]]-Table33[[#This Row],[Account Withdrawl Amount]], )</f>
        <v>0</v>
      </c>
      <c r="L149" s="243">
        <f>IF(Table33[[#This Row],[Category]]="Sponsorships",Table33[[#This Row],[Account Deposit Amount]]-Table33[[#This Row],[Account Withdrawl Amount]], )</f>
        <v>0</v>
      </c>
      <c r="M149" s="243">
        <f>IF(Table33[[#This Row],[Category]]="Troop Dues",Table33[[#This Row],[Account Deposit Amount]]-Table33[[#This Row],[Account Withdrawl Amount]], )</f>
        <v>0</v>
      </c>
      <c r="N149" s="243">
        <f>IF(Table33[[#This Row],[Category]]="Other Income",Table33[[#This Row],[Account Deposit Amount]]-Table33[[#This Row],[Account Withdrawl Amount]], )</f>
        <v>0</v>
      </c>
      <c r="O149" s="243">
        <f>IF(Table33[[#This Row],[Category]]="Registration",Table33[[#This Row],[Account Deposit Amount]]-Table33[[#This Row],[Account Withdrawl Amount]], )</f>
        <v>0</v>
      </c>
      <c r="P149" s="243">
        <f>IF(Table33[[#This Row],[Category]]="Insignia",Table33[[#This Row],[Account Deposit Amount]]-Table33[[#This Row],[Account Withdrawl Amount]], )</f>
        <v>0</v>
      </c>
      <c r="Q149" s="243">
        <f>IF(Table33[[#This Row],[Category]]="Activities/Program",Table33[[#This Row],[Account Deposit Amount]]-Table33[[#This Row],[Account Withdrawl Amount]], )</f>
        <v>0</v>
      </c>
      <c r="R149" s="243">
        <f>IF(Table33[[#This Row],[Category]]="Travel",Table33[[#This Row],[Account Deposit Amount]]-Table33[[#This Row],[Account Withdrawl Amount]], )</f>
        <v>0</v>
      </c>
      <c r="S149" s="243">
        <f>IF(Table33[[#This Row],[Category]]="Parties Food &amp; Beverages",Table33[[#This Row],[Account Deposit Amount]]-Table33[[#This Row],[Account Withdrawl Amount]], )</f>
        <v>0</v>
      </c>
      <c r="T149" s="243">
        <f>IF(Table33[[#This Row],[Category]]="Service Projects Donation",Table33[[#This Row],[Account Deposit Amount]]-Table33[[#This Row],[Account Withdrawl Amount]], )</f>
        <v>0</v>
      </c>
      <c r="U149" s="243">
        <f>IF(Table33[[#This Row],[Category]]="Cookie Debt",Table33[[#This Row],[Account Deposit Amount]]-Table33[[#This Row],[Account Withdrawl Amount]], )</f>
        <v>0</v>
      </c>
      <c r="V149" s="243">
        <f>IF(Table33[[#This Row],[Category]]="Other Expense",Table33[[#This Row],[Account Deposit Amount]]-Table33[[#This Row],[Account Withdrawl Amount]], )</f>
        <v>0</v>
      </c>
    </row>
    <row r="150" spans="1:22">
      <c r="A150" s="225"/>
      <c r="B150" s="241"/>
      <c r="C150" s="244"/>
      <c r="D150" s="225"/>
      <c r="E150" s="242"/>
      <c r="F150" s="242"/>
      <c r="G150" s="243">
        <f t="shared" si="4"/>
        <v>0</v>
      </c>
      <c r="H150" s="225"/>
      <c r="I150" s="243">
        <f>IF(Table33[[#This Row],[Category]]="Fall Product",Table33[[#This Row],[Account Deposit Amount]]-Table33[[#This Row],[Account Withdrawl Amount]], )</f>
        <v>0</v>
      </c>
      <c r="J150" s="243">
        <f>IF(Table33[[#This Row],[Category]]="Cookies",Table33[[#This Row],[Account Deposit Amount]]-Table33[[#This Row],[Account Withdrawl Amount]], )</f>
        <v>0</v>
      </c>
      <c r="K150" s="243">
        <f>IF(Table33[[#This Row],[Category]]="Additional Money Earning Activities",Table33[[#This Row],[Account Deposit Amount]]-Table33[[#This Row],[Account Withdrawl Amount]], )</f>
        <v>0</v>
      </c>
      <c r="L150" s="243">
        <f>IF(Table33[[#This Row],[Category]]="Sponsorships",Table33[[#This Row],[Account Deposit Amount]]-Table33[[#This Row],[Account Withdrawl Amount]], )</f>
        <v>0</v>
      </c>
      <c r="M150" s="243">
        <f>IF(Table33[[#This Row],[Category]]="Troop Dues",Table33[[#This Row],[Account Deposit Amount]]-Table33[[#This Row],[Account Withdrawl Amount]], )</f>
        <v>0</v>
      </c>
      <c r="N150" s="243">
        <f>IF(Table33[[#This Row],[Category]]="Other Income",Table33[[#This Row],[Account Deposit Amount]]-Table33[[#This Row],[Account Withdrawl Amount]], )</f>
        <v>0</v>
      </c>
      <c r="O150" s="243">
        <f>IF(Table33[[#This Row],[Category]]="Registration",Table33[[#This Row],[Account Deposit Amount]]-Table33[[#This Row],[Account Withdrawl Amount]], )</f>
        <v>0</v>
      </c>
      <c r="P150" s="243">
        <f>IF(Table33[[#This Row],[Category]]="Insignia",Table33[[#This Row],[Account Deposit Amount]]-Table33[[#This Row],[Account Withdrawl Amount]], )</f>
        <v>0</v>
      </c>
      <c r="Q150" s="243">
        <f>IF(Table33[[#This Row],[Category]]="Activities/Program",Table33[[#This Row],[Account Deposit Amount]]-Table33[[#This Row],[Account Withdrawl Amount]], )</f>
        <v>0</v>
      </c>
      <c r="R150" s="243">
        <f>IF(Table33[[#This Row],[Category]]="Travel",Table33[[#This Row],[Account Deposit Amount]]-Table33[[#This Row],[Account Withdrawl Amount]], )</f>
        <v>0</v>
      </c>
      <c r="S150" s="243">
        <f>IF(Table33[[#This Row],[Category]]="Parties Food &amp; Beverages",Table33[[#This Row],[Account Deposit Amount]]-Table33[[#This Row],[Account Withdrawl Amount]], )</f>
        <v>0</v>
      </c>
      <c r="T150" s="243">
        <f>IF(Table33[[#This Row],[Category]]="Service Projects Donation",Table33[[#This Row],[Account Deposit Amount]]-Table33[[#This Row],[Account Withdrawl Amount]], )</f>
        <v>0</v>
      </c>
      <c r="U150" s="243">
        <f>IF(Table33[[#This Row],[Category]]="Cookie Debt",Table33[[#This Row],[Account Deposit Amount]]-Table33[[#This Row],[Account Withdrawl Amount]], )</f>
        <v>0</v>
      </c>
      <c r="V150" s="243">
        <f>IF(Table33[[#This Row],[Category]]="Other Expense",Table33[[#This Row],[Account Deposit Amount]]-Table33[[#This Row],[Account Withdrawl Amount]], )</f>
        <v>0</v>
      </c>
    </row>
    <row r="151" spans="1:22">
      <c r="A151" s="225"/>
      <c r="B151" s="241"/>
      <c r="C151" s="244"/>
      <c r="D151" s="225"/>
      <c r="E151" s="242"/>
      <c r="F151" s="242"/>
      <c r="G151" s="243">
        <f t="shared" si="4"/>
        <v>0</v>
      </c>
      <c r="H151" s="225"/>
      <c r="I151" s="243">
        <f>IF(Table33[[#This Row],[Category]]="Fall Product",Table33[[#This Row],[Account Deposit Amount]]-Table33[[#This Row],[Account Withdrawl Amount]], )</f>
        <v>0</v>
      </c>
      <c r="J151" s="243">
        <f>IF(Table33[[#This Row],[Category]]="Cookies",Table33[[#This Row],[Account Deposit Amount]]-Table33[[#This Row],[Account Withdrawl Amount]], )</f>
        <v>0</v>
      </c>
      <c r="K151" s="243">
        <f>IF(Table33[[#This Row],[Category]]="Additional Money Earning Activities",Table33[[#This Row],[Account Deposit Amount]]-Table33[[#This Row],[Account Withdrawl Amount]], )</f>
        <v>0</v>
      </c>
      <c r="L151" s="243">
        <f>IF(Table33[[#This Row],[Category]]="Sponsorships",Table33[[#This Row],[Account Deposit Amount]]-Table33[[#This Row],[Account Withdrawl Amount]], )</f>
        <v>0</v>
      </c>
      <c r="M151" s="243">
        <f>IF(Table33[[#This Row],[Category]]="Troop Dues",Table33[[#This Row],[Account Deposit Amount]]-Table33[[#This Row],[Account Withdrawl Amount]], )</f>
        <v>0</v>
      </c>
      <c r="N151" s="243">
        <f>IF(Table33[[#This Row],[Category]]="Other Income",Table33[[#This Row],[Account Deposit Amount]]-Table33[[#This Row],[Account Withdrawl Amount]], )</f>
        <v>0</v>
      </c>
      <c r="O151" s="243">
        <f>IF(Table33[[#This Row],[Category]]="Registration",Table33[[#This Row],[Account Deposit Amount]]-Table33[[#This Row],[Account Withdrawl Amount]], )</f>
        <v>0</v>
      </c>
      <c r="P151" s="243">
        <f>IF(Table33[[#This Row],[Category]]="Insignia",Table33[[#This Row],[Account Deposit Amount]]-Table33[[#This Row],[Account Withdrawl Amount]], )</f>
        <v>0</v>
      </c>
      <c r="Q151" s="243">
        <f>IF(Table33[[#This Row],[Category]]="Activities/Program",Table33[[#This Row],[Account Deposit Amount]]-Table33[[#This Row],[Account Withdrawl Amount]], )</f>
        <v>0</v>
      </c>
      <c r="R151" s="243">
        <f>IF(Table33[[#This Row],[Category]]="Travel",Table33[[#This Row],[Account Deposit Amount]]-Table33[[#This Row],[Account Withdrawl Amount]], )</f>
        <v>0</v>
      </c>
      <c r="S151" s="243">
        <f>IF(Table33[[#This Row],[Category]]="Parties Food &amp; Beverages",Table33[[#This Row],[Account Deposit Amount]]-Table33[[#This Row],[Account Withdrawl Amount]], )</f>
        <v>0</v>
      </c>
      <c r="T151" s="243">
        <f>IF(Table33[[#This Row],[Category]]="Service Projects Donation",Table33[[#This Row],[Account Deposit Amount]]-Table33[[#This Row],[Account Withdrawl Amount]], )</f>
        <v>0</v>
      </c>
      <c r="U151" s="243">
        <f>IF(Table33[[#This Row],[Category]]="Cookie Debt",Table33[[#This Row],[Account Deposit Amount]]-Table33[[#This Row],[Account Withdrawl Amount]], )</f>
        <v>0</v>
      </c>
      <c r="V151" s="243">
        <f>IF(Table33[[#This Row],[Category]]="Other Expense",Table33[[#This Row],[Account Deposit Amount]]-Table33[[#This Row],[Account Withdrawl Amount]], )</f>
        <v>0</v>
      </c>
    </row>
    <row r="152" spans="1:22">
      <c r="A152" s="225"/>
      <c r="B152" s="241"/>
      <c r="C152" s="244"/>
      <c r="D152" s="225"/>
      <c r="E152" s="242"/>
      <c r="F152" s="242"/>
      <c r="G152" s="243">
        <f t="shared" si="4"/>
        <v>0</v>
      </c>
      <c r="H152" s="225"/>
      <c r="I152" s="243">
        <f>IF(Table33[[#This Row],[Category]]="Fall Product",Table33[[#This Row],[Account Deposit Amount]]-Table33[[#This Row],[Account Withdrawl Amount]], )</f>
        <v>0</v>
      </c>
      <c r="J152" s="243">
        <f>IF(Table33[[#This Row],[Category]]="Cookies",Table33[[#This Row],[Account Deposit Amount]]-Table33[[#This Row],[Account Withdrawl Amount]], )</f>
        <v>0</v>
      </c>
      <c r="K152" s="243">
        <f>IF(Table33[[#This Row],[Category]]="Additional Money Earning Activities",Table33[[#This Row],[Account Deposit Amount]]-Table33[[#This Row],[Account Withdrawl Amount]], )</f>
        <v>0</v>
      </c>
      <c r="L152" s="243">
        <f>IF(Table33[[#This Row],[Category]]="Sponsorships",Table33[[#This Row],[Account Deposit Amount]]-Table33[[#This Row],[Account Withdrawl Amount]], )</f>
        <v>0</v>
      </c>
      <c r="M152" s="243">
        <f>IF(Table33[[#This Row],[Category]]="Troop Dues",Table33[[#This Row],[Account Deposit Amount]]-Table33[[#This Row],[Account Withdrawl Amount]], )</f>
        <v>0</v>
      </c>
      <c r="N152" s="243">
        <f>IF(Table33[[#This Row],[Category]]="Other Income",Table33[[#This Row],[Account Deposit Amount]]-Table33[[#This Row],[Account Withdrawl Amount]], )</f>
        <v>0</v>
      </c>
      <c r="O152" s="243">
        <f>IF(Table33[[#This Row],[Category]]="Registration",Table33[[#This Row],[Account Deposit Amount]]-Table33[[#This Row],[Account Withdrawl Amount]], )</f>
        <v>0</v>
      </c>
      <c r="P152" s="243">
        <f>IF(Table33[[#This Row],[Category]]="Insignia",Table33[[#This Row],[Account Deposit Amount]]-Table33[[#This Row],[Account Withdrawl Amount]], )</f>
        <v>0</v>
      </c>
      <c r="Q152" s="243">
        <f>IF(Table33[[#This Row],[Category]]="Activities/Program",Table33[[#This Row],[Account Deposit Amount]]-Table33[[#This Row],[Account Withdrawl Amount]], )</f>
        <v>0</v>
      </c>
      <c r="R152" s="243">
        <f>IF(Table33[[#This Row],[Category]]="Travel",Table33[[#This Row],[Account Deposit Amount]]-Table33[[#This Row],[Account Withdrawl Amount]], )</f>
        <v>0</v>
      </c>
      <c r="S152" s="243">
        <f>IF(Table33[[#This Row],[Category]]="Parties Food &amp; Beverages",Table33[[#This Row],[Account Deposit Amount]]-Table33[[#This Row],[Account Withdrawl Amount]], )</f>
        <v>0</v>
      </c>
      <c r="T152" s="243">
        <f>IF(Table33[[#This Row],[Category]]="Service Projects Donation",Table33[[#This Row],[Account Deposit Amount]]-Table33[[#This Row],[Account Withdrawl Amount]], )</f>
        <v>0</v>
      </c>
      <c r="U152" s="243">
        <f>IF(Table33[[#This Row],[Category]]="Cookie Debt",Table33[[#This Row],[Account Deposit Amount]]-Table33[[#This Row],[Account Withdrawl Amount]], )</f>
        <v>0</v>
      </c>
      <c r="V152" s="243">
        <f>IF(Table33[[#This Row],[Category]]="Other Expense",Table33[[#This Row],[Account Deposit Amount]]-Table33[[#This Row],[Account Withdrawl Amount]], )</f>
        <v>0</v>
      </c>
    </row>
    <row r="153" spans="1:22">
      <c r="A153" s="225"/>
      <c r="B153" s="241"/>
      <c r="C153" s="244"/>
      <c r="D153" s="225"/>
      <c r="E153" s="242"/>
      <c r="F153" s="242"/>
      <c r="G153" s="243">
        <f t="shared" si="4"/>
        <v>0</v>
      </c>
      <c r="H153" s="225"/>
      <c r="I153" s="243">
        <f>IF(Table33[[#This Row],[Category]]="Fall Product",Table33[[#This Row],[Account Deposit Amount]]-Table33[[#This Row],[Account Withdrawl Amount]], )</f>
        <v>0</v>
      </c>
      <c r="J153" s="243">
        <f>IF(Table33[[#This Row],[Category]]="Cookies",Table33[[#This Row],[Account Deposit Amount]]-Table33[[#This Row],[Account Withdrawl Amount]], )</f>
        <v>0</v>
      </c>
      <c r="K153" s="243">
        <f>IF(Table33[[#This Row],[Category]]="Additional Money Earning Activities",Table33[[#This Row],[Account Deposit Amount]]-Table33[[#This Row],[Account Withdrawl Amount]], )</f>
        <v>0</v>
      </c>
      <c r="L153" s="243">
        <f>IF(Table33[[#This Row],[Category]]="Sponsorships",Table33[[#This Row],[Account Deposit Amount]]-Table33[[#This Row],[Account Withdrawl Amount]], )</f>
        <v>0</v>
      </c>
      <c r="M153" s="243">
        <f>IF(Table33[[#This Row],[Category]]="Troop Dues",Table33[[#This Row],[Account Deposit Amount]]-Table33[[#This Row],[Account Withdrawl Amount]], )</f>
        <v>0</v>
      </c>
      <c r="N153" s="243">
        <f>IF(Table33[[#This Row],[Category]]="Other Income",Table33[[#This Row],[Account Deposit Amount]]-Table33[[#This Row],[Account Withdrawl Amount]], )</f>
        <v>0</v>
      </c>
      <c r="O153" s="243">
        <f>IF(Table33[[#This Row],[Category]]="Registration",Table33[[#This Row],[Account Deposit Amount]]-Table33[[#This Row],[Account Withdrawl Amount]], )</f>
        <v>0</v>
      </c>
      <c r="P153" s="243">
        <f>IF(Table33[[#This Row],[Category]]="Insignia",Table33[[#This Row],[Account Deposit Amount]]-Table33[[#This Row],[Account Withdrawl Amount]], )</f>
        <v>0</v>
      </c>
      <c r="Q153" s="243">
        <f>IF(Table33[[#This Row],[Category]]="Activities/Program",Table33[[#This Row],[Account Deposit Amount]]-Table33[[#This Row],[Account Withdrawl Amount]], )</f>
        <v>0</v>
      </c>
      <c r="R153" s="243">
        <f>IF(Table33[[#This Row],[Category]]="Travel",Table33[[#This Row],[Account Deposit Amount]]-Table33[[#This Row],[Account Withdrawl Amount]], )</f>
        <v>0</v>
      </c>
      <c r="S153" s="243">
        <f>IF(Table33[[#This Row],[Category]]="Parties Food &amp; Beverages",Table33[[#This Row],[Account Deposit Amount]]-Table33[[#This Row],[Account Withdrawl Amount]], )</f>
        <v>0</v>
      </c>
      <c r="T153" s="243">
        <f>IF(Table33[[#This Row],[Category]]="Service Projects Donation",Table33[[#This Row],[Account Deposit Amount]]-Table33[[#This Row],[Account Withdrawl Amount]], )</f>
        <v>0</v>
      </c>
      <c r="U153" s="243">
        <f>IF(Table33[[#This Row],[Category]]="Cookie Debt",Table33[[#This Row],[Account Deposit Amount]]-Table33[[#This Row],[Account Withdrawl Amount]], )</f>
        <v>0</v>
      </c>
      <c r="V153" s="243">
        <f>IF(Table33[[#This Row],[Category]]="Other Expense",Table33[[#This Row],[Account Deposit Amount]]-Table33[[#This Row],[Account Withdrawl Amount]], )</f>
        <v>0</v>
      </c>
    </row>
    <row r="154" spans="1:22">
      <c r="A154" s="225"/>
      <c r="B154" s="241"/>
      <c r="C154" s="244"/>
      <c r="D154" s="225"/>
      <c r="E154" s="242"/>
      <c r="F154" s="242"/>
      <c r="G154" s="243">
        <f t="shared" si="4"/>
        <v>0</v>
      </c>
      <c r="H154" s="225"/>
      <c r="I154" s="243">
        <f>IF(Table33[[#This Row],[Category]]="Fall Product",Table33[[#This Row],[Account Deposit Amount]]-Table33[[#This Row],[Account Withdrawl Amount]], )</f>
        <v>0</v>
      </c>
      <c r="J154" s="243">
        <f>IF(Table33[[#This Row],[Category]]="Cookies",Table33[[#This Row],[Account Deposit Amount]]-Table33[[#This Row],[Account Withdrawl Amount]], )</f>
        <v>0</v>
      </c>
      <c r="K154" s="243">
        <f>IF(Table33[[#This Row],[Category]]="Additional Money Earning Activities",Table33[[#This Row],[Account Deposit Amount]]-Table33[[#This Row],[Account Withdrawl Amount]], )</f>
        <v>0</v>
      </c>
      <c r="L154" s="243">
        <f>IF(Table33[[#This Row],[Category]]="Sponsorships",Table33[[#This Row],[Account Deposit Amount]]-Table33[[#This Row],[Account Withdrawl Amount]], )</f>
        <v>0</v>
      </c>
      <c r="M154" s="243">
        <f>IF(Table33[[#This Row],[Category]]="Troop Dues",Table33[[#This Row],[Account Deposit Amount]]-Table33[[#This Row],[Account Withdrawl Amount]], )</f>
        <v>0</v>
      </c>
      <c r="N154" s="243">
        <f>IF(Table33[[#This Row],[Category]]="Other Income",Table33[[#This Row],[Account Deposit Amount]]-Table33[[#This Row],[Account Withdrawl Amount]], )</f>
        <v>0</v>
      </c>
      <c r="O154" s="243">
        <f>IF(Table33[[#This Row],[Category]]="Registration",Table33[[#This Row],[Account Deposit Amount]]-Table33[[#This Row],[Account Withdrawl Amount]], )</f>
        <v>0</v>
      </c>
      <c r="P154" s="243">
        <f>IF(Table33[[#This Row],[Category]]="Insignia",Table33[[#This Row],[Account Deposit Amount]]-Table33[[#This Row],[Account Withdrawl Amount]], )</f>
        <v>0</v>
      </c>
      <c r="Q154" s="243">
        <f>IF(Table33[[#This Row],[Category]]="Activities/Program",Table33[[#This Row],[Account Deposit Amount]]-Table33[[#This Row],[Account Withdrawl Amount]], )</f>
        <v>0</v>
      </c>
      <c r="R154" s="243">
        <f>IF(Table33[[#This Row],[Category]]="Travel",Table33[[#This Row],[Account Deposit Amount]]-Table33[[#This Row],[Account Withdrawl Amount]], )</f>
        <v>0</v>
      </c>
      <c r="S154" s="243">
        <f>IF(Table33[[#This Row],[Category]]="Parties Food &amp; Beverages",Table33[[#This Row],[Account Deposit Amount]]-Table33[[#This Row],[Account Withdrawl Amount]], )</f>
        <v>0</v>
      </c>
      <c r="T154" s="243">
        <f>IF(Table33[[#This Row],[Category]]="Service Projects Donation",Table33[[#This Row],[Account Deposit Amount]]-Table33[[#This Row],[Account Withdrawl Amount]], )</f>
        <v>0</v>
      </c>
      <c r="U154" s="243">
        <f>IF(Table33[[#This Row],[Category]]="Cookie Debt",Table33[[#This Row],[Account Deposit Amount]]-Table33[[#This Row],[Account Withdrawl Amount]], )</f>
        <v>0</v>
      </c>
      <c r="V154" s="243">
        <f>IF(Table33[[#This Row],[Category]]="Other Expense",Table33[[#This Row],[Account Deposit Amount]]-Table33[[#This Row],[Account Withdrawl Amount]], )</f>
        <v>0</v>
      </c>
    </row>
    <row r="155" spans="1:22">
      <c r="A155" s="225"/>
      <c r="B155" s="241"/>
      <c r="C155" s="244"/>
      <c r="D155" s="225"/>
      <c r="E155" s="242"/>
      <c r="F155" s="242"/>
      <c r="G155" s="243">
        <f t="shared" si="4"/>
        <v>0</v>
      </c>
      <c r="H155" s="225"/>
      <c r="I155" s="243">
        <f>IF(Table33[[#This Row],[Category]]="Fall Product",Table33[[#This Row],[Account Deposit Amount]]-Table33[[#This Row],[Account Withdrawl Amount]], )</f>
        <v>0</v>
      </c>
      <c r="J155" s="243">
        <f>IF(Table33[[#This Row],[Category]]="Cookies",Table33[[#This Row],[Account Deposit Amount]]-Table33[[#This Row],[Account Withdrawl Amount]], )</f>
        <v>0</v>
      </c>
      <c r="K155" s="243">
        <f>IF(Table33[[#This Row],[Category]]="Additional Money Earning Activities",Table33[[#This Row],[Account Deposit Amount]]-Table33[[#This Row],[Account Withdrawl Amount]], )</f>
        <v>0</v>
      </c>
      <c r="L155" s="243">
        <f>IF(Table33[[#This Row],[Category]]="Sponsorships",Table33[[#This Row],[Account Deposit Amount]]-Table33[[#This Row],[Account Withdrawl Amount]], )</f>
        <v>0</v>
      </c>
      <c r="M155" s="243">
        <f>IF(Table33[[#This Row],[Category]]="Troop Dues",Table33[[#This Row],[Account Deposit Amount]]-Table33[[#This Row],[Account Withdrawl Amount]], )</f>
        <v>0</v>
      </c>
      <c r="N155" s="243">
        <f>IF(Table33[[#This Row],[Category]]="Other Income",Table33[[#This Row],[Account Deposit Amount]]-Table33[[#This Row],[Account Withdrawl Amount]], )</f>
        <v>0</v>
      </c>
      <c r="O155" s="243">
        <f>IF(Table33[[#This Row],[Category]]="Registration",Table33[[#This Row],[Account Deposit Amount]]-Table33[[#This Row],[Account Withdrawl Amount]], )</f>
        <v>0</v>
      </c>
      <c r="P155" s="243">
        <f>IF(Table33[[#This Row],[Category]]="Insignia",Table33[[#This Row],[Account Deposit Amount]]-Table33[[#This Row],[Account Withdrawl Amount]], )</f>
        <v>0</v>
      </c>
      <c r="Q155" s="243">
        <f>IF(Table33[[#This Row],[Category]]="Activities/Program",Table33[[#This Row],[Account Deposit Amount]]-Table33[[#This Row],[Account Withdrawl Amount]], )</f>
        <v>0</v>
      </c>
      <c r="R155" s="243">
        <f>IF(Table33[[#This Row],[Category]]="Travel",Table33[[#This Row],[Account Deposit Amount]]-Table33[[#This Row],[Account Withdrawl Amount]], )</f>
        <v>0</v>
      </c>
      <c r="S155" s="243">
        <f>IF(Table33[[#This Row],[Category]]="Parties Food &amp; Beverages",Table33[[#This Row],[Account Deposit Amount]]-Table33[[#This Row],[Account Withdrawl Amount]], )</f>
        <v>0</v>
      </c>
      <c r="T155" s="243">
        <f>IF(Table33[[#This Row],[Category]]="Service Projects Donation",Table33[[#This Row],[Account Deposit Amount]]-Table33[[#This Row],[Account Withdrawl Amount]], )</f>
        <v>0</v>
      </c>
      <c r="U155" s="243">
        <f>IF(Table33[[#This Row],[Category]]="Cookie Debt",Table33[[#This Row],[Account Deposit Amount]]-Table33[[#This Row],[Account Withdrawl Amount]], )</f>
        <v>0</v>
      </c>
      <c r="V155" s="243">
        <f>IF(Table33[[#This Row],[Category]]="Other Expense",Table33[[#This Row],[Account Deposit Amount]]-Table33[[#This Row],[Account Withdrawl Amount]], )</f>
        <v>0</v>
      </c>
    </row>
    <row r="156" spans="1:22">
      <c r="A156" s="225"/>
      <c r="B156" s="241"/>
      <c r="C156" s="244"/>
      <c r="D156" s="225"/>
      <c r="E156" s="242"/>
      <c r="F156" s="242"/>
      <c r="G156" s="243">
        <f t="shared" si="4"/>
        <v>0</v>
      </c>
      <c r="H156" s="225"/>
      <c r="I156" s="243">
        <f>IF(Table33[[#This Row],[Category]]="Fall Product",Table33[[#This Row],[Account Deposit Amount]]-Table33[[#This Row],[Account Withdrawl Amount]], )</f>
        <v>0</v>
      </c>
      <c r="J156" s="243">
        <f>IF(Table33[[#This Row],[Category]]="Cookies",Table33[[#This Row],[Account Deposit Amount]]-Table33[[#This Row],[Account Withdrawl Amount]], )</f>
        <v>0</v>
      </c>
      <c r="K156" s="243">
        <f>IF(Table33[[#This Row],[Category]]="Additional Money Earning Activities",Table33[[#This Row],[Account Deposit Amount]]-Table33[[#This Row],[Account Withdrawl Amount]], )</f>
        <v>0</v>
      </c>
      <c r="L156" s="243">
        <f>IF(Table33[[#This Row],[Category]]="Sponsorships",Table33[[#This Row],[Account Deposit Amount]]-Table33[[#This Row],[Account Withdrawl Amount]], )</f>
        <v>0</v>
      </c>
      <c r="M156" s="243">
        <f>IF(Table33[[#This Row],[Category]]="Troop Dues",Table33[[#This Row],[Account Deposit Amount]]-Table33[[#This Row],[Account Withdrawl Amount]], )</f>
        <v>0</v>
      </c>
      <c r="N156" s="243">
        <f>IF(Table33[[#This Row],[Category]]="Other Income",Table33[[#This Row],[Account Deposit Amount]]-Table33[[#This Row],[Account Withdrawl Amount]], )</f>
        <v>0</v>
      </c>
      <c r="O156" s="243">
        <f>IF(Table33[[#This Row],[Category]]="Registration",Table33[[#This Row],[Account Deposit Amount]]-Table33[[#This Row],[Account Withdrawl Amount]], )</f>
        <v>0</v>
      </c>
      <c r="P156" s="243">
        <f>IF(Table33[[#This Row],[Category]]="Insignia",Table33[[#This Row],[Account Deposit Amount]]-Table33[[#This Row],[Account Withdrawl Amount]], )</f>
        <v>0</v>
      </c>
      <c r="Q156" s="243">
        <f>IF(Table33[[#This Row],[Category]]="Activities/Program",Table33[[#This Row],[Account Deposit Amount]]-Table33[[#This Row],[Account Withdrawl Amount]], )</f>
        <v>0</v>
      </c>
      <c r="R156" s="243">
        <f>IF(Table33[[#This Row],[Category]]="Travel",Table33[[#This Row],[Account Deposit Amount]]-Table33[[#This Row],[Account Withdrawl Amount]], )</f>
        <v>0</v>
      </c>
      <c r="S156" s="243">
        <f>IF(Table33[[#This Row],[Category]]="Parties Food &amp; Beverages",Table33[[#This Row],[Account Deposit Amount]]-Table33[[#This Row],[Account Withdrawl Amount]], )</f>
        <v>0</v>
      </c>
      <c r="T156" s="243">
        <f>IF(Table33[[#This Row],[Category]]="Service Projects Donation",Table33[[#This Row],[Account Deposit Amount]]-Table33[[#This Row],[Account Withdrawl Amount]], )</f>
        <v>0</v>
      </c>
      <c r="U156" s="243">
        <f>IF(Table33[[#This Row],[Category]]="Cookie Debt",Table33[[#This Row],[Account Deposit Amount]]-Table33[[#This Row],[Account Withdrawl Amount]], )</f>
        <v>0</v>
      </c>
      <c r="V156" s="243">
        <f>IF(Table33[[#This Row],[Category]]="Other Expense",Table33[[#This Row],[Account Deposit Amount]]-Table33[[#This Row],[Account Withdrawl Amount]], )</f>
        <v>0</v>
      </c>
    </row>
    <row r="157" spans="1:22">
      <c r="A157" s="225"/>
      <c r="B157" s="241"/>
      <c r="C157" s="244"/>
      <c r="D157" s="225"/>
      <c r="E157" s="242"/>
      <c r="F157" s="242"/>
      <c r="G157" s="243">
        <f t="shared" si="4"/>
        <v>0</v>
      </c>
      <c r="H157" s="225"/>
      <c r="I157" s="243">
        <f>IF(Table33[[#This Row],[Category]]="Fall Product",Table33[[#This Row],[Account Deposit Amount]]-Table33[[#This Row],[Account Withdrawl Amount]], )</f>
        <v>0</v>
      </c>
      <c r="J157" s="243">
        <f>IF(Table33[[#This Row],[Category]]="Cookies",Table33[[#This Row],[Account Deposit Amount]]-Table33[[#This Row],[Account Withdrawl Amount]], )</f>
        <v>0</v>
      </c>
      <c r="K157" s="243">
        <f>IF(Table33[[#This Row],[Category]]="Additional Money Earning Activities",Table33[[#This Row],[Account Deposit Amount]]-Table33[[#This Row],[Account Withdrawl Amount]], )</f>
        <v>0</v>
      </c>
      <c r="L157" s="243">
        <f>IF(Table33[[#This Row],[Category]]="Sponsorships",Table33[[#This Row],[Account Deposit Amount]]-Table33[[#This Row],[Account Withdrawl Amount]], )</f>
        <v>0</v>
      </c>
      <c r="M157" s="243">
        <f>IF(Table33[[#This Row],[Category]]="Troop Dues",Table33[[#This Row],[Account Deposit Amount]]-Table33[[#This Row],[Account Withdrawl Amount]], )</f>
        <v>0</v>
      </c>
      <c r="N157" s="243">
        <f>IF(Table33[[#This Row],[Category]]="Other Income",Table33[[#This Row],[Account Deposit Amount]]-Table33[[#This Row],[Account Withdrawl Amount]], )</f>
        <v>0</v>
      </c>
      <c r="O157" s="243">
        <f>IF(Table33[[#This Row],[Category]]="Registration",Table33[[#This Row],[Account Deposit Amount]]-Table33[[#This Row],[Account Withdrawl Amount]], )</f>
        <v>0</v>
      </c>
      <c r="P157" s="243">
        <f>IF(Table33[[#This Row],[Category]]="Insignia",Table33[[#This Row],[Account Deposit Amount]]-Table33[[#This Row],[Account Withdrawl Amount]], )</f>
        <v>0</v>
      </c>
      <c r="Q157" s="243">
        <f>IF(Table33[[#This Row],[Category]]="Activities/Program",Table33[[#This Row],[Account Deposit Amount]]-Table33[[#This Row],[Account Withdrawl Amount]], )</f>
        <v>0</v>
      </c>
      <c r="R157" s="243">
        <f>IF(Table33[[#This Row],[Category]]="Travel",Table33[[#This Row],[Account Deposit Amount]]-Table33[[#This Row],[Account Withdrawl Amount]], )</f>
        <v>0</v>
      </c>
      <c r="S157" s="243">
        <f>IF(Table33[[#This Row],[Category]]="Parties Food &amp; Beverages",Table33[[#This Row],[Account Deposit Amount]]-Table33[[#This Row],[Account Withdrawl Amount]], )</f>
        <v>0</v>
      </c>
      <c r="T157" s="243">
        <f>IF(Table33[[#This Row],[Category]]="Service Projects Donation",Table33[[#This Row],[Account Deposit Amount]]-Table33[[#This Row],[Account Withdrawl Amount]], )</f>
        <v>0</v>
      </c>
      <c r="U157" s="243">
        <f>IF(Table33[[#This Row],[Category]]="Cookie Debt",Table33[[#This Row],[Account Deposit Amount]]-Table33[[#This Row],[Account Withdrawl Amount]], )</f>
        <v>0</v>
      </c>
      <c r="V157" s="243">
        <f>IF(Table33[[#This Row],[Category]]="Other Expense",Table33[[#This Row],[Account Deposit Amount]]-Table33[[#This Row],[Account Withdrawl Amount]], )</f>
        <v>0</v>
      </c>
    </row>
    <row r="158" spans="1:22">
      <c r="A158" s="225"/>
      <c r="B158" s="241"/>
      <c r="C158" s="244"/>
      <c r="D158" s="225"/>
      <c r="E158" s="242"/>
      <c r="F158" s="242"/>
      <c r="G158" s="243">
        <f t="shared" si="4"/>
        <v>0</v>
      </c>
      <c r="H158" s="225"/>
      <c r="I158" s="243">
        <f>IF(Table33[[#This Row],[Category]]="Fall Product",Table33[[#This Row],[Account Deposit Amount]]-Table33[[#This Row],[Account Withdrawl Amount]], )</f>
        <v>0</v>
      </c>
      <c r="J158" s="243">
        <f>IF(Table33[[#This Row],[Category]]="Cookies",Table33[[#This Row],[Account Deposit Amount]]-Table33[[#This Row],[Account Withdrawl Amount]], )</f>
        <v>0</v>
      </c>
      <c r="K158" s="243">
        <f>IF(Table33[[#This Row],[Category]]="Additional Money Earning Activities",Table33[[#This Row],[Account Deposit Amount]]-Table33[[#This Row],[Account Withdrawl Amount]], )</f>
        <v>0</v>
      </c>
      <c r="L158" s="243">
        <f>IF(Table33[[#This Row],[Category]]="Sponsorships",Table33[[#This Row],[Account Deposit Amount]]-Table33[[#This Row],[Account Withdrawl Amount]], )</f>
        <v>0</v>
      </c>
      <c r="M158" s="243">
        <f>IF(Table33[[#This Row],[Category]]="Troop Dues",Table33[[#This Row],[Account Deposit Amount]]-Table33[[#This Row],[Account Withdrawl Amount]], )</f>
        <v>0</v>
      </c>
      <c r="N158" s="243">
        <f>IF(Table33[[#This Row],[Category]]="Other Income",Table33[[#This Row],[Account Deposit Amount]]-Table33[[#This Row],[Account Withdrawl Amount]], )</f>
        <v>0</v>
      </c>
      <c r="O158" s="243">
        <f>IF(Table33[[#This Row],[Category]]="Registration",Table33[[#This Row],[Account Deposit Amount]]-Table33[[#This Row],[Account Withdrawl Amount]], )</f>
        <v>0</v>
      </c>
      <c r="P158" s="243">
        <f>IF(Table33[[#This Row],[Category]]="Insignia",Table33[[#This Row],[Account Deposit Amount]]-Table33[[#This Row],[Account Withdrawl Amount]], )</f>
        <v>0</v>
      </c>
      <c r="Q158" s="243">
        <f>IF(Table33[[#This Row],[Category]]="Activities/Program",Table33[[#This Row],[Account Deposit Amount]]-Table33[[#This Row],[Account Withdrawl Amount]], )</f>
        <v>0</v>
      </c>
      <c r="R158" s="243">
        <f>IF(Table33[[#This Row],[Category]]="Travel",Table33[[#This Row],[Account Deposit Amount]]-Table33[[#This Row],[Account Withdrawl Amount]], )</f>
        <v>0</v>
      </c>
      <c r="S158" s="243">
        <f>IF(Table33[[#This Row],[Category]]="Parties Food &amp; Beverages",Table33[[#This Row],[Account Deposit Amount]]-Table33[[#This Row],[Account Withdrawl Amount]], )</f>
        <v>0</v>
      </c>
      <c r="T158" s="243">
        <f>IF(Table33[[#This Row],[Category]]="Service Projects Donation",Table33[[#This Row],[Account Deposit Amount]]-Table33[[#This Row],[Account Withdrawl Amount]], )</f>
        <v>0</v>
      </c>
      <c r="U158" s="243">
        <f>IF(Table33[[#This Row],[Category]]="Cookie Debt",Table33[[#This Row],[Account Deposit Amount]]-Table33[[#This Row],[Account Withdrawl Amount]], )</f>
        <v>0</v>
      </c>
      <c r="V158" s="243">
        <f>IF(Table33[[#This Row],[Category]]="Other Expense",Table33[[#This Row],[Account Deposit Amount]]-Table33[[#This Row],[Account Withdrawl Amount]], )</f>
        <v>0</v>
      </c>
    </row>
    <row r="159" spans="1:22">
      <c r="A159" s="225"/>
      <c r="B159" s="241"/>
      <c r="C159" s="244"/>
      <c r="D159" s="225"/>
      <c r="E159" s="242"/>
      <c r="F159" s="242"/>
      <c r="G159" s="243">
        <f t="shared" si="4"/>
        <v>0</v>
      </c>
      <c r="H159" s="225"/>
      <c r="I159" s="243">
        <f>IF(Table33[[#This Row],[Category]]="Fall Product",Table33[[#This Row],[Account Deposit Amount]]-Table33[[#This Row],[Account Withdrawl Amount]], )</f>
        <v>0</v>
      </c>
      <c r="J159" s="243">
        <f>IF(Table33[[#This Row],[Category]]="Cookies",Table33[[#This Row],[Account Deposit Amount]]-Table33[[#This Row],[Account Withdrawl Amount]], )</f>
        <v>0</v>
      </c>
      <c r="K159" s="243">
        <f>IF(Table33[[#This Row],[Category]]="Additional Money Earning Activities",Table33[[#This Row],[Account Deposit Amount]]-Table33[[#This Row],[Account Withdrawl Amount]], )</f>
        <v>0</v>
      </c>
      <c r="L159" s="243">
        <f>IF(Table33[[#This Row],[Category]]="Sponsorships",Table33[[#This Row],[Account Deposit Amount]]-Table33[[#This Row],[Account Withdrawl Amount]], )</f>
        <v>0</v>
      </c>
      <c r="M159" s="243">
        <f>IF(Table33[[#This Row],[Category]]="Troop Dues",Table33[[#This Row],[Account Deposit Amount]]-Table33[[#This Row],[Account Withdrawl Amount]], )</f>
        <v>0</v>
      </c>
      <c r="N159" s="243">
        <f>IF(Table33[[#This Row],[Category]]="Other Income",Table33[[#This Row],[Account Deposit Amount]]-Table33[[#This Row],[Account Withdrawl Amount]], )</f>
        <v>0</v>
      </c>
      <c r="O159" s="243">
        <f>IF(Table33[[#This Row],[Category]]="Registration",Table33[[#This Row],[Account Deposit Amount]]-Table33[[#This Row],[Account Withdrawl Amount]], )</f>
        <v>0</v>
      </c>
      <c r="P159" s="243">
        <f>IF(Table33[[#This Row],[Category]]="Insignia",Table33[[#This Row],[Account Deposit Amount]]-Table33[[#This Row],[Account Withdrawl Amount]], )</f>
        <v>0</v>
      </c>
      <c r="Q159" s="243">
        <f>IF(Table33[[#This Row],[Category]]="Activities/Program",Table33[[#This Row],[Account Deposit Amount]]-Table33[[#This Row],[Account Withdrawl Amount]], )</f>
        <v>0</v>
      </c>
      <c r="R159" s="243">
        <f>IF(Table33[[#This Row],[Category]]="Travel",Table33[[#This Row],[Account Deposit Amount]]-Table33[[#This Row],[Account Withdrawl Amount]], )</f>
        <v>0</v>
      </c>
      <c r="S159" s="243">
        <f>IF(Table33[[#This Row],[Category]]="Parties Food &amp; Beverages",Table33[[#This Row],[Account Deposit Amount]]-Table33[[#This Row],[Account Withdrawl Amount]], )</f>
        <v>0</v>
      </c>
      <c r="T159" s="243">
        <f>IF(Table33[[#This Row],[Category]]="Service Projects Donation",Table33[[#This Row],[Account Deposit Amount]]-Table33[[#This Row],[Account Withdrawl Amount]], )</f>
        <v>0</v>
      </c>
      <c r="U159" s="243">
        <f>IF(Table33[[#This Row],[Category]]="Cookie Debt",Table33[[#This Row],[Account Deposit Amount]]-Table33[[#This Row],[Account Withdrawl Amount]], )</f>
        <v>0</v>
      </c>
      <c r="V159" s="243">
        <f>IF(Table33[[#This Row],[Category]]="Other Expense",Table33[[#This Row],[Account Deposit Amount]]-Table33[[#This Row],[Account Withdrawl Amount]], )</f>
        <v>0</v>
      </c>
    </row>
    <row r="160" spans="1:22">
      <c r="A160" s="225"/>
      <c r="B160" s="241"/>
      <c r="C160" s="244"/>
      <c r="D160" s="225"/>
      <c r="E160" s="242"/>
      <c r="F160" s="242"/>
      <c r="G160" s="243">
        <f t="shared" si="4"/>
        <v>0</v>
      </c>
      <c r="H160" s="225"/>
      <c r="I160" s="243">
        <f>IF(Table33[[#This Row],[Category]]="Fall Product",Table33[[#This Row],[Account Deposit Amount]]-Table33[[#This Row],[Account Withdrawl Amount]], )</f>
        <v>0</v>
      </c>
      <c r="J160" s="243">
        <f>IF(Table33[[#This Row],[Category]]="Cookies",Table33[[#This Row],[Account Deposit Amount]]-Table33[[#This Row],[Account Withdrawl Amount]], )</f>
        <v>0</v>
      </c>
      <c r="K160" s="243">
        <f>IF(Table33[[#This Row],[Category]]="Additional Money Earning Activities",Table33[[#This Row],[Account Deposit Amount]]-Table33[[#This Row],[Account Withdrawl Amount]], )</f>
        <v>0</v>
      </c>
      <c r="L160" s="243">
        <f>IF(Table33[[#This Row],[Category]]="Sponsorships",Table33[[#This Row],[Account Deposit Amount]]-Table33[[#This Row],[Account Withdrawl Amount]], )</f>
        <v>0</v>
      </c>
      <c r="M160" s="243">
        <f>IF(Table33[[#This Row],[Category]]="Troop Dues",Table33[[#This Row],[Account Deposit Amount]]-Table33[[#This Row],[Account Withdrawl Amount]], )</f>
        <v>0</v>
      </c>
      <c r="N160" s="243">
        <f>IF(Table33[[#This Row],[Category]]="Other Income",Table33[[#This Row],[Account Deposit Amount]]-Table33[[#This Row],[Account Withdrawl Amount]], )</f>
        <v>0</v>
      </c>
      <c r="O160" s="243">
        <f>IF(Table33[[#This Row],[Category]]="Registration",Table33[[#This Row],[Account Deposit Amount]]-Table33[[#This Row],[Account Withdrawl Amount]], )</f>
        <v>0</v>
      </c>
      <c r="P160" s="243">
        <f>IF(Table33[[#This Row],[Category]]="Insignia",Table33[[#This Row],[Account Deposit Amount]]-Table33[[#This Row],[Account Withdrawl Amount]], )</f>
        <v>0</v>
      </c>
      <c r="Q160" s="243">
        <f>IF(Table33[[#This Row],[Category]]="Activities/Program",Table33[[#This Row],[Account Deposit Amount]]-Table33[[#This Row],[Account Withdrawl Amount]], )</f>
        <v>0</v>
      </c>
      <c r="R160" s="243">
        <f>IF(Table33[[#This Row],[Category]]="Travel",Table33[[#This Row],[Account Deposit Amount]]-Table33[[#This Row],[Account Withdrawl Amount]], )</f>
        <v>0</v>
      </c>
      <c r="S160" s="243">
        <f>IF(Table33[[#This Row],[Category]]="Parties Food &amp; Beverages",Table33[[#This Row],[Account Deposit Amount]]-Table33[[#This Row],[Account Withdrawl Amount]], )</f>
        <v>0</v>
      </c>
      <c r="T160" s="243">
        <f>IF(Table33[[#This Row],[Category]]="Service Projects Donation",Table33[[#This Row],[Account Deposit Amount]]-Table33[[#This Row],[Account Withdrawl Amount]], )</f>
        <v>0</v>
      </c>
      <c r="U160" s="243">
        <f>IF(Table33[[#This Row],[Category]]="Cookie Debt",Table33[[#This Row],[Account Deposit Amount]]-Table33[[#This Row],[Account Withdrawl Amount]], )</f>
        <v>0</v>
      </c>
      <c r="V160" s="243">
        <f>IF(Table33[[#This Row],[Category]]="Other Expense",Table33[[#This Row],[Account Deposit Amount]]-Table33[[#This Row],[Account Withdrawl Amount]], )</f>
        <v>0</v>
      </c>
    </row>
    <row r="161" spans="1:22">
      <c r="A161" s="225"/>
      <c r="B161" s="241"/>
      <c r="C161" s="244"/>
      <c r="D161" s="225"/>
      <c r="E161" s="242"/>
      <c r="F161" s="242"/>
      <c r="G161" s="243">
        <f t="shared" si="4"/>
        <v>0</v>
      </c>
      <c r="H161" s="225"/>
      <c r="I161" s="243">
        <f>IF(Table33[[#This Row],[Category]]="Fall Product",Table33[[#This Row],[Account Deposit Amount]]-Table33[[#This Row],[Account Withdrawl Amount]], )</f>
        <v>0</v>
      </c>
      <c r="J161" s="243">
        <f>IF(Table33[[#This Row],[Category]]="Cookies",Table33[[#This Row],[Account Deposit Amount]]-Table33[[#This Row],[Account Withdrawl Amount]], )</f>
        <v>0</v>
      </c>
      <c r="K161" s="243">
        <f>IF(Table33[[#This Row],[Category]]="Additional Money Earning Activities",Table33[[#This Row],[Account Deposit Amount]]-Table33[[#This Row],[Account Withdrawl Amount]], )</f>
        <v>0</v>
      </c>
      <c r="L161" s="243">
        <f>IF(Table33[[#This Row],[Category]]="Sponsorships",Table33[[#This Row],[Account Deposit Amount]]-Table33[[#This Row],[Account Withdrawl Amount]], )</f>
        <v>0</v>
      </c>
      <c r="M161" s="243">
        <f>IF(Table33[[#This Row],[Category]]="Troop Dues",Table33[[#This Row],[Account Deposit Amount]]-Table33[[#This Row],[Account Withdrawl Amount]], )</f>
        <v>0</v>
      </c>
      <c r="N161" s="243">
        <f>IF(Table33[[#This Row],[Category]]="Other Income",Table33[[#This Row],[Account Deposit Amount]]-Table33[[#This Row],[Account Withdrawl Amount]], )</f>
        <v>0</v>
      </c>
      <c r="O161" s="243">
        <f>IF(Table33[[#This Row],[Category]]="Registration",Table33[[#This Row],[Account Deposit Amount]]-Table33[[#This Row],[Account Withdrawl Amount]], )</f>
        <v>0</v>
      </c>
      <c r="P161" s="243">
        <f>IF(Table33[[#This Row],[Category]]="Insignia",Table33[[#This Row],[Account Deposit Amount]]-Table33[[#This Row],[Account Withdrawl Amount]], )</f>
        <v>0</v>
      </c>
      <c r="Q161" s="243">
        <f>IF(Table33[[#This Row],[Category]]="Activities/Program",Table33[[#This Row],[Account Deposit Amount]]-Table33[[#This Row],[Account Withdrawl Amount]], )</f>
        <v>0</v>
      </c>
      <c r="R161" s="243">
        <f>IF(Table33[[#This Row],[Category]]="Travel",Table33[[#This Row],[Account Deposit Amount]]-Table33[[#This Row],[Account Withdrawl Amount]], )</f>
        <v>0</v>
      </c>
      <c r="S161" s="243">
        <f>IF(Table33[[#This Row],[Category]]="Parties Food &amp; Beverages",Table33[[#This Row],[Account Deposit Amount]]-Table33[[#This Row],[Account Withdrawl Amount]], )</f>
        <v>0</v>
      </c>
      <c r="T161" s="243">
        <f>IF(Table33[[#This Row],[Category]]="Service Projects Donation",Table33[[#This Row],[Account Deposit Amount]]-Table33[[#This Row],[Account Withdrawl Amount]], )</f>
        <v>0</v>
      </c>
      <c r="U161" s="243">
        <f>IF(Table33[[#This Row],[Category]]="Cookie Debt",Table33[[#This Row],[Account Deposit Amount]]-Table33[[#This Row],[Account Withdrawl Amount]], )</f>
        <v>0</v>
      </c>
      <c r="V161" s="243">
        <f>IF(Table33[[#This Row],[Category]]="Other Expense",Table33[[#This Row],[Account Deposit Amount]]-Table33[[#This Row],[Account Withdrawl Amount]], )</f>
        <v>0</v>
      </c>
    </row>
    <row r="162" spans="1:22">
      <c r="A162" s="225"/>
      <c r="B162" s="241"/>
      <c r="C162" s="244"/>
      <c r="D162" s="225"/>
      <c r="E162" s="242"/>
      <c r="F162" s="242"/>
      <c r="G162" s="243">
        <f t="shared" si="4"/>
        <v>0</v>
      </c>
      <c r="H162" s="225"/>
      <c r="I162" s="243">
        <f>IF(Table33[[#This Row],[Category]]="Fall Product",Table33[[#This Row],[Account Deposit Amount]]-Table33[[#This Row],[Account Withdrawl Amount]], )</f>
        <v>0</v>
      </c>
      <c r="J162" s="243">
        <f>IF(Table33[[#This Row],[Category]]="Cookies",Table33[[#This Row],[Account Deposit Amount]]-Table33[[#This Row],[Account Withdrawl Amount]], )</f>
        <v>0</v>
      </c>
      <c r="K162" s="243">
        <f>IF(Table33[[#This Row],[Category]]="Additional Money Earning Activities",Table33[[#This Row],[Account Deposit Amount]]-Table33[[#This Row],[Account Withdrawl Amount]], )</f>
        <v>0</v>
      </c>
      <c r="L162" s="243">
        <f>IF(Table33[[#This Row],[Category]]="Sponsorships",Table33[[#This Row],[Account Deposit Amount]]-Table33[[#This Row],[Account Withdrawl Amount]], )</f>
        <v>0</v>
      </c>
      <c r="M162" s="243">
        <f>IF(Table33[[#This Row],[Category]]="Troop Dues",Table33[[#This Row],[Account Deposit Amount]]-Table33[[#This Row],[Account Withdrawl Amount]], )</f>
        <v>0</v>
      </c>
      <c r="N162" s="243">
        <f>IF(Table33[[#This Row],[Category]]="Other Income",Table33[[#This Row],[Account Deposit Amount]]-Table33[[#This Row],[Account Withdrawl Amount]], )</f>
        <v>0</v>
      </c>
      <c r="O162" s="243">
        <f>IF(Table33[[#This Row],[Category]]="Registration",Table33[[#This Row],[Account Deposit Amount]]-Table33[[#This Row],[Account Withdrawl Amount]], )</f>
        <v>0</v>
      </c>
      <c r="P162" s="243">
        <f>IF(Table33[[#This Row],[Category]]="Insignia",Table33[[#This Row],[Account Deposit Amount]]-Table33[[#This Row],[Account Withdrawl Amount]], )</f>
        <v>0</v>
      </c>
      <c r="Q162" s="243">
        <f>IF(Table33[[#This Row],[Category]]="Activities/Program",Table33[[#This Row],[Account Deposit Amount]]-Table33[[#This Row],[Account Withdrawl Amount]], )</f>
        <v>0</v>
      </c>
      <c r="R162" s="243">
        <f>IF(Table33[[#This Row],[Category]]="Travel",Table33[[#This Row],[Account Deposit Amount]]-Table33[[#This Row],[Account Withdrawl Amount]], )</f>
        <v>0</v>
      </c>
      <c r="S162" s="243">
        <f>IF(Table33[[#This Row],[Category]]="Parties Food &amp; Beverages",Table33[[#This Row],[Account Deposit Amount]]-Table33[[#This Row],[Account Withdrawl Amount]], )</f>
        <v>0</v>
      </c>
      <c r="T162" s="243">
        <f>IF(Table33[[#This Row],[Category]]="Service Projects Donation",Table33[[#This Row],[Account Deposit Amount]]-Table33[[#This Row],[Account Withdrawl Amount]], )</f>
        <v>0</v>
      </c>
      <c r="U162" s="243">
        <f>IF(Table33[[#This Row],[Category]]="Cookie Debt",Table33[[#This Row],[Account Deposit Amount]]-Table33[[#This Row],[Account Withdrawl Amount]], )</f>
        <v>0</v>
      </c>
      <c r="V162" s="243">
        <f>IF(Table33[[#This Row],[Category]]="Other Expense",Table33[[#This Row],[Account Deposit Amount]]-Table33[[#This Row],[Account Withdrawl Amount]], )</f>
        <v>0</v>
      </c>
    </row>
    <row r="163" spans="1:22">
      <c r="A163" s="225"/>
      <c r="B163" s="241"/>
      <c r="C163" s="244"/>
      <c r="D163" s="225"/>
      <c r="E163" s="242"/>
      <c r="F163" s="242"/>
      <c r="G163" s="243">
        <f t="shared" si="4"/>
        <v>0</v>
      </c>
      <c r="H163" s="225"/>
      <c r="I163" s="243">
        <f>IF(Table33[[#This Row],[Category]]="Fall Product",Table33[[#This Row],[Account Deposit Amount]]-Table33[[#This Row],[Account Withdrawl Amount]], )</f>
        <v>0</v>
      </c>
      <c r="J163" s="243">
        <f>IF(Table33[[#This Row],[Category]]="Cookies",Table33[[#This Row],[Account Deposit Amount]]-Table33[[#This Row],[Account Withdrawl Amount]], )</f>
        <v>0</v>
      </c>
      <c r="K163" s="243">
        <f>IF(Table33[[#This Row],[Category]]="Additional Money Earning Activities",Table33[[#This Row],[Account Deposit Amount]]-Table33[[#This Row],[Account Withdrawl Amount]], )</f>
        <v>0</v>
      </c>
      <c r="L163" s="243">
        <f>IF(Table33[[#This Row],[Category]]="Sponsorships",Table33[[#This Row],[Account Deposit Amount]]-Table33[[#This Row],[Account Withdrawl Amount]], )</f>
        <v>0</v>
      </c>
      <c r="M163" s="243">
        <f>IF(Table33[[#This Row],[Category]]="Troop Dues",Table33[[#This Row],[Account Deposit Amount]]-Table33[[#This Row],[Account Withdrawl Amount]], )</f>
        <v>0</v>
      </c>
      <c r="N163" s="243">
        <f>IF(Table33[[#This Row],[Category]]="Other Income",Table33[[#This Row],[Account Deposit Amount]]-Table33[[#This Row],[Account Withdrawl Amount]], )</f>
        <v>0</v>
      </c>
      <c r="O163" s="243">
        <f>IF(Table33[[#This Row],[Category]]="Registration",Table33[[#This Row],[Account Deposit Amount]]-Table33[[#This Row],[Account Withdrawl Amount]], )</f>
        <v>0</v>
      </c>
      <c r="P163" s="243">
        <f>IF(Table33[[#This Row],[Category]]="Insignia",Table33[[#This Row],[Account Deposit Amount]]-Table33[[#This Row],[Account Withdrawl Amount]], )</f>
        <v>0</v>
      </c>
      <c r="Q163" s="243">
        <f>IF(Table33[[#This Row],[Category]]="Activities/Program",Table33[[#This Row],[Account Deposit Amount]]-Table33[[#This Row],[Account Withdrawl Amount]], )</f>
        <v>0</v>
      </c>
      <c r="R163" s="243">
        <f>IF(Table33[[#This Row],[Category]]="Travel",Table33[[#This Row],[Account Deposit Amount]]-Table33[[#This Row],[Account Withdrawl Amount]], )</f>
        <v>0</v>
      </c>
      <c r="S163" s="243">
        <f>IF(Table33[[#This Row],[Category]]="Parties Food &amp; Beverages",Table33[[#This Row],[Account Deposit Amount]]-Table33[[#This Row],[Account Withdrawl Amount]], )</f>
        <v>0</v>
      </c>
      <c r="T163" s="243">
        <f>IF(Table33[[#This Row],[Category]]="Service Projects Donation",Table33[[#This Row],[Account Deposit Amount]]-Table33[[#This Row],[Account Withdrawl Amount]], )</f>
        <v>0</v>
      </c>
      <c r="U163" s="243">
        <f>IF(Table33[[#This Row],[Category]]="Cookie Debt",Table33[[#This Row],[Account Deposit Amount]]-Table33[[#This Row],[Account Withdrawl Amount]], )</f>
        <v>0</v>
      </c>
      <c r="V163" s="243">
        <f>IF(Table33[[#This Row],[Category]]="Other Expense",Table33[[#This Row],[Account Deposit Amount]]-Table33[[#This Row],[Account Withdrawl Amount]], )</f>
        <v>0</v>
      </c>
    </row>
    <row r="164" spans="1:22">
      <c r="A164" s="225"/>
      <c r="B164" s="241"/>
      <c r="C164" s="244"/>
      <c r="D164" s="225"/>
      <c r="E164" s="242"/>
      <c r="F164" s="242"/>
      <c r="G164" s="243">
        <f t="shared" si="4"/>
        <v>0</v>
      </c>
      <c r="H164" s="225"/>
      <c r="I164" s="243">
        <f>IF(Table33[[#This Row],[Category]]="Fall Product",Table33[[#This Row],[Account Deposit Amount]]-Table33[[#This Row],[Account Withdrawl Amount]], )</f>
        <v>0</v>
      </c>
      <c r="J164" s="243">
        <f>IF(Table33[[#This Row],[Category]]="Cookies",Table33[[#This Row],[Account Deposit Amount]]-Table33[[#This Row],[Account Withdrawl Amount]], )</f>
        <v>0</v>
      </c>
      <c r="K164" s="243">
        <f>IF(Table33[[#This Row],[Category]]="Additional Money Earning Activities",Table33[[#This Row],[Account Deposit Amount]]-Table33[[#This Row],[Account Withdrawl Amount]], )</f>
        <v>0</v>
      </c>
      <c r="L164" s="243">
        <f>IF(Table33[[#This Row],[Category]]="Sponsorships",Table33[[#This Row],[Account Deposit Amount]]-Table33[[#This Row],[Account Withdrawl Amount]], )</f>
        <v>0</v>
      </c>
      <c r="M164" s="243">
        <f>IF(Table33[[#This Row],[Category]]="Troop Dues",Table33[[#This Row],[Account Deposit Amount]]-Table33[[#This Row],[Account Withdrawl Amount]], )</f>
        <v>0</v>
      </c>
      <c r="N164" s="243">
        <f>IF(Table33[[#This Row],[Category]]="Other Income",Table33[[#This Row],[Account Deposit Amount]]-Table33[[#This Row],[Account Withdrawl Amount]], )</f>
        <v>0</v>
      </c>
      <c r="O164" s="243">
        <f>IF(Table33[[#This Row],[Category]]="Registration",Table33[[#This Row],[Account Deposit Amount]]-Table33[[#This Row],[Account Withdrawl Amount]], )</f>
        <v>0</v>
      </c>
      <c r="P164" s="243">
        <f>IF(Table33[[#This Row],[Category]]="Insignia",Table33[[#This Row],[Account Deposit Amount]]-Table33[[#This Row],[Account Withdrawl Amount]], )</f>
        <v>0</v>
      </c>
      <c r="Q164" s="243">
        <f>IF(Table33[[#This Row],[Category]]="Activities/Program",Table33[[#This Row],[Account Deposit Amount]]-Table33[[#This Row],[Account Withdrawl Amount]], )</f>
        <v>0</v>
      </c>
      <c r="R164" s="243">
        <f>IF(Table33[[#This Row],[Category]]="Travel",Table33[[#This Row],[Account Deposit Amount]]-Table33[[#This Row],[Account Withdrawl Amount]], )</f>
        <v>0</v>
      </c>
      <c r="S164" s="243">
        <f>IF(Table33[[#This Row],[Category]]="Parties Food &amp; Beverages",Table33[[#This Row],[Account Deposit Amount]]-Table33[[#This Row],[Account Withdrawl Amount]], )</f>
        <v>0</v>
      </c>
      <c r="T164" s="243">
        <f>IF(Table33[[#This Row],[Category]]="Service Projects Donation",Table33[[#This Row],[Account Deposit Amount]]-Table33[[#This Row],[Account Withdrawl Amount]], )</f>
        <v>0</v>
      </c>
      <c r="U164" s="243">
        <f>IF(Table33[[#This Row],[Category]]="Cookie Debt",Table33[[#This Row],[Account Deposit Amount]]-Table33[[#This Row],[Account Withdrawl Amount]], )</f>
        <v>0</v>
      </c>
      <c r="V164" s="243">
        <f>IF(Table33[[#This Row],[Category]]="Other Expense",Table33[[#This Row],[Account Deposit Amount]]-Table33[[#This Row],[Account Withdrawl Amount]], )</f>
        <v>0</v>
      </c>
    </row>
    <row r="165" spans="1:22">
      <c r="A165" s="225"/>
      <c r="B165" s="241"/>
      <c r="C165" s="244"/>
      <c r="D165" s="225"/>
      <c r="E165" s="242"/>
      <c r="F165" s="242"/>
      <c r="G165" s="243">
        <f t="shared" si="4"/>
        <v>0</v>
      </c>
      <c r="H165" s="225"/>
      <c r="I165" s="243">
        <f>IF(Table33[[#This Row],[Category]]="Fall Product",Table33[[#This Row],[Account Deposit Amount]]-Table33[[#This Row],[Account Withdrawl Amount]], )</f>
        <v>0</v>
      </c>
      <c r="J165" s="243">
        <f>IF(Table33[[#This Row],[Category]]="Cookies",Table33[[#This Row],[Account Deposit Amount]]-Table33[[#This Row],[Account Withdrawl Amount]], )</f>
        <v>0</v>
      </c>
      <c r="K165" s="243">
        <f>IF(Table33[[#This Row],[Category]]="Additional Money Earning Activities",Table33[[#This Row],[Account Deposit Amount]]-Table33[[#This Row],[Account Withdrawl Amount]], )</f>
        <v>0</v>
      </c>
      <c r="L165" s="243">
        <f>IF(Table33[[#This Row],[Category]]="Sponsorships",Table33[[#This Row],[Account Deposit Amount]]-Table33[[#This Row],[Account Withdrawl Amount]], )</f>
        <v>0</v>
      </c>
      <c r="M165" s="243">
        <f>IF(Table33[[#This Row],[Category]]="Troop Dues",Table33[[#This Row],[Account Deposit Amount]]-Table33[[#This Row],[Account Withdrawl Amount]], )</f>
        <v>0</v>
      </c>
      <c r="N165" s="243">
        <f>IF(Table33[[#This Row],[Category]]="Other Income",Table33[[#This Row],[Account Deposit Amount]]-Table33[[#This Row],[Account Withdrawl Amount]], )</f>
        <v>0</v>
      </c>
      <c r="O165" s="243">
        <f>IF(Table33[[#This Row],[Category]]="Registration",Table33[[#This Row],[Account Deposit Amount]]-Table33[[#This Row],[Account Withdrawl Amount]], )</f>
        <v>0</v>
      </c>
      <c r="P165" s="243">
        <f>IF(Table33[[#This Row],[Category]]="Insignia",Table33[[#This Row],[Account Deposit Amount]]-Table33[[#This Row],[Account Withdrawl Amount]], )</f>
        <v>0</v>
      </c>
      <c r="Q165" s="243">
        <f>IF(Table33[[#This Row],[Category]]="Activities/Program",Table33[[#This Row],[Account Deposit Amount]]-Table33[[#This Row],[Account Withdrawl Amount]], )</f>
        <v>0</v>
      </c>
      <c r="R165" s="243">
        <f>IF(Table33[[#This Row],[Category]]="Travel",Table33[[#This Row],[Account Deposit Amount]]-Table33[[#This Row],[Account Withdrawl Amount]], )</f>
        <v>0</v>
      </c>
      <c r="S165" s="243">
        <f>IF(Table33[[#This Row],[Category]]="Parties Food &amp; Beverages",Table33[[#This Row],[Account Deposit Amount]]-Table33[[#This Row],[Account Withdrawl Amount]], )</f>
        <v>0</v>
      </c>
      <c r="T165" s="243">
        <f>IF(Table33[[#This Row],[Category]]="Service Projects Donation",Table33[[#This Row],[Account Deposit Amount]]-Table33[[#This Row],[Account Withdrawl Amount]], )</f>
        <v>0</v>
      </c>
      <c r="U165" s="243">
        <f>IF(Table33[[#This Row],[Category]]="Cookie Debt",Table33[[#This Row],[Account Deposit Amount]]-Table33[[#This Row],[Account Withdrawl Amount]], )</f>
        <v>0</v>
      </c>
      <c r="V165" s="243">
        <f>IF(Table33[[#This Row],[Category]]="Other Expense",Table33[[#This Row],[Account Deposit Amount]]-Table33[[#This Row],[Account Withdrawl Amount]], )</f>
        <v>0</v>
      </c>
    </row>
    <row r="166" spans="1:22">
      <c r="A166" s="225"/>
      <c r="B166" s="241"/>
      <c r="C166" s="244"/>
      <c r="D166" s="225"/>
      <c r="E166" s="242"/>
      <c r="F166" s="242"/>
      <c r="G166" s="243">
        <f t="shared" si="4"/>
        <v>0</v>
      </c>
      <c r="H166" s="225"/>
      <c r="I166" s="243">
        <f>IF(Table33[[#This Row],[Category]]="Fall Product",Table33[[#This Row],[Account Deposit Amount]]-Table33[[#This Row],[Account Withdrawl Amount]], )</f>
        <v>0</v>
      </c>
      <c r="J166" s="243">
        <f>IF(Table33[[#This Row],[Category]]="Cookies",Table33[[#This Row],[Account Deposit Amount]]-Table33[[#This Row],[Account Withdrawl Amount]], )</f>
        <v>0</v>
      </c>
      <c r="K166" s="243">
        <f>IF(Table33[[#This Row],[Category]]="Additional Money Earning Activities",Table33[[#This Row],[Account Deposit Amount]]-Table33[[#This Row],[Account Withdrawl Amount]], )</f>
        <v>0</v>
      </c>
      <c r="L166" s="243">
        <f>IF(Table33[[#This Row],[Category]]="Sponsorships",Table33[[#This Row],[Account Deposit Amount]]-Table33[[#This Row],[Account Withdrawl Amount]], )</f>
        <v>0</v>
      </c>
      <c r="M166" s="243">
        <f>IF(Table33[[#This Row],[Category]]="Troop Dues",Table33[[#This Row],[Account Deposit Amount]]-Table33[[#This Row],[Account Withdrawl Amount]], )</f>
        <v>0</v>
      </c>
      <c r="N166" s="243">
        <f>IF(Table33[[#This Row],[Category]]="Other Income",Table33[[#This Row],[Account Deposit Amount]]-Table33[[#This Row],[Account Withdrawl Amount]], )</f>
        <v>0</v>
      </c>
      <c r="O166" s="243">
        <f>IF(Table33[[#This Row],[Category]]="Registration",Table33[[#This Row],[Account Deposit Amount]]-Table33[[#This Row],[Account Withdrawl Amount]], )</f>
        <v>0</v>
      </c>
      <c r="P166" s="243">
        <f>IF(Table33[[#This Row],[Category]]="Insignia",Table33[[#This Row],[Account Deposit Amount]]-Table33[[#This Row],[Account Withdrawl Amount]], )</f>
        <v>0</v>
      </c>
      <c r="Q166" s="243">
        <f>IF(Table33[[#This Row],[Category]]="Activities/Program",Table33[[#This Row],[Account Deposit Amount]]-Table33[[#This Row],[Account Withdrawl Amount]], )</f>
        <v>0</v>
      </c>
      <c r="R166" s="243">
        <f>IF(Table33[[#This Row],[Category]]="Travel",Table33[[#This Row],[Account Deposit Amount]]-Table33[[#This Row],[Account Withdrawl Amount]], )</f>
        <v>0</v>
      </c>
      <c r="S166" s="243">
        <f>IF(Table33[[#This Row],[Category]]="Parties Food &amp; Beverages",Table33[[#This Row],[Account Deposit Amount]]-Table33[[#This Row],[Account Withdrawl Amount]], )</f>
        <v>0</v>
      </c>
      <c r="T166" s="243">
        <f>IF(Table33[[#This Row],[Category]]="Service Projects Donation",Table33[[#This Row],[Account Deposit Amount]]-Table33[[#This Row],[Account Withdrawl Amount]], )</f>
        <v>0</v>
      </c>
      <c r="U166" s="243">
        <f>IF(Table33[[#This Row],[Category]]="Cookie Debt",Table33[[#This Row],[Account Deposit Amount]]-Table33[[#This Row],[Account Withdrawl Amount]], )</f>
        <v>0</v>
      </c>
      <c r="V166" s="243">
        <f>IF(Table33[[#This Row],[Category]]="Other Expense",Table33[[#This Row],[Account Deposit Amount]]-Table33[[#This Row],[Account Withdrawl Amount]], )</f>
        <v>0</v>
      </c>
    </row>
    <row r="167" spans="1:22">
      <c r="A167" s="225"/>
      <c r="B167" s="241"/>
      <c r="C167" s="244"/>
      <c r="D167" s="225"/>
      <c r="E167" s="242"/>
      <c r="F167" s="242"/>
      <c r="G167" s="243">
        <f t="shared" si="4"/>
        <v>0</v>
      </c>
      <c r="H167" s="225"/>
      <c r="I167" s="243">
        <f>IF(Table33[[#This Row],[Category]]="Fall Product",Table33[[#This Row],[Account Deposit Amount]]-Table33[[#This Row],[Account Withdrawl Amount]], )</f>
        <v>0</v>
      </c>
      <c r="J167" s="243">
        <f>IF(Table33[[#This Row],[Category]]="Cookies",Table33[[#This Row],[Account Deposit Amount]]-Table33[[#This Row],[Account Withdrawl Amount]], )</f>
        <v>0</v>
      </c>
      <c r="K167" s="243">
        <f>IF(Table33[[#This Row],[Category]]="Additional Money Earning Activities",Table33[[#This Row],[Account Deposit Amount]]-Table33[[#This Row],[Account Withdrawl Amount]], )</f>
        <v>0</v>
      </c>
      <c r="L167" s="243">
        <f>IF(Table33[[#This Row],[Category]]="Sponsorships",Table33[[#This Row],[Account Deposit Amount]]-Table33[[#This Row],[Account Withdrawl Amount]], )</f>
        <v>0</v>
      </c>
      <c r="M167" s="243">
        <f>IF(Table33[[#This Row],[Category]]="Troop Dues",Table33[[#This Row],[Account Deposit Amount]]-Table33[[#This Row],[Account Withdrawl Amount]], )</f>
        <v>0</v>
      </c>
      <c r="N167" s="243">
        <f>IF(Table33[[#This Row],[Category]]="Other Income",Table33[[#This Row],[Account Deposit Amount]]-Table33[[#This Row],[Account Withdrawl Amount]], )</f>
        <v>0</v>
      </c>
      <c r="O167" s="243">
        <f>IF(Table33[[#This Row],[Category]]="Registration",Table33[[#This Row],[Account Deposit Amount]]-Table33[[#This Row],[Account Withdrawl Amount]], )</f>
        <v>0</v>
      </c>
      <c r="P167" s="243">
        <f>IF(Table33[[#This Row],[Category]]="Insignia",Table33[[#This Row],[Account Deposit Amount]]-Table33[[#This Row],[Account Withdrawl Amount]], )</f>
        <v>0</v>
      </c>
      <c r="Q167" s="243">
        <f>IF(Table33[[#This Row],[Category]]="Activities/Program",Table33[[#This Row],[Account Deposit Amount]]-Table33[[#This Row],[Account Withdrawl Amount]], )</f>
        <v>0</v>
      </c>
      <c r="R167" s="243">
        <f>IF(Table33[[#This Row],[Category]]="Travel",Table33[[#This Row],[Account Deposit Amount]]-Table33[[#This Row],[Account Withdrawl Amount]], )</f>
        <v>0</v>
      </c>
      <c r="S167" s="243">
        <f>IF(Table33[[#This Row],[Category]]="Parties Food &amp; Beverages",Table33[[#This Row],[Account Deposit Amount]]-Table33[[#This Row],[Account Withdrawl Amount]], )</f>
        <v>0</v>
      </c>
      <c r="T167" s="243">
        <f>IF(Table33[[#This Row],[Category]]="Service Projects Donation",Table33[[#This Row],[Account Deposit Amount]]-Table33[[#This Row],[Account Withdrawl Amount]], )</f>
        <v>0</v>
      </c>
      <c r="U167" s="243">
        <f>IF(Table33[[#This Row],[Category]]="Cookie Debt",Table33[[#This Row],[Account Deposit Amount]]-Table33[[#This Row],[Account Withdrawl Amount]], )</f>
        <v>0</v>
      </c>
      <c r="V167" s="243">
        <f>IF(Table33[[#This Row],[Category]]="Other Expense",Table33[[#This Row],[Account Deposit Amount]]-Table33[[#This Row],[Account Withdrawl Amount]], )</f>
        <v>0</v>
      </c>
    </row>
    <row r="168" spans="1:22">
      <c r="A168" s="225"/>
      <c r="B168" s="241"/>
      <c r="C168" s="244"/>
      <c r="D168" s="225"/>
      <c r="E168" s="242"/>
      <c r="F168" s="242"/>
      <c r="G168" s="243">
        <f t="shared" si="4"/>
        <v>0</v>
      </c>
      <c r="H168" s="225"/>
      <c r="I168" s="243">
        <f>IF(Table33[[#This Row],[Category]]="Fall Product",Table33[[#This Row],[Account Deposit Amount]]-Table33[[#This Row],[Account Withdrawl Amount]], )</f>
        <v>0</v>
      </c>
      <c r="J168" s="243">
        <f>IF(Table33[[#This Row],[Category]]="Cookies",Table33[[#This Row],[Account Deposit Amount]]-Table33[[#This Row],[Account Withdrawl Amount]], )</f>
        <v>0</v>
      </c>
      <c r="K168" s="243">
        <f>IF(Table33[[#This Row],[Category]]="Additional Money Earning Activities",Table33[[#This Row],[Account Deposit Amount]]-Table33[[#This Row],[Account Withdrawl Amount]], )</f>
        <v>0</v>
      </c>
      <c r="L168" s="243">
        <f>IF(Table33[[#This Row],[Category]]="Sponsorships",Table33[[#This Row],[Account Deposit Amount]]-Table33[[#This Row],[Account Withdrawl Amount]], )</f>
        <v>0</v>
      </c>
      <c r="M168" s="243">
        <f>IF(Table33[[#This Row],[Category]]="Troop Dues",Table33[[#This Row],[Account Deposit Amount]]-Table33[[#This Row],[Account Withdrawl Amount]], )</f>
        <v>0</v>
      </c>
      <c r="N168" s="243">
        <f>IF(Table33[[#This Row],[Category]]="Other Income",Table33[[#This Row],[Account Deposit Amount]]-Table33[[#This Row],[Account Withdrawl Amount]], )</f>
        <v>0</v>
      </c>
      <c r="O168" s="243">
        <f>IF(Table33[[#This Row],[Category]]="Registration",Table33[[#This Row],[Account Deposit Amount]]-Table33[[#This Row],[Account Withdrawl Amount]], )</f>
        <v>0</v>
      </c>
      <c r="P168" s="243">
        <f>IF(Table33[[#This Row],[Category]]="Insignia",Table33[[#This Row],[Account Deposit Amount]]-Table33[[#This Row],[Account Withdrawl Amount]], )</f>
        <v>0</v>
      </c>
      <c r="Q168" s="243">
        <f>IF(Table33[[#This Row],[Category]]="Activities/Program",Table33[[#This Row],[Account Deposit Amount]]-Table33[[#This Row],[Account Withdrawl Amount]], )</f>
        <v>0</v>
      </c>
      <c r="R168" s="243">
        <f>IF(Table33[[#This Row],[Category]]="Travel",Table33[[#This Row],[Account Deposit Amount]]-Table33[[#This Row],[Account Withdrawl Amount]], )</f>
        <v>0</v>
      </c>
      <c r="S168" s="243">
        <f>IF(Table33[[#This Row],[Category]]="Parties Food &amp; Beverages",Table33[[#This Row],[Account Deposit Amount]]-Table33[[#This Row],[Account Withdrawl Amount]], )</f>
        <v>0</v>
      </c>
      <c r="T168" s="243">
        <f>IF(Table33[[#This Row],[Category]]="Service Projects Donation",Table33[[#This Row],[Account Deposit Amount]]-Table33[[#This Row],[Account Withdrawl Amount]], )</f>
        <v>0</v>
      </c>
      <c r="U168" s="243">
        <f>IF(Table33[[#This Row],[Category]]="Cookie Debt",Table33[[#This Row],[Account Deposit Amount]]-Table33[[#This Row],[Account Withdrawl Amount]], )</f>
        <v>0</v>
      </c>
      <c r="V168" s="243">
        <f>IF(Table33[[#This Row],[Category]]="Other Expense",Table33[[#This Row],[Account Deposit Amount]]-Table33[[#This Row],[Account Withdrawl Amount]], )</f>
        <v>0</v>
      </c>
    </row>
    <row r="169" spans="1:22">
      <c r="A169" s="225"/>
      <c r="B169" s="241"/>
      <c r="C169" s="244"/>
      <c r="D169" s="225"/>
      <c r="E169" s="242"/>
      <c r="F169" s="242"/>
      <c r="G169" s="243">
        <f t="shared" si="4"/>
        <v>0</v>
      </c>
      <c r="H169" s="225"/>
      <c r="I169" s="243">
        <f>IF(Table33[[#This Row],[Category]]="Fall Product",Table33[[#This Row],[Account Deposit Amount]]-Table33[[#This Row],[Account Withdrawl Amount]], )</f>
        <v>0</v>
      </c>
      <c r="J169" s="243">
        <f>IF(Table33[[#This Row],[Category]]="Cookies",Table33[[#This Row],[Account Deposit Amount]]-Table33[[#This Row],[Account Withdrawl Amount]], )</f>
        <v>0</v>
      </c>
      <c r="K169" s="243">
        <f>IF(Table33[[#This Row],[Category]]="Additional Money Earning Activities",Table33[[#This Row],[Account Deposit Amount]]-Table33[[#This Row],[Account Withdrawl Amount]], )</f>
        <v>0</v>
      </c>
      <c r="L169" s="243">
        <f>IF(Table33[[#This Row],[Category]]="Sponsorships",Table33[[#This Row],[Account Deposit Amount]]-Table33[[#This Row],[Account Withdrawl Amount]], )</f>
        <v>0</v>
      </c>
      <c r="M169" s="243">
        <f>IF(Table33[[#This Row],[Category]]="Troop Dues",Table33[[#This Row],[Account Deposit Amount]]-Table33[[#This Row],[Account Withdrawl Amount]], )</f>
        <v>0</v>
      </c>
      <c r="N169" s="243">
        <f>IF(Table33[[#This Row],[Category]]="Other Income",Table33[[#This Row],[Account Deposit Amount]]-Table33[[#This Row],[Account Withdrawl Amount]], )</f>
        <v>0</v>
      </c>
      <c r="O169" s="243">
        <f>IF(Table33[[#This Row],[Category]]="Registration",Table33[[#This Row],[Account Deposit Amount]]-Table33[[#This Row],[Account Withdrawl Amount]], )</f>
        <v>0</v>
      </c>
      <c r="P169" s="243">
        <f>IF(Table33[[#This Row],[Category]]="Insignia",Table33[[#This Row],[Account Deposit Amount]]-Table33[[#This Row],[Account Withdrawl Amount]], )</f>
        <v>0</v>
      </c>
      <c r="Q169" s="243">
        <f>IF(Table33[[#This Row],[Category]]="Activities/Program",Table33[[#This Row],[Account Deposit Amount]]-Table33[[#This Row],[Account Withdrawl Amount]], )</f>
        <v>0</v>
      </c>
      <c r="R169" s="243">
        <f>IF(Table33[[#This Row],[Category]]="Travel",Table33[[#This Row],[Account Deposit Amount]]-Table33[[#This Row],[Account Withdrawl Amount]], )</f>
        <v>0</v>
      </c>
      <c r="S169" s="243">
        <f>IF(Table33[[#This Row],[Category]]="Parties Food &amp; Beverages",Table33[[#This Row],[Account Deposit Amount]]-Table33[[#This Row],[Account Withdrawl Amount]], )</f>
        <v>0</v>
      </c>
      <c r="T169" s="243">
        <f>IF(Table33[[#This Row],[Category]]="Service Projects Donation",Table33[[#This Row],[Account Deposit Amount]]-Table33[[#This Row],[Account Withdrawl Amount]], )</f>
        <v>0</v>
      </c>
      <c r="U169" s="243">
        <f>IF(Table33[[#This Row],[Category]]="Cookie Debt",Table33[[#This Row],[Account Deposit Amount]]-Table33[[#This Row],[Account Withdrawl Amount]], )</f>
        <v>0</v>
      </c>
      <c r="V169" s="243">
        <f>IF(Table33[[#This Row],[Category]]="Other Expense",Table33[[#This Row],[Account Deposit Amount]]-Table33[[#This Row],[Account Withdrawl Amount]], )</f>
        <v>0</v>
      </c>
    </row>
    <row r="170" spans="1:22">
      <c r="A170" s="225"/>
      <c r="B170" s="241"/>
      <c r="C170" s="244"/>
      <c r="D170" s="225"/>
      <c r="E170" s="242"/>
      <c r="F170" s="242"/>
      <c r="G170" s="243">
        <f t="shared" si="4"/>
        <v>0</v>
      </c>
      <c r="H170" s="225"/>
      <c r="I170" s="243">
        <f>IF(Table33[[#This Row],[Category]]="Fall Product",Table33[[#This Row],[Account Deposit Amount]]-Table33[[#This Row],[Account Withdrawl Amount]], )</f>
        <v>0</v>
      </c>
      <c r="J170" s="243">
        <f>IF(Table33[[#This Row],[Category]]="Cookies",Table33[[#This Row],[Account Deposit Amount]]-Table33[[#This Row],[Account Withdrawl Amount]], )</f>
        <v>0</v>
      </c>
      <c r="K170" s="243">
        <f>IF(Table33[[#This Row],[Category]]="Additional Money Earning Activities",Table33[[#This Row],[Account Deposit Amount]]-Table33[[#This Row],[Account Withdrawl Amount]], )</f>
        <v>0</v>
      </c>
      <c r="L170" s="243">
        <f>IF(Table33[[#This Row],[Category]]="Sponsorships",Table33[[#This Row],[Account Deposit Amount]]-Table33[[#This Row],[Account Withdrawl Amount]], )</f>
        <v>0</v>
      </c>
      <c r="M170" s="243">
        <f>IF(Table33[[#This Row],[Category]]="Troop Dues",Table33[[#This Row],[Account Deposit Amount]]-Table33[[#This Row],[Account Withdrawl Amount]], )</f>
        <v>0</v>
      </c>
      <c r="N170" s="243">
        <f>IF(Table33[[#This Row],[Category]]="Other Income",Table33[[#This Row],[Account Deposit Amount]]-Table33[[#This Row],[Account Withdrawl Amount]], )</f>
        <v>0</v>
      </c>
      <c r="O170" s="243">
        <f>IF(Table33[[#This Row],[Category]]="Registration",Table33[[#This Row],[Account Deposit Amount]]-Table33[[#This Row],[Account Withdrawl Amount]], )</f>
        <v>0</v>
      </c>
      <c r="P170" s="243">
        <f>IF(Table33[[#This Row],[Category]]="Insignia",Table33[[#This Row],[Account Deposit Amount]]-Table33[[#This Row],[Account Withdrawl Amount]], )</f>
        <v>0</v>
      </c>
      <c r="Q170" s="243">
        <f>IF(Table33[[#This Row],[Category]]="Activities/Program",Table33[[#This Row],[Account Deposit Amount]]-Table33[[#This Row],[Account Withdrawl Amount]], )</f>
        <v>0</v>
      </c>
      <c r="R170" s="243">
        <f>IF(Table33[[#This Row],[Category]]="Travel",Table33[[#This Row],[Account Deposit Amount]]-Table33[[#This Row],[Account Withdrawl Amount]], )</f>
        <v>0</v>
      </c>
      <c r="S170" s="243">
        <f>IF(Table33[[#This Row],[Category]]="Parties Food &amp; Beverages",Table33[[#This Row],[Account Deposit Amount]]-Table33[[#This Row],[Account Withdrawl Amount]], )</f>
        <v>0</v>
      </c>
      <c r="T170" s="243">
        <f>IF(Table33[[#This Row],[Category]]="Service Projects Donation",Table33[[#This Row],[Account Deposit Amount]]-Table33[[#This Row],[Account Withdrawl Amount]], )</f>
        <v>0</v>
      </c>
      <c r="U170" s="243">
        <f>IF(Table33[[#This Row],[Category]]="Cookie Debt",Table33[[#This Row],[Account Deposit Amount]]-Table33[[#This Row],[Account Withdrawl Amount]], )</f>
        <v>0</v>
      </c>
      <c r="V170" s="243">
        <f>IF(Table33[[#This Row],[Category]]="Other Expense",Table33[[#This Row],[Account Deposit Amount]]-Table33[[#This Row],[Account Withdrawl Amount]], )</f>
        <v>0</v>
      </c>
    </row>
    <row r="171" spans="1:22">
      <c r="A171" s="225"/>
      <c r="B171" s="241"/>
      <c r="C171" s="244"/>
      <c r="D171" s="225"/>
      <c r="E171" s="242"/>
      <c r="F171" s="242"/>
      <c r="G171" s="243">
        <f t="shared" si="4"/>
        <v>0</v>
      </c>
      <c r="H171" s="225"/>
      <c r="I171" s="243">
        <f>IF(Table33[[#This Row],[Category]]="Fall Product",Table33[[#This Row],[Account Deposit Amount]]-Table33[[#This Row],[Account Withdrawl Amount]], )</f>
        <v>0</v>
      </c>
      <c r="J171" s="243">
        <f>IF(Table33[[#This Row],[Category]]="Cookies",Table33[[#This Row],[Account Deposit Amount]]-Table33[[#This Row],[Account Withdrawl Amount]], )</f>
        <v>0</v>
      </c>
      <c r="K171" s="243">
        <f>IF(Table33[[#This Row],[Category]]="Additional Money Earning Activities",Table33[[#This Row],[Account Deposit Amount]]-Table33[[#This Row],[Account Withdrawl Amount]], )</f>
        <v>0</v>
      </c>
      <c r="L171" s="243">
        <f>IF(Table33[[#This Row],[Category]]="Sponsorships",Table33[[#This Row],[Account Deposit Amount]]-Table33[[#This Row],[Account Withdrawl Amount]], )</f>
        <v>0</v>
      </c>
      <c r="M171" s="243">
        <f>IF(Table33[[#This Row],[Category]]="Troop Dues",Table33[[#This Row],[Account Deposit Amount]]-Table33[[#This Row],[Account Withdrawl Amount]], )</f>
        <v>0</v>
      </c>
      <c r="N171" s="243">
        <f>IF(Table33[[#This Row],[Category]]="Other Income",Table33[[#This Row],[Account Deposit Amount]]-Table33[[#This Row],[Account Withdrawl Amount]], )</f>
        <v>0</v>
      </c>
      <c r="O171" s="243">
        <f>IF(Table33[[#This Row],[Category]]="Registration",Table33[[#This Row],[Account Deposit Amount]]-Table33[[#This Row],[Account Withdrawl Amount]], )</f>
        <v>0</v>
      </c>
      <c r="P171" s="243">
        <f>IF(Table33[[#This Row],[Category]]="Insignia",Table33[[#This Row],[Account Deposit Amount]]-Table33[[#This Row],[Account Withdrawl Amount]], )</f>
        <v>0</v>
      </c>
      <c r="Q171" s="243">
        <f>IF(Table33[[#This Row],[Category]]="Activities/Program",Table33[[#This Row],[Account Deposit Amount]]-Table33[[#This Row],[Account Withdrawl Amount]], )</f>
        <v>0</v>
      </c>
      <c r="R171" s="243">
        <f>IF(Table33[[#This Row],[Category]]="Travel",Table33[[#This Row],[Account Deposit Amount]]-Table33[[#This Row],[Account Withdrawl Amount]], )</f>
        <v>0</v>
      </c>
      <c r="S171" s="243">
        <f>IF(Table33[[#This Row],[Category]]="Parties Food &amp; Beverages",Table33[[#This Row],[Account Deposit Amount]]-Table33[[#This Row],[Account Withdrawl Amount]], )</f>
        <v>0</v>
      </c>
      <c r="T171" s="243">
        <f>IF(Table33[[#This Row],[Category]]="Service Projects Donation",Table33[[#This Row],[Account Deposit Amount]]-Table33[[#This Row],[Account Withdrawl Amount]], )</f>
        <v>0</v>
      </c>
      <c r="U171" s="243">
        <f>IF(Table33[[#This Row],[Category]]="Cookie Debt",Table33[[#This Row],[Account Deposit Amount]]-Table33[[#This Row],[Account Withdrawl Amount]], )</f>
        <v>0</v>
      </c>
      <c r="V171" s="243">
        <f>IF(Table33[[#This Row],[Category]]="Other Expense",Table33[[#This Row],[Account Deposit Amount]]-Table33[[#This Row],[Account Withdrawl Amount]], )</f>
        <v>0</v>
      </c>
    </row>
    <row r="172" spans="1:22">
      <c r="A172" s="225"/>
      <c r="B172" s="241"/>
      <c r="C172" s="244"/>
      <c r="D172" s="225"/>
      <c r="E172" s="242"/>
      <c r="F172" s="242"/>
      <c r="G172" s="243">
        <f t="shared" si="4"/>
        <v>0</v>
      </c>
      <c r="H172" s="225"/>
      <c r="I172" s="243">
        <f>IF(Table33[[#This Row],[Category]]="Fall Product",Table33[[#This Row],[Account Deposit Amount]]-Table33[[#This Row],[Account Withdrawl Amount]], )</f>
        <v>0</v>
      </c>
      <c r="J172" s="243">
        <f>IF(Table33[[#This Row],[Category]]="Cookies",Table33[[#This Row],[Account Deposit Amount]]-Table33[[#This Row],[Account Withdrawl Amount]], )</f>
        <v>0</v>
      </c>
      <c r="K172" s="243">
        <f>IF(Table33[[#This Row],[Category]]="Additional Money Earning Activities",Table33[[#This Row],[Account Deposit Amount]]-Table33[[#This Row],[Account Withdrawl Amount]], )</f>
        <v>0</v>
      </c>
      <c r="L172" s="243">
        <f>IF(Table33[[#This Row],[Category]]="Sponsorships",Table33[[#This Row],[Account Deposit Amount]]-Table33[[#This Row],[Account Withdrawl Amount]], )</f>
        <v>0</v>
      </c>
      <c r="M172" s="243">
        <f>IF(Table33[[#This Row],[Category]]="Troop Dues",Table33[[#This Row],[Account Deposit Amount]]-Table33[[#This Row],[Account Withdrawl Amount]], )</f>
        <v>0</v>
      </c>
      <c r="N172" s="243">
        <f>IF(Table33[[#This Row],[Category]]="Other Income",Table33[[#This Row],[Account Deposit Amount]]-Table33[[#This Row],[Account Withdrawl Amount]], )</f>
        <v>0</v>
      </c>
      <c r="O172" s="243">
        <f>IF(Table33[[#This Row],[Category]]="Registration",Table33[[#This Row],[Account Deposit Amount]]-Table33[[#This Row],[Account Withdrawl Amount]], )</f>
        <v>0</v>
      </c>
      <c r="P172" s="243">
        <f>IF(Table33[[#This Row],[Category]]="Insignia",Table33[[#This Row],[Account Deposit Amount]]-Table33[[#This Row],[Account Withdrawl Amount]], )</f>
        <v>0</v>
      </c>
      <c r="Q172" s="243">
        <f>IF(Table33[[#This Row],[Category]]="Activities/Program",Table33[[#This Row],[Account Deposit Amount]]-Table33[[#This Row],[Account Withdrawl Amount]], )</f>
        <v>0</v>
      </c>
      <c r="R172" s="243">
        <f>IF(Table33[[#This Row],[Category]]="Travel",Table33[[#This Row],[Account Deposit Amount]]-Table33[[#This Row],[Account Withdrawl Amount]], )</f>
        <v>0</v>
      </c>
      <c r="S172" s="243">
        <f>IF(Table33[[#This Row],[Category]]="Parties Food &amp; Beverages",Table33[[#This Row],[Account Deposit Amount]]-Table33[[#This Row],[Account Withdrawl Amount]], )</f>
        <v>0</v>
      </c>
      <c r="T172" s="243">
        <f>IF(Table33[[#This Row],[Category]]="Service Projects Donation",Table33[[#This Row],[Account Deposit Amount]]-Table33[[#This Row],[Account Withdrawl Amount]], )</f>
        <v>0</v>
      </c>
      <c r="U172" s="243">
        <f>IF(Table33[[#This Row],[Category]]="Cookie Debt",Table33[[#This Row],[Account Deposit Amount]]-Table33[[#This Row],[Account Withdrawl Amount]], )</f>
        <v>0</v>
      </c>
      <c r="V172" s="243">
        <f>IF(Table33[[#This Row],[Category]]="Other Expense",Table33[[#This Row],[Account Deposit Amount]]-Table33[[#This Row],[Account Withdrawl Amount]], )</f>
        <v>0</v>
      </c>
    </row>
    <row r="173" spans="1:22">
      <c r="A173" s="225"/>
      <c r="B173" s="241"/>
      <c r="C173" s="244"/>
      <c r="D173" s="225"/>
      <c r="E173" s="242"/>
      <c r="F173" s="242"/>
      <c r="G173" s="243">
        <f t="shared" si="4"/>
        <v>0</v>
      </c>
      <c r="H173" s="225"/>
      <c r="I173" s="243">
        <f>IF(Table33[[#This Row],[Category]]="Fall Product",Table33[[#This Row],[Account Deposit Amount]]-Table33[[#This Row],[Account Withdrawl Amount]], )</f>
        <v>0</v>
      </c>
      <c r="J173" s="243">
        <f>IF(Table33[[#This Row],[Category]]="Cookies",Table33[[#This Row],[Account Deposit Amount]]-Table33[[#This Row],[Account Withdrawl Amount]], )</f>
        <v>0</v>
      </c>
      <c r="K173" s="243">
        <f>IF(Table33[[#This Row],[Category]]="Additional Money Earning Activities",Table33[[#This Row],[Account Deposit Amount]]-Table33[[#This Row],[Account Withdrawl Amount]], )</f>
        <v>0</v>
      </c>
      <c r="L173" s="243">
        <f>IF(Table33[[#This Row],[Category]]="Sponsorships",Table33[[#This Row],[Account Deposit Amount]]-Table33[[#This Row],[Account Withdrawl Amount]], )</f>
        <v>0</v>
      </c>
      <c r="M173" s="243">
        <f>IF(Table33[[#This Row],[Category]]="Troop Dues",Table33[[#This Row],[Account Deposit Amount]]-Table33[[#This Row],[Account Withdrawl Amount]], )</f>
        <v>0</v>
      </c>
      <c r="N173" s="243">
        <f>IF(Table33[[#This Row],[Category]]="Other Income",Table33[[#This Row],[Account Deposit Amount]]-Table33[[#This Row],[Account Withdrawl Amount]], )</f>
        <v>0</v>
      </c>
      <c r="O173" s="243">
        <f>IF(Table33[[#This Row],[Category]]="Registration",Table33[[#This Row],[Account Deposit Amount]]-Table33[[#This Row],[Account Withdrawl Amount]], )</f>
        <v>0</v>
      </c>
      <c r="P173" s="243">
        <f>IF(Table33[[#This Row],[Category]]="Insignia",Table33[[#This Row],[Account Deposit Amount]]-Table33[[#This Row],[Account Withdrawl Amount]], )</f>
        <v>0</v>
      </c>
      <c r="Q173" s="243">
        <f>IF(Table33[[#This Row],[Category]]="Activities/Program",Table33[[#This Row],[Account Deposit Amount]]-Table33[[#This Row],[Account Withdrawl Amount]], )</f>
        <v>0</v>
      </c>
      <c r="R173" s="243">
        <f>IF(Table33[[#This Row],[Category]]="Travel",Table33[[#This Row],[Account Deposit Amount]]-Table33[[#This Row],[Account Withdrawl Amount]], )</f>
        <v>0</v>
      </c>
      <c r="S173" s="243">
        <f>IF(Table33[[#This Row],[Category]]="Parties Food &amp; Beverages",Table33[[#This Row],[Account Deposit Amount]]-Table33[[#This Row],[Account Withdrawl Amount]], )</f>
        <v>0</v>
      </c>
      <c r="T173" s="243">
        <f>IF(Table33[[#This Row],[Category]]="Service Projects Donation",Table33[[#This Row],[Account Deposit Amount]]-Table33[[#This Row],[Account Withdrawl Amount]], )</f>
        <v>0</v>
      </c>
      <c r="U173" s="243">
        <f>IF(Table33[[#This Row],[Category]]="Cookie Debt",Table33[[#This Row],[Account Deposit Amount]]-Table33[[#This Row],[Account Withdrawl Amount]], )</f>
        <v>0</v>
      </c>
      <c r="V173" s="243">
        <f>IF(Table33[[#This Row],[Category]]="Other Expense",Table33[[#This Row],[Account Deposit Amount]]-Table33[[#This Row],[Account Withdrawl Amount]], )</f>
        <v>0</v>
      </c>
    </row>
    <row r="174" spans="1:22">
      <c r="A174" s="225"/>
      <c r="B174" s="241"/>
      <c r="C174" s="244"/>
      <c r="D174" s="225"/>
      <c r="E174" s="242"/>
      <c r="F174" s="242"/>
      <c r="G174" s="243">
        <f t="shared" si="4"/>
        <v>0</v>
      </c>
      <c r="H174" s="225"/>
      <c r="I174" s="243">
        <f>IF(Table33[[#This Row],[Category]]="Fall Product",Table33[[#This Row],[Account Deposit Amount]]-Table33[[#This Row],[Account Withdrawl Amount]], )</f>
        <v>0</v>
      </c>
      <c r="J174" s="243">
        <f>IF(Table33[[#This Row],[Category]]="Cookies",Table33[[#This Row],[Account Deposit Amount]]-Table33[[#This Row],[Account Withdrawl Amount]], )</f>
        <v>0</v>
      </c>
      <c r="K174" s="243">
        <f>IF(Table33[[#This Row],[Category]]="Additional Money Earning Activities",Table33[[#This Row],[Account Deposit Amount]]-Table33[[#This Row],[Account Withdrawl Amount]], )</f>
        <v>0</v>
      </c>
      <c r="L174" s="243">
        <f>IF(Table33[[#This Row],[Category]]="Sponsorships",Table33[[#This Row],[Account Deposit Amount]]-Table33[[#This Row],[Account Withdrawl Amount]], )</f>
        <v>0</v>
      </c>
      <c r="M174" s="243">
        <f>IF(Table33[[#This Row],[Category]]="Troop Dues",Table33[[#This Row],[Account Deposit Amount]]-Table33[[#This Row],[Account Withdrawl Amount]], )</f>
        <v>0</v>
      </c>
      <c r="N174" s="243">
        <f>IF(Table33[[#This Row],[Category]]="Other Income",Table33[[#This Row],[Account Deposit Amount]]-Table33[[#This Row],[Account Withdrawl Amount]], )</f>
        <v>0</v>
      </c>
      <c r="O174" s="243">
        <f>IF(Table33[[#This Row],[Category]]="Registration",Table33[[#This Row],[Account Deposit Amount]]-Table33[[#This Row],[Account Withdrawl Amount]], )</f>
        <v>0</v>
      </c>
      <c r="P174" s="243">
        <f>IF(Table33[[#This Row],[Category]]="Insignia",Table33[[#This Row],[Account Deposit Amount]]-Table33[[#This Row],[Account Withdrawl Amount]], )</f>
        <v>0</v>
      </c>
      <c r="Q174" s="243">
        <f>IF(Table33[[#This Row],[Category]]="Activities/Program",Table33[[#This Row],[Account Deposit Amount]]-Table33[[#This Row],[Account Withdrawl Amount]], )</f>
        <v>0</v>
      </c>
      <c r="R174" s="243">
        <f>IF(Table33[[#This Row],[Category]]="Travel",Table33[[#This Row],[Account Deposit Amount]]-Table33[[#This Row],[Account Withdrawl Amount]], )</f>
        <v>0</v>
      </c>
      <c r="S174" s="243">
        <f>IF(Table33[[#This Row],[Category]]="Parties Food &amp; Beverages",Table33[[#This Row],[Account Deposit Amount]]-Table33[[#This Row],[Account Withdrawl Amount]], )</f>
        <v>0</v>
      </c>
      <c r="T174" s="243">
        <f>IF(Table33[[#This Row],[Category]]="Service Projects Donation",Table33[[#This Row],[Account Deposit Amount]]-Table33[[#This Row],[Account Withdrawl Amount]], )</f>
        <v>0</v>
      </c>
      <c r="U174" s="243">
        <f>IF(Table33[[#This Row],[Category]]="Cookie Debt",Table33[[#This Row],[Account Deposit Amount]]-Table33[[#This Row],[Account Withdrawl Amount]], )</f>
        <v>0</v>
      </c>
      <c r="V174" s="243">
        <f>IF(Table33[[#This Row],[Category]]="Other Expense",Table33[[#This Row],[Account Deposit Amount]]-Table33[[#This Row],[Account Withdrawl Amount]], )</f>
        <v>0</v>
      </c>
    </row>
    <row r="175" spans="1:22">
      <c r="A175" s="225"/>
      <c r="B175" s="241"/>
      <c r="C175" s="244"/>
      <c r="D175" s="225"/>
      <c r="E175" s="242"/>
      <c r="F175" s="242"/>
      <c r="G175" s="243">
        <f t="shared" si="4"/>
        <v>0</v>
      </c>
      <c r="H175" s="225"/>
      <c r="I175" s="243">
        <f>IF(Table33[[#This Row],[Category]]="Fall Product",Table33[[#This Row],[Account Deposit Amount]]-Table33[[#This Row],[Account Withdrawl Amount]], )</f>
        <v>0</v>
      </c>
      <c r="J175" s="243">
        <f>IF(Table33[[#This Row],[Category]]="Cookies",Table33[[#This Row],[Account Deposit Amount]]-Table33[[#This Row],[Account Withdrawl Amount]], )</f>
        <v>0</v>
      </c>
      <c r="K175" s="243">
        <f>IF(Table33[[#This Row],[Category]]="Additional Money Earning Activities",Table33[[#This Row],[Account Deposit Amount]]-Table33[[#This Row],[Account Withdrawl Amount]], )</f>
        <v>0</v>
      </c>
      <c r="L175" s="243">
        <f>IF(Table33[[#This Row],[Category]]="Sponsorships",Table33[[#This Row],[Account Deposit Amount]]-Table33[[#This Row],[Account Withdrawl Amount]], )</f>
        <v>0</v>
      </c>
      <c r="M175" s="243">
        <f>IF(Table33[[#This Row],[Category]]="Troop Dues",Table33[[#This Row],[Account Deposit Amount]]-Table33[[#This Row],[Account Withdrawl Amount]], )</f>
        <v>0</v>
      </c>
      <c r="N175" s="243">
        <f>IF(Table33[[#This Row],[Category]]="Other Income",Table33[[#This Row],[Account Deposit Amount]]-Table33[[#This Row],[Account Withdrawl Amount]], )</f>
        <v>0</v>
      </c>
      <c r="O175" s="243">
        <f>IF(Table33[[#This Row],[Category]]="Registration",Table33[[#This Row],[Account Deposit Amount]]-Table33[[#This Row],[Account Withdrawl Amount]], )</f>
        <v>0</v>
      </c>
      <c r="P175" s="243">
        <f>IF(Table33[[#This Row],[Category]]="Insignia",Table33[[#This Row],[Account Deposit Amount]]-Table33[[#This Row],[Account Withdrawl Amount]], )</f>
        <v>0</v>
      </c>
      <c r="Q175" s="243">
        <f>IF(Table33[[#This Row],[Category]]="Activities/Program",Table33[[#This Row],[Account Deposit Amount]]-Table33[[#This Row],[Account Withdrawl Amount]], )</f>
        <v>0</v>
      </c>
      <c r="R175" s="243">
        <f>IF(Table33[[#This Row],[Category]]="Travel",Table33[[#This Row],[Account Deposit Amount]]-Table33[[#This Row],[Account Withdrawl Amount]], )</f>
        <v>0</v>
      </c>
      <c r="S175" s="243">
        <f>IF(Table33[[#This Row],[Category]]="Parties Food &amp; Beverages",Table33[[#This Row],[Account Deposit Amount]]-Table33[[#This Row],[Account Withdrawl Amount]], )</f>
        <v>0</v>
      </c>
      <c r="T175" s="243">
        <f>IF(Table33[[#This Row],[Category]]="Service Projects Donation",Table33[[#This Row],[Account Deposit Amount]]-Table33[[#This Row],[Account Withdrawl Amount]], )</f>
        <v>0</v>
      </c>
      <c r="U175" s="243">
        <f>IF(Table33[[#This Row],[Category]]="Cookie Debt",Table33[[#This Row],[Account Deposit Amount]]-Table33[[#This Row],[Account Withdrawl Amount]], )</f>
        <v>0</v>
      </c>
      <c r="V175" s="243">
        <f>IF(Table33[[#This Row],[Category]]="Other Expense",Table33[[#This Row],[Account Deposit Amount]]-Table33[[#This Row],[Account Withdrawl Amount]], )</f>
        <v>0</v>
      </c>
    </row>
    <row r="176" spans="1:22">
      <c r="A176" s="225"/>
      <c r="B176" s="241"/>
      <c r="C176" s="244"/>
      <c r="D176" s="225"/>
      <c r="E176" s="242"/>
      <c r="F176" s="242"/>
      <c r="G176" s="243">
        <f t="shared" si="4"/>
        <v>0</v>
      </c>
      <c r="H176" s="225"/>
      <c r="I176" s="243">
        <f>IF(Table33[[#This Row],[Category]]="Fall Product",Table33[[#This Row],[Account Deposit Amount]]-Table33[[#This Row],[Account Withdrawl Amount]], )</f>
        <v>0</v>
      </c>
      <c r="J176" s="243">
        <f>IF(Table33[[#This Row],[Category]]="Cookies",Table33[[#This Row],[Account Deposit Amount]]-Table33[[#This Row],[Account Withdrawl Amount]], )</f>
        <v>0</v>
      </c>
      <c r="K176" s="243">
        <f>IF(Table33[[#This Row],[Category]]="Additional Money Earning Activities",Table33[[#This Row],[Account Deposit Amount]]-Table33[[#This Row],[Account Withdrawl Amount]], )</f>
        <v>0</v>
      </c>
      <c r="L176" s="243">
        <f>IF(Table33[[#This Row],[Category]]="Sponsorships",Table33[[#This Row],[Account Deposit Amount]]-Table33[[#This Row],[Account Withdrawl Amount]], )</f>
        <v>0</v>
      </c>
      <c r="M176" s="243">
        <f>IF(Table33[[#This Row],[Category]]="Troop Dues",Table33[[#This Row],[Account Deposit Amount]]-Table33[[#This Row],[Account Withdrawl Amount]], )</f>
        <v>0</v>
      </c>
      <c r="N176" s="243">
        <f>IF(Table33[[#This Row],[Category]]="Other Income",Table33[[#This Row],[Account Deposit Amount]]-Table33[[#This Row],[Account Withdrawl Amount]], )</f>
        <v>0</v>
      </c>
      <c r="O176" s="243">
        <f>IF(Table33[[#This Row],[Category]]="Registration",Table33[[#This Row],[Account Deposit Amount]]-Table33[[#This Row],[Account Withdrawl Amount]], )</f>
        <v>0</v>
      </c>
      <c r="P176" s="243">
        <f>IF(Table33[[#This Row],[Category]]="Insignia",Table33[[#This Row],[Account Deposit Amount]]-Table33[[#This Row],[Account Withdrawl Amount]], )</f>
        <v>0</v>
      </c>
      <c r="Q176" s="243">
        <f>IF(Table33[[#This Row],[Category]]="Activities/Program",Table33[[#This Row],[Account Deposit Amount]]-Table33[[#This Row],[Account Withdrawl Amount]], )</f>
        <v>0</v>
      </c>
      <c r="R176" s="243">
        <f>IF(Table33[[#This Row],[Category]]="Travel",Table33[[#This Row],[Account Deposit Amount]]-Table33[[#This Row],[Account Withdrawl Amount]], )</f>
        <v>0</v>
      </c>
      <c r="S176" s="243">
        <f>IF(Table33[[#This Row],[Category]]="Parties Food &amp; Beverages",Table33[[#This Row],[Account Deposit Amount]]-Table33[[#This Row],[Account Withdrawl Amount]], )</f>
        <v>0</v>
      </c>
      <c r="T176" s="243">
        <f>IF(Table33[[#This Row],[Category]]="Service Projects Donation",Table33[[#This Row],[Account Deposit Amount]]-Table33[[#This Row],[Account Withdrawl Amount]], )</f>
        <v>0</v>
      </c>
      <c r="U176" s="243">
        <f>IF(Table33[[#This Row],[Category]]="Cookie Debt",Table33[[#This Row],[Account Deposit Amount]]-Table33[[#This Row],[Account Withdrawl Amount]], )</f>
        <v>0</v>
      </c>
      <c r="V176" s="243">
        <f>IF(Table33[[#This Row],[Category]]="Other Expense",Table33[[#This Row],[Account Deposit Amount]]-Table33[[#This Row],[Account Withdrawl Amount]], )</f>
        <v>0</v>
      </c>
    </row>
    <row r="177" spans="1:22">
      <c r="A177" s="225"/>
      <c r="B177" s="241"/>
      <c r="C177" s="244"/>
      <c r="D177" s="225"/>
      <c r="E177" s="242"/>
      <c r="F177" s="242"/>
      <c r="G177" s="243">
        <f t="shared" si="4"/>
        <v>0</v>
      </c>
      <c r="H177" s="225"/>
      <c r="I177" s="243">
        <f>IF(Table33[[#This Row],[Category]]="Fall Product",Table33[[#This Row],[Account Deposit Amount]]-Table33[[#This Row],[Account Withdrawl Amount]], )</f>
        <v>0</v>
      </c>
      <c r="J177" s="243">
        <f>IF(Table33[[#This Row],[Category]]="Cookies",Table33[[#This Row],[Account Deposit Amount]]-Table33[[#This Row],[Account Withdrawl Amount]], )</f>
        <v>0</v>
      </c>
      <c r="K177" s="243">
        <f>IF(Table33[[#This Row],[Category]]="Additional Money Earning Activities",Table33[[#This Row],[Account Deposit Amount]]-Table33[[#This Row],[Account Withdrawl Amount]], )</f>
        <v>0</v>
      </c>
      <c r="L177" s="243">
        <f>IF(Table33[[#This Row],[Category]]="Sponsorships",Table33[[#This Row],[Account Deposit Amount]]-Table33[[#This Row],[Account Withdrawl Amount]], )</f>
        <v>0</v>
      </c>
      <c r="M177" s="243">
        <f>IF(Table33[[#This Row],[Category]]="Troop Dues",Table33[[#This Row],[Account Deposit Amount]]-Table33[[#This Row],[Account Withdrawl Amount]], )</f>
        <v>0</v>
      </c>
      <c r="N177" s="243">
        <f>IF(Table33[[#This Row],[Category]]="Other Income",Table33[[#This Row],[Account Deposit Amount]]-Table33[[#This Row],[Account Withdrawl Amount]], )</f>
        <v>0</v>
      </c>
      <c r="O177" s="243">
        <f>IF(Table33[[#This Row],[Category]]="Registration",Table33[[#This Row],[Account Deposit Amount]]-Table33[[#This Row],[Account Withdrawl Amount]], )</f>
        <v>0</v>
      </c>
      <c r="P177" s="243">
        <f>IF(Table33[[#This Row],[Category]]="Insignia",Table33[[#This Row],[Account Deposit Amount]]-Table33[[#This Row],[Account Withdrawl Amount]], )</f>
        <v>0</v>
      </c>
      <c r="Q177" s="243">
        <f>IF(Table33[[#This Row],[Category]]="Activities/Program",Table33[[#This Row],[Account Deposit Amount]]-Table33[[#This Row],[Account Withdrawl Amount]], )</f>
        <v>0</v>
      </c>
      <c r="R177" s="243">
        <f>IF(Table33[[#This Row],[Category]]="Travel",Table33[[#This Row],[Account Deposit Amount]]-Table33[[#This Row],[Account Withdrawl Amount]], )</f>
        <v>0</v>
      </c>
      <c r="S177" s="243">
        <f>IF(Table33[[#This Row],[Category]]="Parties Food &amp; Beverages",Table33[[#This Row],[Account Deposit Amount]]-Table33[[#This Row],[Account Withdrawl Amount]], )</f>
        <v>0</v>
      </c>
      <c r="T177" s="243">
        <f>IF(Table33[[#This Row],[Category]]="Service Projects Donation",Table33[[#This Row],[Account Deposit Amount]]-Table33[[#This Row],[Account Withdrawl Amount]], )</f>
        <v>0</v>
      </c>
      <c r="U177" s="243">
        <f>IF(Table33[[#This Row],[Category]]="Cookie Debt",Table33[[#This Row],[Account Deposit Amount]]-Table33[[#This Row],[Account Withdrawl Amount]], )</f>
        <v>0</v>
      </c>
      <c r="V177" s="243">
        <f>IF(Table33[[#This Row],[Category]]="Other Expense",Table33[[#This Row],[Account Deposit Amount]]-Table33[[#This Row],[Account Withdrawl Amount]], )</f>
        <v>0</v>
      </c>
    </row>
    <row r="178" spans="1:22">
      <c r="A178" s="225"/>
      <c r="B178" s="241"/>
      <c r="C178" s="244"/>
      <c r="D178" s="225"/>
      <c r="E178" s="242"/>
      <c r="F178" s="242"/>
      <c r="G178" s="243">
        <f t="shared" si="4"/>
        <v>0</v>
      </c>
      <c r="H178" s="225"/>
      <c r="I178" s="243">
        <f>IF(Table33[[#This Row],[Category]]="Fall Product",Table33[[#This Row],[Account Deposit Amount]]-Table33[[#This Row],[Account Withdrawl Amount]], )</f>
        <v>0</v>
      </c>
      <c r="J178" s="243">
        <f>IF(Table33[[#This Row],[Category]]="Cookies",Table33[[#This Row],[Account Deposit Amount]]-Table33[[#This Row],[Account Withdrawl Amount]], )</f>
        <v>0</v>
      </c>
      <c r="K178" s="243">
        <f>IF(Table33[[#This Row],[Category]]="Additional Money Earning Activities",Table33[[#This Row],[Account Deposit Amount]]-Table33[[#This Row],[Account Withdrawl Amount]], )</f>
        <v>0</v>
      </c>
      <c r="L178" s="243">
        <f>IF(Table33[[#This Row],[Category]]="Sponsorships",Table33[[#This Row],[Account Deposit Amount]]-Table33[[#This Row],[Account Withdrawl Amount]], )</f>
        <v>0</v>
      </c>
      <c r="M178" s="243">
        <f>IF(Table33[[#This Row],[Category]]="Troop Dues",Table33[[#This Row],[Account Deposit Amount]]-Table33[[#This Row],[Account Withdrawl Amount]], )</f>
        <v>0</v>
      </c>
      <c r="N178" s="243">
        <f>IF(Table33[[#This Row],[Category]]="Other Income",Table33[[#This Row],[Account Deposit Amount]]-Table33[[#This Row],[Account Withdrawl Amount]], )</f>
        <v>0</v>
      </c>
      <c r="O178" s="243">
        <f>IF(Table33[[#This Row],[Category]]="Registration",Table33[[#This Row],[Account Deposit Amount]]-Table33[[#This Row],[Account Withdrawl Amount]], )</f>
        <v>0</v>
      </c>
      <c r="P178" s="243">
        <f>IF(Table33[[#This Row],[Category]]="Insignia",Table33[[#This Row],[Account Deposit Amount]]-Table33[[#This Row],[Account Withdrawl Amount]], )</f>
        <v>0</v>
      </c>
      <c r="Q178" s="243">
        <f>IF(Table33[[#This Row],[Category]]="Activities/Program",Table33[[#This Row],[Account Deposit Amount]]-Table33[[#This Row],[Account Withdrawl Amount]], )</f>
        <v>0</v>
      </c>
      <c r="R178" s="243">
        <f>IF(Table33[[#This Row],[Category]]="Travel",Table33[[#This Row],[Account Deposit Amount]]-Table33[[#This Row],[Account Withdrawl Amount]], )</f>
        <v>0</v>
      </c>
      <c r="S178" s="243">
        <f>IF(Table33[[#This Row],[Category]]="Parties Food &amp; Beverages",Table33[[#This Row],[Account Deposit Amount]]-Table33[[#This Row],[Account Withdrawl Amount]], )</f>
        <v>0</v>
      </c>
      <c r="T178" s="243">
        <f>IF(Table33[[#This Row],[Category]]="Service Projects Donation",Table33[[#This Row],[Account Deposit Amount]]-Table33[[#This Row],[Account Withdrawl Amount]], )</f>
        <v>0</v>
      </c>
      <c r="U178" s="243">
        <f>IF(Table33[[#This Row],[Category]]="Cookie Debt",Table33[[#This Row],[Account Deposit Amount]]-Table33[[#This Row],[Account Withdrawl Amount]], )</f>
        <v>0</v>
      </c>
      <c r="V178" s="243">
        <f>IF(Table33[[#This Row],[Category]]="Other Expense",Table33[[#This Row],[Account Deposit Amount]]-Table33[[#This Row],[Account Withdrawl Amount]], )</f>
        <v>0</v>
      </c>
    </row>
    <row r="179" spans="1:22">
      <c r="A179" s="225"/>
      <c r="B179" s="241"/>
      <c r="C179" s="244"/>
      <c r="D179" s="225"/>
      <c r="E179" s="242"/>
      <c r="F179" s="242"/>
      <c r="G179" s="243">
        <f t="shared" si="4"/>
        <v>0</v>
      </c>
      <c r="H179" s="225"/>
      <c r="I179" s="243">
        <f>IF(Table33[[#This Row],[Category]]="Fall Product",Table33[[#This Row],[Account Deposit Amount]]-Table33[[#This Row],[Account Withdrawl Amount]], )</f>
        <v>0</v>
      </c>
      <c r="J179" s="243">
        <f>IF(Table33[[#This Row],[Category]]="Cookies",Table33[[#This Row],[Account Deposit Amount]]-Table33[[#This Row],[Account Withdrawl Amount]], )</f>
        <v>0</v>
      </c>
      <c r="K179" s="243">
        <f>IF(Table33[[#This Row],[Category]]="Additional Money Earning Activities",Table33[[#This Row],[Account Deposit Amount]]-Table33[[#This Row],[Account Withdrawl Amount]], )</f>
        <v>0</v>
      </c>
      <c r="L179" s="243">
        <f>IF(Table33[[#This Row],[Category]]="Sponsorships",Table33[[#This Row],[Account Deposit Amount]]-Table33[[#This Row],[Account Withdrawl Amount]], )</f>
        <v>0</v>
      </c>
      <c r="M179" s="243">
        <f>IF(Table33[[#This Row],[Category]]="Troop Dues",Table33[[#This Row],[Account Deposit Amount]]-Table33[[#This Row],[Account Withdrawl Amount]], )</f>
        <v>0</v>
      </c>
      <c r="N179" s="243">
        <f>IF(Table33[[#This Row],[Category]]="Other Income",Table33[[#This Row],[Account Deposit Amount]]-Table33[[#This Row],[Account Withdrawl Amount]], )</f>
        <v>0</v>
      </c>
      <c r="O179" s="243">
        <f>IF(Table33[[#This Row],[Category]]="Registration",Table33[[#This Row],[Account Deposit Amount]]-Table33[[#This Row],[Account Withdrawl Amount]], )</f>
        <v>0</v>
      </c>
      <c r="P179" s="243">
        <f>IF(Table33[[#This Row],[Category]]="Insignia",Table33[[#This Row],[Account Deposit Amount]]-Table33[[#This Row],[Account Withdrawl Amount]], )</f>
        <v>0</v>
      </c>
      <c r="Q179" s="243">
        <f>IF(Table33[[#This Row],[Category]]="Activities/Program",Table33[[#This Row],[Account Deposit Amount]]-Table33[[#This Row],[Account Withdrawl Amount]], )</f>
        <v>0</v>
      </c>
      <c r="R179" s="243">
        <f>IF(Table33[[#This Row],[Category]]="Travel",Table33[[#This Row],[Account Deposit Amount]]-Table33[[#This Row],[Account Withdrawl Amount]], )</f>
        <v>0</v>
      </c>
      <c r="S179" s="243">
        <f>IF(Table33[[#This Row],[Category]]="Parties Food &amp; Beverages",Table33[[#This Row],[Account Deposit Amount]]-Table33[[#This Row],[Account Withdrawl Amount]], )</f>
        <v>0</v>
      </c>
      <c r="T179" s="243">
        <f>IF(Table33[[#This Row],[Category]]="Service Projects Donation",Table33[[#This Row],[Account Deposit Amount]]-Table33[[#This Row],[Account Withdrawl Amount]], )</f>
        <v>0</v>
      </c>
      <c r="U179" s="243">
        <f>IF(Table33[[#This Row],[Category]]="Cookie Debt",Table33[[#This Row],[Account Deposit Amount]]-Table33[[#This Row],[Account Withdrawl Amount]], )</f>
        <v>0</v>
      </c>
      <c r="V179" s="243">
        <f>IF(Table33[[#This Row],[Category]]="Other Expense",Table33[[#This Row],[Account Deposit Amount]]-Table33[[#This Row],[Account Withdrawl Amount]], )</f>
        <v>0</v>
      </c>
    </row>
    <row r="180" spans="1:22">
      <c r="A180" s="225"/>
      <c r="B180" s="241"/>
      <c r="C180" s="244"/>
      <c r="D180" s="225"/>
      <c r="E180" s="242"/>
      <c r="F180" s="242"/>
      <c r="G180" s="243">
        <f t="shared" si="4"/>
        <v>0</v>
      </c>
      <c r="H180" s="225"/>
      <c r="I180" s="243">
        <f>IF(Table33[[#This Row],[Category]]="Fall Product",Table33[[#This Row],[Account Deposit Amount]]-Table33[[#This Row],[Account Withdrawl Amount]], )</f>
        <v>0</v>
      </c>
      <c r="J180" s="243">
        <f>IF(Table33[[#This Row],[Category]]="Cookies",Table33[[#This Row],[Account Deposit Amount]]-Table33[[#This Row],[Account Withdrawl Amount]], )</f>
        <v>0</v>
      </c>
      <c r="K180" s="243">
        <f>IF(Table33[[#This Row],[Category]]="Additional Money Earning Activities",Table33[[#This Row],[Account Deposit Amount]]-Table33[[#This Row],[Account Withdrawl Amount]], )</f>
        <v>0</v>
      </c>
      <c r="L180" s="243">
        <f>IF(Table33[[#This Row],[Category]]="Sponsorships",Table33[[#This Row],[Account Deposit Amount]]-Table33[[#This Row],[Account Withdrawl Amount]], )</f>
        <v>0</v>
      </c>
      <c r="M180" s="243">
        <f>IF(Table33[[#This Row],[Category]]="Troop Dues",Table33[[#This Row],[Account Deposit Amount]]-Table33[[#This Row],[Account Withdrawl Amount]], )</f>
        <v>0</v>
      </c>
      <c r="N180" s="243">
        <f>IF(Table33[[#This Row],[Category]]="Other Income",Table33[[#This Row],[Account Deposit Amount]]-Table33[[#This Row],[Account Withdrawl Amount]], )</f>
        <v>0</v>
      </c>
      <c r="O180" s="243">
        <f>IF(Table33[[#This Row],[Category]]="Registration",Table33[[#This Row],[Account Deposit Amount]]-Table33[[#This Row],[Account Withdrawl Amount]], )</f>
        <v>0</v>
      </c>
      <c r="P180" s="243">
        <f>IF(Table33[[#This Row],[Category]]="Insignia",Table33[[#This Row],[Account Deposit Amount]]-Table33[[#This Row],[Account Withdrawl Amount]], )</f>
        <v>0</v>
      </c>
      <c r="Q180" s="243">
        <f>IF(Table33[[#This Row],[Category]]="Activities/Program",Table33[[#This Row],[Account Deposit Amount]]-Table33[[#This Row],[Account Withdrawl Amount]], )</f>
        <v>0</v>
      </c>
      <c r="R180" s="243">
        <f>IF(Table33[[#This Row],[Category]]="Travel",Table33[[#This Row],[Account Deposit Amount]]-Table33[[#This Row],[Account Withdrawl Amount]], )</f>
        <v>0</v>
      </c>
      <c r="S180" s="243">
        <f>IF(Table33[[#This Row],[Category]]="Parties Food &amp; Beverages",Table33[[#This Row],[Account Deposit Amount]]-Table33[[#This Row],[Account Withdrawl Amount]], )</f>
        <v>0</v>
      </c>
      <c r="T180" s="243">
        <f>IF(Table33[[#This Row],[Category]]="Service Projects Donation",Table33[[#This Row],[Account Deposit Amount]]-Table33[[#This Row],[Account Withdrawl Amount]], )</f>
        <v>0</v>
      </c>
      <c r="U180" s="243">
        <f>IF(Table33[[#This Row],[Category]]="Cookie Debt",Table33[[#This Row],[Account Deposit Amount]]-Table33[[#This Row],[Account Withdrawl Amount]], )</f>
        <v>0</v>
      </c>
      <c r="V180" s="243">
        <f>IF(Table33[[#This Row],[Category]]="Other Expense",Table33[[#This Row],[Account Deposit Amount]]-Table33[[#This Row],[Account Withdrawl Amount]], )</f>
        <v>0</v>
      </c>
    </row>
    <row r="181" spans="1:22">
      <c r="A181" s="225"/>
      <c r="B181" s="241"/>
      <c r="C181" s="244"/>
      <c r="D181" s="225"/>
      <c r="E181" s="242"/>
      <c r="F181" s="242"/>
      <c r="G181" s="243">
        <f t="shared" si="4"/>
        <v>0</v>
      </c>
      <c r="H181" s="225"/>
      <c r="I181" s="243">
        <f>IF(Table33[[#This Row],[Category]]="Fall Product",Table33[[#This Row],[Account Deposit Amount]]-Table33[[#This Row],[Account Withdrawl Amount]], )</f>
        <v>0</v>
      </c>
      <c r="J181" s="243">
        <f>IF(Table33[[#This Row],[Category]]="Cookies",Table33[[#This Row],[Account Deposit Amount]]-Table33[[#This Row],[Account Withdrawl Amount]], )</f>
        <v>0</v>
      </c>
      <c r="K181" s="243">
        <f>IF(Table33[[#This Row],[Category]]="Additional Money Earning Activities",Table33[[#This Row],[Account Deposit Amount]]-Table33[[#This Row],[Account Withdrawl Amount]], )</f>
        <v>0</v>
      </c>
      <c r="L181" s="243">
        <f>IF(Table33[[#This Row],[Category]]="Sponsorships",Table33[[#This Row],[Account Deposit Amount]]-Table33[[#This Row],[Account Withdrawl Amount]], )</f>
        <v>0</v>
      </c>
      <c r="M181" s="243">
        <f>IF(Table33[[#This Row],[Category]]="Troop Dues",Table33[[#This Row],[Account Deposit Amount]]-Table33[[#This Row],[Account Withdrawl Amount]], )</f>
        <v>0</v>
      </c>
      <c r="N181" s="243">
        <f>IF(Table33[[#This Row],[Category]]="Other Income",Table33[[#This Row],[Account Deposit Amount]]-Table33[[#This Row],[Account Withdrawl Amount]], )</f>
        <v>0</v>
      </c>
      <c r="O181" s="243">
        <f>IF(Table33[[#This Row],[Category]]="Registration",Table33[[#This Row],[Account Deposit Amount]]-Table33[[#This Row],[Account Withdrawl Amount]], )</f>
        <v>0</v>
      </c>
      <c r="P181" s="243">
        <f>IF(Table33[[#This Row],[Category]]="Insignia",Table33[[#This Row],[Account Deposit Amount]]-Table33[[#This Row],[Account Withdrawl Amount]], )</f>
        <v>0</v>
      </c>
      <c r="Q181" s="243">
        <f>IF(Table33[[#This Row],[Category]]="Activities/Program",Table33[[#This Row],[Account Deposit Amount]]-Table33[[#This Row],[Account Withdrawl Amount]], )</f>
        <v>0</v>
      </c>
      <c r="R181" s="243">
        <f>IF(Table33[[#This Row],[Category]]="Travel",Table33[[#This Row],[Account Deposit Amount]]-Table33[[#This Row],[Account Withdrawl Amount]], )</f>
        <v>0</v>
      </c>
      <c r="S181" s="243">
        <f>IF(Table33[[#This Row],[Category]]="Parties Food &amp; Beverages",Table33[[#This Row],[Account Deposit Amount]]-Table33[[#This Row],[Account Withdrawl Amount]], )</f>
        <v>0</v>
      </c>
      <c r="T181" s="243">
        <f>IF(Table33[[#This Row],[Category]]="Service Projects Donation",Table33[[#This Row],[Account Deposit Amount]]-Table33[[#This Row],[Account Withdrawl Amount]], )</f>
        <v>0</v>
      </c>
      <c r="U181" s="243">
        <f>IF(Table33[[#This Row],[Category]]="Cookie Debt",Table33[[#This Row],[Account Deposit Amount]]-Table33[[#This Row],[Account Withdrawl Amount]], )</f>
        <v>0</v>
      </c>
      <c r="V181" s="243">
        <f>IF(Table33[[#This Row],[Category]]="Other Expense",Table33[[#This Row],[Account Deposit Amount]]-Table33[[#This Row],[Account Withdrawl Amount]], )</f>
        <v>0</v>
      </c>
    </row>
    <row r="182" spans="1:22">
      <c r="A182" s="225"/>
      <c r="B182" s="241"/>
      <c r="C182" s="244"/>
      <c r="D182" s="225"/>
      <c r="E182" s="242"/>
      <c r="F182" s="242"/>
      <c r="G182" s="243">
        <f t="shared" si="4"/>
        <v>0</v>
      </c>
      <c r="H182" s="225"/>
      <c r="I182" s="243">
        <f>IF(Table33[[#This Row],[Category]]="Fall Product",Table33[[#This Row],[Account Deposit Amount]]-Table33[[#This Row],[Account Withdrawl Amount]], )</f>
        <v>0</v>
      </c>
      <c r="J182" s="243">
        <f>IF(Table33[[#This Row],[Category]]="Cookies",Table33[[#This Row],[Account Deposit Amount]]-Table33[[#This Row],[Account Withdrawl Amount]], )</f>
        <v>0</v>
      </c>
      <c r="K182" s="243">
        <f>IF(Table33[[#This Row],[Category]]="Additional Money Earning Activities",Table33[[#This Row],[Account Deposit Amount]]-Table33[[#This Row],[Account Withdrawl Amount]], )</f>
        <v>0</v>
      </c>
      <c r="L182" s="243">
        <f>IF(Table33[[#This Row],[Category]]="Sponsorships",Table33[[#This Row],[Account Deposit Amount]]-Table33[[#This Row],[Account Withdrawl Amount]], )</f>
        <v>0</v>
      </c>
      <c r="M182" s="243">
        <f>IF(Table33[[#This Row],[Category]]="Troop Dues",Table33[[#This Row],[Account Deposit Amount]]-Table33[[#This Row],[Account Withdrawl Amount]], )</f>
        <v>0</v>
      </c>
      <c r="N182" s="243">
        <f>IF(Table33[[#This Row],[Category]]="Other Income",Table33[[#This Row],[Account Deposit Amount]]-Table33[[#This Row],[Account Withdrawl Amount]], )</f>
        <v>0</v>
      </c>
      <c r="O182" s="243">
        <f>IF(Table33[[#This Row],[Category]]="Registration",Table33[[#This Row],[Account Deposit Amount]]-Table33[[#This Row],[Account Withdrawl Amount]], )</f>
        <v>0</v>
      </c>
      <c r="P182" s="243">
        <f>IF(Table33[[#This Row],[Category]]="Insignia",Table33[[#This Row],[Account Deposit Amount]]-Table33[[#This Row],[Account Withdrawl Amount]], )</f>
        <v>0</v>
      </c>
      <c r="Q182" s="243">
        <f>IF(Table33[[#This Row],[Category]]="Activities/Program",Table33[[#This Row],[Account Deposit Amount]]-Table33[[#This Row],[Account Withdrawl Amount]], )</f>
        <v>0</v>
      </c>
      <c r="R182" s="243">
        <f>IF(Table33[[#This Row],[Category]]="Travel",Table33[[#This Row],[Account Deposit Amount]]-Table33[[#This Row],[Account Withdrawl Amount]], )</f>
        <v>0</v>
      </c>
      <c r="S182" s="243">
        <f>IF(Table33[[#This Row],[Category]]="Parties Food &amp; Beverages",Table33[[#This Row],[Account Deposit Amount]]-Table33[[#This Row],[Account Withdrawl Amount]], )</f>
        <v>0</v>
      </c>
      <c r="T182" s="243">
        <f>IF(Table33[[#This Row],[Category]]="Service Projects Donation",Table33[[#This Row],[Account Deposit Amount]]-Table33[[#This Row],[Account Withdrawl Amount]], )</f>
        <v>0</v>
      </c>
      <c r="U182" s="243">
        <f>IF(Table33[[#This Row],[Category]]="Cookie Debt",Table33[[#This Row],[Account Deposit Amount]]-Table33[[#This Row],[Account Withdrawl Amount]], )</f>
        <v>0</v>
      </c>
      <c r="V182" s="243">
        <f>IF(Table33[[#This Row],[Category]]="Other Expense",Table33[[#This Row],[Account Deposit Amount]]-Table33[[#This Row],[Account Withdrawl Amount]], )</f>
        <v>0</v>
      </c>
    </row>
    <row r="183" spans="1:22">
      <c r="A183" s="225"/>
      <c r="B183" s="241"/>
      <c r="C183" s="244"/>
      <c r="D183" s="225"/>
      <c r="E183" s="242"/>
      <c r="F183" s="242"/>
      <c r="G183" s="243">
        <f t="shared" si="4"/>
        <v>0</v>
      </c>
      <c r="H183" s="225"/>
      <c r="I183" s="243">
        <f>IF(Table33[[#This Row],[Category]]="Fall Product",Table33[[#This Row],[Account Deposit Amount]]-Table33[[#This Row],[Account Withdrawl Amount]], )</f>
        <v>0</v>
      </c>
      <c r="J183" s="243">
        <f>IF(Table33[[#This Row],[Category]]="Cookies",Table33[[#This Row],[Account Deposit Amount]]-Table33[[#This Row],[Account Withdrawl Amount]], )</f>
        <v>0</v>
      </c>
      <c r="K183" s="243">
        <f>IF(Table33[[#This Row],[Category]]="Additional Money Earning Activities",Table33[[#This Row],[Account Deposit Amount]]-Table33[[#This Row],[Account Withdrawl Amount]], )</f>
        <v>0</v>
      </c>
      <c r="L183" s="243">
        <f>IF(Table33[[#This Row],[Category]]="Sponsorships",Table33[[#This Row],[Account Deposit Amount]]-Table33[[#This Row],[Account Withdrawl Amount]], )</f>
        <v>0</v>
      </c>
      <c r="M183" s="243">
        <f>IF(Table33[[#This Row],[Category]]="Troop Dues",Table33[[#This Row],[Account Deposit Amount]]-Table33[[#This Row],[Account Withdrawl Amount]], )</f>
        <v>0</v>
      </c>
      <c r="N183" s="243">
        <f>IF(Table33[[#This Row],[Category]]="Other Income",Table33[[#This Row],[Account Deposit Amount]]-Table33[[#This Row],[Account Withdrawl Amount]], )</f>
        <v>0</v>
      </c>
      <c r="O183" s="243">
        <f>IF(Table33[[#This Row],[Category]]="Registration",Table33[[#This Row],[Account Deposit Amount]]-Table33[[#This Row],[Account Withdrawl Amount]], )</f>
        <v>0</v>
      </c>
      <c r="P183" s="243">
        <f>IF(Table33[[#This Row],[Category]]="Insignia",Table33[[#This Row],[Account Deposit Amount]]-Table33[[#This Row],[Account Withdrawl Amount]], )</f>
        <v>0</v>
      </c>
      <c r="Q183" s="243">
        <f>IF(Table33[[#This Row],[Category]]="Activities/Program",Table33[[#This Row],[Account Deposit Amount]]-Table33[[#This Row],[Account Withdrawl Amount]], )</f>
        <v>0</v>
      </c>
      <c r="R183" s="243">
        <f>IF(Table33[[#This Row],[Category]]="Travel",Table33[[#This Row],[Account Deposit Amount]]-Table33[[#This Row],[Account Withdrawl Amount]], )</f>
        <v>0</v>
      </c>
      <c r="S183" s="243">
        <f>IF(Table33[[#This Row],[Category]]="Parties Food &amp; Beverages",Table33[[#This Row],[Account Deposit Amount]]-Table33[[#This Row],[Account Withdrawl Amount]], )</f>
        <v>0</v>
      </c>
      <c r="T183" s="243">
        <f>IF(Table33[[#This Row],[Category]]="Service Projects Donation",Table33[[#This Row],[Account Deposit Amount]]-Table33[[#This Row],[Account Withdrawl Amount]], )</f>
        <v>0</v>
      </c>
      <c r="U183" s="243">
        <f>IF(Table33[[#This Row],[Category]]="Cookie Debt",Table33[[#This Row],[Account Deposit Amount]]-Table33[[#This Row],[Account Withdrawl Amount]], )</f>
        <v>0</v>
      </c>
      <c r="V183" s="243">
        <f>IF(Table33[[#This Row],[Category]]="Other Expense",Table33[[#This Row],[Account Deposit Amount]]-Table33[[#This Row],[Account Withdrawl Amount]], )</f>
        <v>0</v>
      </c>
    </row>
    <row r="184" spans="1:22">
      <c r="A184" s="225"/>
      <c r="B184" s="241"/>
      <c r="C184" s="244"/>
      <c r="D184" s="225"/>
      <c r="E184" s="242"/>
      <c r="F184" s="242"/>
      <c r="G184" s="243">
        <f t="shared" si="4"/>
        <v>0</v>
      </c>
      <c r="H184" s="225"/>
      <c r="I184" s="243">
        <f>IF(Table33[[#This Row],[Category]]="Fall Product",Table33[[#This Row],[Account Deposit Amount]]-Table33[[#This Row],[Account Withdrawl Amount]], )</f>
        <v>0</v>
      </c>
      <c r="J184" s="243">
        <f>IF(Table33[[#This Row],[Category]]="Cookies",Table33[[#This Row],[Account Deposit Amount]]-Table33[[#This Row],[Account Withdrawl Amount]], )</f>
        <v>0</v>
      </c>
      <c r="K184" s="243">
        <f>IF(Table33[[#This Row],[Category]]="Additional Money Earning Activities",Table33[[#This Row],[Account Deposit Amount]]-Table33[[#This Row],[Account Withdrawl Amount]], )</f>
        <v>0</v>
      </c>
      <c r="L184" s="243">
        <f>IF(Table33[[#This Row],[Category]]="Sponsorships",Table33[[#This Row],[Account Deposit Amount]]-Table33[[#This Row],[Account Withdrawl Amount]], )</f>
        <v>0</v>
      </c>
      <c r="M184" s="243">
        <f>IF(Table33[[#This Row],[Category]]="Troop Dues",Table33[[#This Row],[Account Deposit Amount]]-Table33[[#This Row],[Account Withdrawl Amount]], )</f>
        <v>0</v>
      </c>
      <c r="N184" s="243">
        <f>IF(Table33[[#This Row],[Category]]="Other Income",Table33[[#This Row],[Account Deposit Amount]]-Table33[[#This Row],[Account Withdrawl Amount]], )</f>
        <v>0</v>
      </c>
      <c r="O184" s="243">
        <f>IF(Table33[[#This Row],[Category]]="Registration",Table33[[#This Row],[Account Deposit Amount]]-Table33[[#This Row],[Account Withdrawl Amount]], )</f>
        <v>0</v>
      </c>
      <c r="P184" s="243">
        <f>IF(Table33[[#This Row],[Category]]="Insignia",Table33[[#This Row],[Account Deposit Amount]]-Table33[[#This Row],[Account Withdrawl Amount]], )</f>
        <v>0</v>
      </c>
      <c r="Q184" s="243">
        <f>IF(Table33[[#This Row],[Category]]="Activities/Program",Table33[[#This Row],[Account Deposit Amount]]-Table33[[#This Row],[Account Withdrawl Amount]], )</f>
        <v>0</v>
      </c>
      <c r="R184" s="243">
        <f>IF(Table33[[#This Row],[Category]]="Travel",Table33[[#This Row],[Account Deposit Amount]]-Table33[[#This Row],[Account Withdrawl Amount]], )</f>
        <v>0</v>
      </c>
      <c r="S184" s="243">
        <f>IF(Table33[[#This Row],[Category]]="Parties Food &amp; Beverages",Table33[[#This Row],[Account Deposit Amount]]-Table33[[#This Row],[Account Withdrawl Amount]], )</f>
        <v>0</v>
      </c>
      <c r="T184" s="243">
        <f>IF(Table33[[#This Row],[Category]]="Service Projects Donation",Table33[[#This Row],[Account Deposit Amount]]-Table33[[#This Row],[Account Withdrawl Amount]], )</f>
        <v>0</v>
      </c>
      <c r="U184" s="243">
        <f>IF(Table33[[#This Row],[Category]]="Cookie Debt",Table33[[#This Row],[Account Deposit Amount]]-Table33[[#This Row],[Account Withdrawl Amount]], )</f>
        <v>0</v>
      </c>
      <c r="V184" s="243">
        <f>IF(Table33[[#This Row],[Category]]="Other Expense",Table33[[#This Row],[Account Deposit Amount]]-Table33[[#This Row],[Account Withdrawl Amount]], )</f>
        <v>0</v>
      </c>
    </row>
    <row r="185" spans="1:22">
      <c r="A185" s="225"/>
      <c r="B185" s="241"/>
      <c r="C185" s="244"/>
      <c r="D185" s="225"/>
      <c r="E185" s="242"/>
      <c r="F185" s="242"/>
      <c r="G185" s="243">
        <f t="shared" si="4"/>
        <v>0</v>
      </c>
      <c r="H185" s="225"/>
      <c r="I185" s="243">
        <f>IF(Table33[[#This Row],[Category]]="Fall Product",Table33[[#This Row],[Account Deposit Amount]]-Table33[[#This Row],[Account Withdrawl Amount]], )</f>
        <v>0</v>
      </c>
      <c r="J185" s="243">
        <f>IF(Table33[[#This Row],[Category]]="Cookies",Table33[[#This Row],[Account Deposit Amount]]-Table33[[#This Row],[Account Withdrawl Amount]], )</f>
        <v>0</v>
      </c>
      <c r="K185" s="243">
        <f>IF(Table33[[#This Row],[Category]]="Additional Money Earning Activities",Table33[[#This Row],[Account Deposit Amount]]-Table33[[#This Row],[Account Withdrawl Amount]], )</f>
        <v>0</v>
      </c>
      <c r="L185" s="243">
        <f>IF(Table33[[#This Row],[Category]]="Sponsorships",Table33[[#This Row],[Account Deposit Amount]]-Table33[[#This Row],[Account Withdrawl Amount]], )</f>
        <v>0</v>
      </c>
      <c r="M185" s="243">
        <f>IF(Table33[[#This Row],[Category]]="Troop Dues",Table33[[#This Row],[Account Deposit Amount]]-Table33[[#This Row],[Account Withdrawl Amount]], )</f>
        <v>0</v>
      </c>
      <c r="N185" s="243">
        <f>IF(Table33[[#This Row],[Category]]="Other Income",Table33[[#This Row],[Account Deposit Amount]]-Table33[[#This Row],[Account Withdrawl Amount]], )</f>
        <v>0</v>
      </c>
      <c r="O185" s="243">
        <f>IF(Table33[[#This Row],[Category]]="Registration",Table33[[#This Row],[Account Deposit Amount]]-Table33[[#This Row],[Account Withdrawl Amount]], )</f>
        <v>0</v>
      </c>
      <c r="P185" s="243">
        <f>IF(Table33[[#This Row],[Category]]="Insignia",Table33[[#This Row],[Account Deposit Amount]]-Table33[[#This Row],[Account Withdrawl Amount]], )</f>
        <v>0</v>
      </c>
      <c r="Q185" s="243">
        <f>IF(Table33[[#This Row],[Category]]="Activities/Program",Table33[[#This Row],[Account Deposit Amount]]-Table33[[#This Row],[Account Withdrawl Amount]], )</f>
        <v>0</v>
      </c>
      <c r="R185" s="243">
        <f>IF(Table33[[#This Row],[Category]]="Travel",Table33[[#This Row],[Account Deposit Amount]]-Table33[[#This Row],[Account Withdrawl Amount]], )</f>
        <v>0</v>
      </c>
      <c r="S185" s="243">
        <f>IF(Table33[[#This Row],[Category]]="Parties Food &amp; Beverages",Table33[[#This Row],[Account Deposit Amount]]-Table33[[#This Row],[Account Withdrawl Amount]], )</f>
        <v>0</v>
      </c>
      <c r="T185" s="243">
        <f>IF(Table33[[#This Row],[Category]]="Service Projects Donation",Table33[[#This Row],[Account Deposit Amount]]-Table33[[#This Row],[Account Withdrawl Amount]], )</f>
        <v>0</v>
      </c>
      <c r="U185" s="243">
        <f>IF(Table33[[#This Row],[Category]]="Cookie Debt",Table33[[#This Row],[Account Deposit Amount]]-Table33[[#This Row],[Account Withdrawl Amount]], )</f>
        <v>0</v>
      </c>
      <c r="V185" s="243">
        <f>IF(Table33[[#This Row],[Category]]="Other Expense",Table33[[#This Row],[Account Deposit Amount]]-Table33[[#This Row],[Account Withdrawl Amount]], )</f>
        <v>0</v>
      </c>
    </row>
    <row r="186" spans="1:22">
      <c r="A186" s="225"/>
      <c r="B186" s="241"/>
      <c r="C186" s="244"/>
      <c r="D186" s="225"/>
      <c r="E186" s="242"/>
      <c r="F186" s="242"/>
      <c r="G186" s="243">
        <f t="shared" si="4"/>
        <v>0</v>
      </c>
      <c r="H186" s="225"/>
      <c r="I186" s="243">
        <f>IF(Table33[[#This Row],[Category]]="Fall Product",Table33[[#This Row],[Account Deposit Amount]]-Table33[[#This Row],[Account Withdrawl Amount]], )</f>
        <v>0</v>
      </c>
      <c r="J186" s="243">
        <f>IF(Table33[[#This Row],[Category]]="Cookies",Table33[[#This Row],[Account Deposit Amount]]-Table33[[#This Row],[Account Withdrawl Amount]], )</f>
        <v>0</v>
      </c>
      <c r="K186" s="243">
        <f>IF(Table33[[#This Row],[Category]]="Additional Money Earning Activities",Table33[[#This Row],[Account Deposit Amount]]-Table33[[#This Row],[Account Withdrawl Amount]], )</f>
        <v>0</v>
      </c>
      <c r="L186" s="243">
        <f>IF(Table33[[#This Row],[Category]]="Sponsorships",Table33[[#This Row],[Account Deposit Amount]]-Table33[[#This Row],[Account Withdrawl Amount]], )</f>
        <v>0</v>
      </c>
      <c r="M186" s="243">
        <f>IF(Table33[[#This Row],[Category]]="Troop Dues",Table33[[#This Row],[Account Deposit Amount]]-Table33[[#This Row],[Account Withdrawl Amount]], )</f>
        <v>0</v>
      </c>
      <c r="N186" s="243">
        <f>IF(Table33[[#This Row],[Category]]="Other Income",Table33[[#This Row],[Account Deposit Amount]]-Table33[[#This Row],[Account Withdrawl Amount]], )</f>
        <v>0</v>
      </c>
      <c r="O186" s="243">
        <f>IF(Table33[[#This Row],[Category]]="Registration",Table33[[#This Row],[Account Deposit Amount]]-Table33[[#This Row],[Account Withdrawl Amount]], )</f>
        <v>0</v>
      </c>
      <c r="P186" s="243">
        <f>IF(Table33[[#This Row],[Category]]="Insignia",Table33[[#This Row],[Account Deposit Amount]]-Table33[[#This Row],[Account Withdrawl Amount]], )</f>
        <v>0</v>
      </c>
      <c r="Q186" s="243">
        <f>IF(Table33[[#This Row],[Category]]="Activities/Program",Table33[[#This Row],[Account Deposit Amount]]-Table33[[#This Row],[Account Withdrawl Amount]], )</f>
        <v>0</v>
      </c>
      <c r="R186" s="243">
        <f>IF(Table33[[#This Row],[Category]]="Travel",Table33[[#This Row],[Account Deposit Amount]]-Table33[[#This Row],[Account Withdrawl Amount]], )</f>
        <v>0</v>
      </c>
      <c r="S186" s="243">
        <f>IF(Table33[[#This Row],[Category]]="Parties Food &amp; Beverages",Table33[[#This Row],[Account Deposit Amount]]-Table33[[#This Row],[Account Withdrawl Amount]], )</f>
        <v>0</v>
      </c>
      <c r="T186" s="243">
        <f>IF(Table33[[#This Row],[Category]]="Service Projects Donation",Table33[[#This Row],[Account Deposit Amount]]-Table33[[#This Row],[Account Withdrawl Amount]], )</f>
        <v>0</v>
      </c>
      <c r="U186" s="243">
        <f>IF(Table33[[#This Row],[Category]]="Cookie Debt",Table33[[#This Row],[Account Deposit Amount]]-Table33[[#This Row],[Account Withdrawl Amount]], )</f>
        <v>0</v>
      </c>
      <c r="V186" s="243">
        <f>IF(Table33[[#This Row],[Category]]="Other Expense",Table33[[#This Row],[Account Deposit Amount]]-Table33[[#This Row],[Account Withdrawl Amount]], )</f>
        <v>0</v>
      </c>
    </row>
    <row r="187" spans="1:22">
      <c r="A187" s="225"/>
      <c r="B187" s="241"/>
      <c r="C187" s="244"/>
      <c r="D187" s="225"/>
      <c r="E187" s="242"/>
      <c r="F187" s="242"/>
      <c r="G187" s="243">
        <f t="shared" si="4"/>
        <v>0</v>
      </c>
      <c r="H187" s="225"/>
      <c r="I187" s="243">
        <f>IF(Table33[[#This Row],[Category]]="Fall Product",Table33[[#This Row],[Account Deposit Amount]]-Table33[[#This Row],[Account Withdrawl Amount]], )</f>
        <v>0</v>
      </c>
      <c r="J187" s="243">
        <f>IF(Table33[[#This Row],[Category]]="Cookies",Table33[[#This Row],[Account Deposit Amount]]-Table33[[#This Row],[Account Withdrawl Amount]], )</f>
        <v>0</v>
      </c>
      <c r="K187" s="243">
        <f>IF(Table33[[#This Row],[Category]]="Additional Money Earning Activities",Table33[[#This Row],[Account Deposit Amount]]-Table33[[#This Row],[Account Withdrawl Amount]], )</f>
        <v>0</v>
      </c>
      <c r="L187" s="243">
        <f>IF(Table33[[#This Row],[Category]]="Sponsorships",Table33[[#This Row],[Account Deposit Amount]]-Table33[[#This Row],[Account Withdrawl Amount]], )</f>
        <v>0</v>
      </c>
      <c r="M187" s="243">
        <f>IF(Table33[[#This Row],[Category]]="Troop Dues",Table33[[#This Row],[Account Deposit Amount]]-Table33[[#This Row],[Account Withdrawl Amount]], )</f>
        <v>0</v>
      </c>
      <c r="N187" s="243">
        <f>IF(Table33[[#This Row],[Category]]="Other Income",Table33[[#This Row],[Account Deposit Amount]]-Table33[[#This Row],[Account Withdrawl Amount]], )</f>
        <v>0</v>
      </c>
      <c r="O187" s="243">
        <f>IF(Table33[[#This Row],[Category]]="Registration",Table33[[#This Row],[Account Deposit Amount]]-Table33[[#This Row],[Account Withdrawl Amount]], )</f>
        <v>0</v>
      </c>
      <c r="P187" s="243">
        <f>IF(Table33[[#This Row],[Category]]="Insignia",Table33[[#This Row],[Account Deposit Amount]]-Table33[[#This Row],[Account Withdrawl Amount]], )</f>
        <v>0</v>
      </c>
      <c r="Q187" s="243">
        <f>IF(Table33[[#This Row],[Category]]="Activities/Program",Table33[[#This Row],[Account Deposit Amount]]-Table33[[#This Row],[Account Withdrawl Amount]], )</f>
        <v>0</v>
      </c>
      <c r="R187" s="243">
        <f>IF(Table33[[#This Row],[Category]]="Travel",Table33[[#This Row],[Account Deposit Amount]]-Table33[[#This Row],[Account Withdrawl Amount]], )</f>
        <v>0</v>
      </c>
      <c r="S187" s="243">
        <f>IF(Table33[[#This Row],[Category]]="Parties Food &amp; Beverages",Table33[[#This Row],[Account Deposit Amount]]-Table33[[#This Row],[Account Withdrawl Amount]], )</f>
        <v>0</v>
      </c>
      <c r="T187" s="243">
        <f>IF(Table33[[#This Row],[Category]]="Service Projects Donation",Table33[[#This Row],[Account Deposit Amount]]-Table33[[#This Row],[Account Withdrawl Amount]], )</f>
        <v>0</v>
      </c>
      <c r="U187" s="243">
        <f>IF(Table33[[#This Row],[Category]]="Cookie Debt",Table33[[#This Row],[Account Deposit Amount]]-Table33[[#This Row],[Account Withdrawl Amount]], )</f>
        <v>0</v>
      </c>
      <c r="V187" s="243">
        <f>IF(Table33[[#This Row],[Category]]="Other Expense",Table33[[#This Row],[Account Deposit Amount]]-Table33[[#This Row],[Account Withdrawl Amount]], )</f>
        <v>0</v>
      </c>
    </row>
    <row r="188" spans="1:22">
      <c r="A188" s="225"/>
      <c r="B188" s="241"/>
      <c r="C188" s="244"/>
      <c r="D188" s="225"/>
      <c r="E188" s="242"/>
      <c r="F188" s="242"/>
      <c r="G188" s="243">
        <f t="shared" si="4"/>
        <v>0</v>
      </c>
      <c r="H188" s="225"/>
      <c r="I188" s="243">
        <f>IF(Table33[[#This Row],[Category]]="Fall Product",Table33[[#This Row],[Account Deposit Amount]]-Table33[[#This Row],[Account Withdrawl Amount]], )</f>
        <v>0</v>
      </c>
      <c r="J188" s="243">
        <f>IF(Table33[[#This Row],[Category]]="Cookies",Table33[[#This Row],[Account Deposit Amount]]-Table33[[#This Row],[Account Withdrawl Amount]], )</f>
        <v>0</v>
      </c>
      <c r="K188" s="243">
        <f>IF(Table33[[#This Row],[Category]]="Additional Money Earning Activities",Table33[[#This Row],[Account Deposit Amount]]-Table33[[#This Row],[Account Withdrawl Amount]], )</f>
        <v>0</v>
      </c>
      <c r="L188" s="243">
        <f>IF(Table33[[#This Row],[Category]]="Sponsorships",Table33[[#This Row],[Account Deposit Amount]]-Table33[[#This Row],[Account Withdrawl Amount]], )</f>
        <v>0</v>
      </c>
      <c r="M188" s="243">
        <f>IF(Table33[[#This Row],[Category]]="Troop Dues",Table33[[#This Row],[Account Deposit Amount]]-Table33[[#This Row],[Account Withdrawl Amount]], )</f>
        <v>0</v>
      </c>
      <c r="N188" s="243">
        <f>IF(Table33[[#This Row],[Category]]="Other Income",Table33[[#This Row],[Account Deposit Amount]]-Table33[[#This Row],[Account Withdrawl Amount]], )</f>
        <v>0</v>
      </c>
      <c r="O188" s="243">
        <f>IF(Table33[[#This Row],[Category]]="Registration",Table33[[#This Row],[Account Deposit Amount]]-Table33[[#This Row],[Account Withdrawl Amount]], )</f>
        <v>0</v>
      </c>
      <c r="P188" s="243">
        <f>IF(Table33[[#This Row],[Category]]="Insignia",Table33[[#This Row],[Account Deposit Amount]]-Table33[[#This Row],[Account Withdrawl Amount]], )</f>
        <v>0</v>
      </c>
      <c r="Q188" s="243">
        <f>IF(Table33[[#This Row],[Category]]="Activities/Program",Table33[[#This Row],[Account Deposit Amount]]-Table33[[#This Row],[Account Withdrawl Amount]], )</f>
        <v>0</v>
      </c>
      <c r="R188" s="243">
        <f>IF(Table33[[#This Row],[Category]]="Travel",Table33[[#This Row],[Account Deposit Amount]]-Table33[[#This Row],[Account Withdrawl Amount]], )</f>
        <v>0</v>
      </c>
      <c r="S188" s="243">
        <f>IF(Table33[[#This Row],[Category]]="Parties Food &amp; Beverages",Table33[[#This Row],[Account Deposit Amount]]-Table33[[#This Row],[Account Withdrawl Amount]], )</f>
        <v>0</v>
      </c>
      <c r="T188" s="243">
        <f>IF(Table33[[#This Row],[Category]]="Service Projects Donation",Table33[[#This Row],[Account Deposit Amount]]-Table33[[#This Row],[Account Withdrawl Amount]], )</f>
        <v>0</v>
      </c>
      <c r="U188" s="243">
        <f>IF(Table33[[#This Row],[Category]]="Cookie Debt",Table33[[#This Row],[Account Deposit Amount]]-Table33[[#This Row],[Account Withdrawl Amount]], )</f>
        <v>0</v>
      </c>
      <c r="V188" s="243">
        <f>IF(Table33[[#This Row],[Category]]="Other Expense",Table33[[#This Row],[Account Deposit Amount]]-Table33[[#This Row],[Account Withdrawl Amount]], )</f>
        <v>0</v>
      </c>
    </row>
    <row r="189" spans="1:22">
      <c r="A189" s="225"/>
      <c r="B189" s="241"/>
      <c r="C189" s="244"/>
      <c r="D189" s="225"/>
      <c r="E189" s="242"/>
      <c r="F189" s="242"/>
      <c r="G189" s="243">
        <f t="shared" si="4"/>
        <v>0</v>
      </c>
      <c r="H189" s="225"/>
      <c r="I189" s="243">
        <f>IF(Table33[[#This Row],[Category]]="Fall Product",Table33[[#This Row],[Account Deposit Amount]]-Table33[[#This Row],[Account Withdrawl Amount]], )</f>
        <v>0</v>
      </c>
      <c r="J189" s="243">
        <f>IF(Table33[[#This Row],[Category]]="Cookies",Table33[[#This Row],[Account Deposit Amount]]-Table33[[#This Row],[Account Withdrawl Amount]], )</f>
        <v>0</v>
      </c>
      <c r="K189" s="243">
        <f>IF(Table33[[#This Row],[Category]]="Additional Money Earning Activities",Table33[[#This Row],[Account Deposit Amount]]-Table33[[#This Row],[Account Withdrawl Amount]], )</f>
        <v>0</v>
      </c>
      <c r="L189" s="243">
        <f>IF(Table33[[#This Row],[Category]]="Sponsorships",Table33[[#This Row],[Account Deposit Amount]]-Table33[[#This Row],[Account Withdrawl Amount]], )</f>
        <v>0</v>
      </c>
      <c r="M189" s="243">
        <f>IF(Table33[[#This Row],[Category]]="Troop Dues",Table33[[#This Row],[Account Deposit Amount]]-Table33[[#This Row],[Account Withdrawl Amount]], )</f>
        <v>0</v>
      </c>
      <c r="N189" s="243">
        <f>IF(Table33[[#This Row],[Category]]="Other Income",Table33[[#This Row],[Account Deposit Amount]]-Table33[[#This Row],[Account Withdrawl Amount]], )</f>
        <v>0</v>
      </c>
      <c r="O189" s="243">
        <f>IF(Table33[[#This Row],[Category]]="Registration",Table33[[#This Row],[Account Deposit Amount]]-Table33[[#This Row],[Account Withdrawl Amount]], )</f>
        <v>0</v>
      </c>
      <c r="P189" s="243">
        <f>IF(Table33[[#This Row],[Category]]="Insignia",Table33[[#This Row],[Account Deposit Amount]]-Table33[[#This Row],[Account Withdrawl Amount]], )</f>
        <v>0</v>
      </c>
      <c r="Q189" s="243">
        <f>IF(Table33[[#This Row],[Category]]="Activities/Program",Table33[[#This Row],[Account Deposit Amount]]-Table33[[#This Row],[Account Withdrawl Amount]], )</f>
        <v>0</v>
      </c>
      <c r="R189" s="243">
        <f>IF(Table33[[#This Row],[Category]]="Travel",Table33[[#This Row],[Account Deposit Amount]]-Table33[[#This Row],[Account Withdrawl Amount]], )</f>
        <v>0</v>
      </c>
      <c r="S189" s="243">
        <f>IF(Table33[[#This Row],[Category]]="Parties Food &amp; Beverages",Table33[[#This Row],[Account Deposit Amount]]-Table33[[#This Row],[Account Withdrawl Amount]], )</f>
        <v>0</v>
      </c>
      <c r="T189" s="243">
        <f>IF(Table33[[#This Row],[Category]]="Service Projects Donation",Table33[[#This Row],[Account Deposit Amount]]-Table33[[#This Row],[Account Withdrawl Amount]], )</f>
        <v>0</v>
      </c>
      <c r="U189" s="243">
        <f>IF(Table33[[#This Row],[Category]]="Cookie Debt",Table33[[#This Row],[Account Deposit Amount]]-Table33[[#This Row],[Account Withdrawl Amount]], )</f>
        <v>0</v>
      </c>
      <c r="V189" s="243">
        <f>IF(Table33[[#This Row],[Category]]="Other Expense",Table33[[#This Row],[Account Deposit Amount]]-Table33[[#This Row],[Account Withdrawl Amount]], )</f>
        <v>0</v>
      </c>
    </row>
    <row r="190" spans="1:22">
      <c r="A190" s="225"/>
      <c r="B190" s="241"/>
      <c r="C190" s="244"/>
      <c r="D190" s="225"/>
      <c r="E190" s="242"/>
      <c r="F190" s="242"/>
      <c r="G190" s="243">
        <f t="shared" si="4"/>
        <v>0</v>
      </c>
      <c r="H190" s="225"/>
      <c r="I190" s="243">
        <f>IF(Table33[[#This Row],[Category]]="Fall Product",Table33[[#This Row],[Account Deposit Amount]]-Table33[[#This Row],[Account Withdrawl Amount]], )</f>
        <v>0</v>
      </c>
      <c r="J190" s="243">
        <f>IF(Table33[[#This Row],[Category]]="Cookies",Table33[[#This Row],[Account Deposit Amount]]-Table33[[#This Row],[Account Withdrawl Amount]], )</f>
        <v>0</v>
      </c>
      <c r="K190" s="243">
        <f>IF(Table33[[#This Row],[Category]]="Additional Money Earning Activities",Table33[[#This Row],[Account Deposit Amount]]-Table33[[#This Row],[Account Withdrawl Amount]], )</f>
        <v>0</v>
      </c>
      <c r="L190" s="243">
        <f>IF(Table33[[#This Row],[Category]]="Sponsorships",Table33[[#This Row],[Account Deposit Amount]]-Table33[[#This Row],[Account Withdrawl Amount]], )</f>
        <v>0</v>
      </c>
      <c r="M190" s="243">
        <f>IF(Table33[[#This Row],[Category]]="Troop Dues",Table33[[#This Row],[Account Deposit Amount]]-Table33[[#This Row],[Account Withdrawl Amount]], )</f>
        <v>0</v>
      </c>
      <c r="N190" s="243">
        <f>IF(Table33[[#This Row],[Category]]="Other Income",Table33[[#This Row],[Account Deposit Amount]]-Table33[[#This Row],[Account Withdrawl Amount]], )</f>
        <v>0</v>
      </c>
      <c r="O190" s="243">
        <f>IF(Table33[[#This Row],[Category]]="Registration",Table33[[#This Row],[Account Deposit Amount]]-Table33[[#This Row],[Account Withdrawl Amount]], )</f>
        <v>0</v>
      </c>
      <c r="P190" s="243">
        <f>IF(Table33[[#This Row],[Category]]="Insignia",Table33[[#This Row],[Account Deposit Amount]]-Table33[[#This Row],[Account Withdrawl Amount]], )</f>
        <v>0</v>
      </c>
      <c r="Q190" s="243">
        <f>IF(Table33[[#This Row],[Category]]="Activities/Program",Table33[[#This Row],[Account Deposit Amount]]-Table33[[#This Row],[Account Withdrawl Amount]], )</f>
        <v>0</v>
      </c>
      <c r="R190" s="243">
        <f>IF(Table33[[#This Row],[Category]]="Travel",Table33[[#This Row],[Account Deposit Amount]]-Table33[[#This Row],[Account Withdrawl Amount]], )</f>
        <v>0</v>
      </c>
      <c r="S190" s="243">
        <f>IF(Table33[[#This Row],[Category]]="Parties Food &amp; Beverages",Table33[[#This Row],[Account Deposit Amount]]-Table33[[#This Row],[Account Withdrawl Amount]], )</f>
        <v>0</v>
      </c>
      <c r="T190" s="243">
        <f>IF(Table33[[#This Row],[Category]]="Service Projects Donation",Table33[[#This Row],[Account Deposit Amount]]-Table33[[#This Row],[Account Withdrawl Amount]], )</f>
        <v>0</v>
      </c>
      <c r="U190" s="243">
        <f>IF(Table33[[#This Row],[Category]]="Cookie Debt",Table33[[#This Row],[Account Deposit Amount]]-Table33[[#This Row],[Account Withdrawl Amount]], )</f>
        <v>0</v>
      </c>
      <c r="V190" s="243">
        <f>IF(Table33[[#This Row],[Category]]="Other Expense",Table33[[#This Row],[Account Deposit Amount]]-Table33[[#This Row],[Account Withdrawl Amount]], )</f>
        <v>0</v>
      </c>
    </row>
    <row r="191" spans="1:22">
      <c r="A191" s="225"/>
      <c r="B191" s="241"/>
      <c r="C191" s="244"/>
      <c r="D191" s="225"/>
      <c r="E191" s="242"/>
      <c r="F191" s="242"/>
      <c r="G191" s="243">
        <f t="shared" si="4"/>
        <v>0</v>
      </c>
      <c r="H191" s="225"/>
      <c r="I191" s="243">
        <f>IF(Table33[[#This Row],[Category]]="Fall Product",Table33[[#This Row],[Account Deposit Amount]]-Table33[[#This Row],[Account Withdrawl Amount]], )</f>
        <v>0</v>
      </c>
      <c r="J191" s="243">
        <f>IF(Table33[[#This Row],[Category]]="Cookies",Table33[[#This Row],[Account Deposit Amount]]-Table33[[#This Row],[Account Withdrawl Amount]], )</f>
        <v>0</v>
      </c>
      <c r="K191" s="243">
        <f>IF(Table33[[#This Row],[Category]]="Additional Money Earning Activities",Table33[[#This Row],[Account Deposit Amount]]-Table33[[#This Row],[Account Withdrawl Amount]], )</f>
        <v>0</v>
      </c>
      <c r="L191" s="243">
        <f>IF(Table33[[#This Row],[Category]]="Sponsorships",Table33[[#This Row],[Account Deposit Amount]]-Table33[[#This Row],[Account Withdrawl Amount]], )</f>
        <v>0</v>
      </c>
      <c r="M191" s="243">
        <f>IF(Table33[[#This Row],[Category]]="Troop Dues",Table33[[#This Row],[Account Deposit Amount]]-Table33[[#This Row],[Account Withdrawl Amount]], )</f>
        <v>0</v>
      </c>
      <c r="N191" s="243">
        <f>IF(Table33[[#This Row],[Category]]="Other Income",Table33[[#This Row],[Account Deposit Amount]]-Table33[[#This Row],[Account Withdrawl Amount]], )</f>
        <v>0</v>
      </c>
      <c r="O191" s="243">
        <f>IF(Table33[[#This Row],[Category]]="Registration",Table33[[#This Row],[Account Deposit Amount]]-Table33[[#This Row],[Account Withdrawl Amount]], )</f>
        <v>0</v>
      </c>
      <c r="P191" s="243">
        <f>IF(Table33[[#This Row],[Category]]="Insignia",Table33[[#This Row],[Account Deposit Amount]]-Table33[[#This Row],[Account Withdrawl Amount]], )</f>
        <v>0</v>
      </c>
      <c r="Q191" s="243">
        <f>IF(Table33[[#This Row],[Category]]="Activities/Program",Table33[[#This Row],[Account Deposit Amount]]-Table33[[#This Row],[Account Withdrawl Amount]], )</f>
        <v>0</v>
      </c>
      <c r="R191" s="243">
        <f>IF(Table33[[#This Row],[Category]]="Travel",Table33[[#This Row],[Account Deposit Amount]]-Table33[[#This Row],[Account Withdrawl Amount]], )</f>
        <v>0</v>
      </c>
      <c r="S191" s="243">
        <f>IF(Table33[[#This Row],[Category]]="Parties Food &amp; Beverages",Table33[[#This Row],[Account Deposit Amount]]-Table33[[#This Row],[Account Withdrawl Amount]], )</f>
        <v>0</v>
      </c>
      <c r="T191" s="243">
        <f>IF(Table33[[#This Row],[Category]]="Service Projects Donation",Table33[[#This Row],[Account Deposit Amount]]-Table33[[#This Row],[Account Withdrawl Amount]], )</f>
        <v>0</v>
      </c>
      <c r="U191" s="243">
        <f>IF(Table33[[#This Row],[Category]]="Cookie Debt",Table33[[#This Row],[Account Deposit Amount]]-Table33[[#This Row],[Account Withdrawl Amount]], )</f>
        <v>0</v>
      </c>
      <c r="V191" s="243">
        <f>IF(Table33[[#This Row],[Category]]="Other Expense",Table33[[#This Row],[Account Deposit Amount]]-Table33[[#This Row],[Account Withdrawl Amount]], )</f>
        <v>0</v>
      </c>
    </row>
    <row r="192" spans="1:22">
      <c r="A192" s="225"/>
      <c r="B192" s="241"/>
      <c r="C192" s="244"/>
      <c r="D192" s="225"/>
      <c r="E192" s="242"/>
      <c r="F192" s="242"/>
      <c r="G192" s="243">
        <f t="shared" si="4"/>
        <v>0</v>
      </c>
      <c r="H192" s="225"/>
      <c r="I192" s="243">
        <f>IF(Table33[[#This Row],[Category]]="Fall Product",Table33[[#This Row],[Account Deposit Amount]]-Table33[[#This Row],[Account Withdrawl Amount]], )</f>
        <v>0</v>
      </c>
      <c r="J192" s="243">
        <f>IF(Table33[[#This Row],[Category]]="Cookies",Table33[[#This Row],[Account Deposit Amount]]-Table33[[#This Row],[Account Withdrawl Amount]], )</f>
        <v>0</v>
      </c>
      <c r="K192" s="243">
        <f>IF(Table33[[#This Row],[Category]]="Additional Money Earning Activities",Table33[[#This Row],[Account Deposit Amount]]-Table33[[#This Row],[Account Withdrawl Amount]], )</f>
        <v>0</v>
      </c>
      <c r="L192" s="243">
        <f>IF(Table33[[#This Row],[Category]]="Sponsorships",Table33[[#This Row],[Account Deposit Amount]]-Table33[[#This Row],[Account Withdrawl Amount]], )</f>
        <v>0</v>
      </c>
      <c r="M192" s="243">
        <f>IF(Table33[[#This Row],[Category]]="Troop Dues",Table33[[#This Row],[Account Deposit Amount]]-Table33[[#This Row],[Account Withdrawl Amount]], )</f>
        <v>0</v>
      </c>
      <c r="N192" s="243">
        <f>IF(Table33[[#This Row],[Category]]="Other Income",Table33[[#This Row],[Account Deposit Amount]]-Table33[[#This Row],[Account Withdrawl Amount]], )</f>
        <v>0</v>
      </c>
      <c r="O192" s="243">
        <f>IF(Table33[[#This Row],[Category]]="Registration",Table33[[#This Row],[Account Deposit Amount]]-Table33[[#This Row],[Account Withdrawl Amount]], )</f>
        <v>0</v>
      </c>
      <c r="P192" s="243">
        <f>IF(Table33[[#This Row],[Category]]="Insignia",Table33[[#This Row],[Account Deposit Amount]]-Table33[[#This Row],[Account Withdrawl Amount]], )</f>
        <v>0</v>
      </c>
      <c r="Q192" s="243">
        <f>IF(Table33[[#This Row],[Category]]="Activities/Program",Table33[[#This Row],[Account Deposit Amount]]-Table33[[#This Row],[Account Withdrawl Amount]], )</f>
        <v>0</v>
      </c>
      <c r="R192" s="243">
        <f>IF(Table33[[#This Row],[Category]]="Travel",Table33[[#This Row],[Account Deposit Amount]]-Table33[[#This Row],[Account Withdrawl Amount]], )</f>
        <v>0</v>
      </c>
      <c r="S192" s="243">
        <f>IF(Table33[[#This Row],[Category]]="Parties Food &amp; Beverages",Table33[[#This Row],[Account Deposit Amount]]-Table33[[#This Row],[Account Withdrawl Amount]], )</f>
        <v>0</v>
      </c>
      <c r="T192" s="243">
        <f>IF(Table33[[#This Row],[Category]]="Service Projects Donation",Table33[[#This Row],[Account Deposit Amount]]-Table33[[#This Row],[Account Withdrawl Amount]], )</f>
        <v>0</v>
      </c>
      <c r="U192" s="243">
        <f>IF(Table33[[#This Row],[Category]]="Cookie Debt",Table33[[#This Row],[Account Deposit Amount]]-Table33[[#This Row],[Account Withdrawl Amount]], )</f>
        <v>0</v>
      </c>
      <c r="V192" s="243">
        <f>IF(Table33[[#This Row],[Category]]="Other Expense",Table33[[#This Row],[Account Deposit Amount]]-Table33[[#This Row],[Account Withdrawl Amount]], )</f>
        <v>0</v>
      </c>
    </row>
    <row r="193" spans="1:22">
      <c r="A193" s="225"/>
      <c r="B193" s="241"/>
      <c r="C193" s="244"/>
      <c r="D193" s="225"/>
      <c r="E193" s="242"/>
      <c r="F193" s="242"/>
      <c r="G193" s="243">
        <f t="shared" si="4"/>
        <v>0</v>
      </c>
      <c r="H193" s="225"/>
      <c r="I193" s="243">
        <f>IF(Table33[[#This Row],[Category]]="Fall Product",Table33[[#This Row],[Account Deposit Amount]]-Table33[[#This Row],[Account Withdrawl Amount]], )</f>
        <v>0</v>
      </c>
      <c r="J193" s="243">
        <f>IF(Table33[[#This Row],[Category]]="Cookies",Table33[[#This Row],[Account Deposit Amount]]-Table33[[#This Row],[Account Withdrawl Amount]], )</f>
        <v>0</v>
      </c>
      <c r="K193" s="243">
        <f>IF(Table33[[#This Row],[Category]]="Additional Money Earning Activities",Table33[[#This Row],[Account Deposit Amount]]-Table33[[#This Row],[Account Withdrawl Amount]], )</f>
        <v>0</v>
      </c>
      <c r="L193" s="243">
        <f>IF(Table33[[#This Row],[Category]]="Sponsorships",Table33[[#This Row],[Account Deposit Amount]]-Table33[[#This Row],[Account Withdrawl Amount]], )</f>
        <v>0</v>
      </c>
      <c r="M193" s="243">
        <f>IF(Table33[[#This Row],[Category]]="Troop Dues",Table33[[#This Row],[Account Deposit Amount]]-Table33[[#This Row],[Account Withdrawl Amount]], )</f>
        <v>0</v>
      </c>
      <c r="N193" s="243">
        <f>IF(Table33[[#This Row],[Category]]="Other Income",Table33[[#This Row],[Account Deposit Amount]]-Table33[[#This Row],[Account Withdrawl Amount]], )</f>
        <v>0</v>
      </c>
      <c r="O193" s="243">
        <f>IF(Table33[[#This Row],[Category]]="Registration",Table33[[#This Row],[Account Deposit Amount]]-Table33[[#This Row],[Account Withdrawl Amount]], )</f>
        <v>0</v>
      </c>
      <c r="P193" s="243">
        <f>IF(Table33[[#This Row],[Category]]="Insignia",Table33[[#This Row],[Account Deposit Amount]]-Table33[[#This Row],[Account Withdrawl Amount]], )</f>
        <v>0</v>
      </c>
      <c r="Q193" s="243">
        <f>IF(Table33[[#This Row],[Category]]="Activities/Program",Table33[[#This Row],[Account Deposit Amount]]-Table33[[#This Row],[Account Withdrawl Amount]], )</f>
        <v>0</v>
      </c>
      <c r="R193" s="243">
        <f>IF(Table33[[#This Row],[Category]]="Travel",Table33[[#This Row],[Account Deposit Amount]]-Table33[[#This Row],[Account Withdrawl Amount]], )</f>
        <v>0</v>
      </c>
      <c r="S193" s="243">
        <f>IF(Table33[[#This Row],[Category]]="Parties Food &amp; Beverages",Table33[[#This Row],[Account Deposit Amount]]-Table33[[#This Row],[Account Withdrawl Amount]], )</f>
        <v>0</v>
      </c>
      <c r="T193" s="243">
        <f>IF(Table33[[#This Row],[Category]]="Service Projects Donation",Table33[[#This Row],[Account Deposit Amount]]-Table33[[#This Row],[Account Withdrawl Amount]], )</f>
        <v>0</v>
      </c>
      <c r="U193" s="243">
        <f>IF(Table33[[#This Row],[Category]]="Cookie Debt",Table33[[#This Row],[Account Deposit Amount]]-Table33[[#This Row],[Account Withdrawl Amount]], )</f>
        <v>0</v>
      </c>
      <c r="V193" s="243">
        <f>IF(Table33[[#This Row],[Category]]="Other Expense",Table33[[#This Row],[Account Deposit Amount]]-Table33[[#This Row],[Account Withdrawl Amount]], )</f>
        <v>0</v>
      </c>
    </row>
    <row r="194" spans="1:22">
      <c r="A194" s="225"/>
      <c r="B194" s="241"/>
      <c r="C194" s="244"/>
      <c r="D194" s="225"/>
      <c r="E194" s="242"/>
      <c r="F194" s="242"/>
      <c r="G194" s="243">
        <f t="shared" si="4"/>
        <v>0</v>
      </c>
      <c r="H194" s="225"/>
      <c r="I194" s="243">
        <f>IF(Table33[[#This Row],[Category]]="Fall Product",Table33[[#This Row],[Account Deposit Amount]]-Table33[[#This Row],[Account Withdrawl Amount]], )</f>
        <v>0</v>
      </c>
      <c r="J194" s="243">
        <f>IF(Table33[[#This Row],[Category]]="Cookies",Table33[[#This Row],[Account Deposit Amount]]-Table33[[#This Row],[Account Withdrawl Amount]], )</f>
        <v>0</v>
      </c>
      <c r="K194" s="243">
        <f>IF(Table33[[#This Row],[Category]]="Additional Money Earning Activities",Table33[[#This Row],[Account Deposit Amount]]-Table33[[#This Row],[Account Withdrawl Amount]], )</f>
        <v>0</v>
      </c>
      <c r="L194" s="243">
        <f>IF(Table33[[#This Row],[Category]]="Sponsorships",Table33[[#This Row],[Account Deposit Amount]]-Table33[[#This Row],[Account Withdrawl Amount]], )</f>
        <v>0</v>
      </c>
      <c r="M194" s="243">
        <f>IF(Table33[[#This Row],[Category]]="Troop Dues",Table33[[#This Row],[Account Deposit Amount]]-Table33[[#This Row],[Account Withdrawl Amount]], )</f>
        <v>0</v>
      </c>
      <c r="N194" s="243">
        <f>IF(Table33[[#This Row],[Category]]="Other Income",Table33[[#This Row],[Account Deposit Amount]]-Table33[[#This Row],[Account Withdrawl Amount]], )</f>
        <v>0</v>
      </c>
      <c r="O194" s="243">
        <f>IF(Table33[[#This Row],[Category]]="Registration",Table33[[#This Row],[Account Deposit Amount]]-Table33[[#This Row],[Account Withdrawl Amount]], )</f>
        <v>0</v>
      </c>
      <c r="P194" s="243">
        <f>IF(Table33[[#This Row],[Category]]="Insignia",Table33[[#This Row],[Account Deposit Amount]]-Table33[[#This Row],[Account Withdrawl Amount]], )</f>
        <v>0</v>
      </c>
      <c r="Q194" s="243">
        <f>IF(Table33[[#This Row],[Category]]="Activities/Program",Table33[[#This Row],[Account Deposit Amount]]-Table33[[#This Row],[Account Withdrawl Amount]], )</f>
        <v>0</v>
      </c>
      <c r="R194" s="243">
        <f>IF(Table33[[#This Row],[Category]]="Travel",Table33[[#This Row],[Account Deposit Amount]]-Table33[[#This Row],[Account Withdrawl Amount]], )</f>
        <v>0</v>
      </c>
      <c r="S194" s="243">
        <f>IF(Table33[[#This Row],[Category]]="Parties Food &amp; Beverages",Table33[[#This Row],[Account Deposit Amount]]-Table33[[#This Row],[Account Withdrawl Amount]], )</f>
        <v>0</v>
      </c>
      <c r="T194" s="243">
        <f>IF(Table33[[#This Row],[Category]]="Service Projects Donation",Table33[[#This Row],[Account Deposit Amount]]-Table33[[#This Row],[Account Withdrawl Amount]], )</f>
        <v>0</v>
      </c>
      <c r="U194" s="243">
        <f>IF(Table33[[#This Row],[Category]]="Cookie Debt",Table33[[#This Row],[Account Deposit Amount]]-Table33[[#This Row],[Account Withdrawl Amount]], )</f>
        <v>0</v>
      </c>
      <c r="V194" s="243">
        <f>IF(Table33[[#This Row],[Category]]="Other Expense",Table33[[#This Row],[Account Deposit Amount]]-Table33[[#This Row],[Account Withdrawl Amount]], )</f>
        <v>0</v>
      </c>
    </row>
    <row r="195" spans="1:22">
      <c r="A195" s="225"/>
      <c r="B195" s="241"/>
      <c r="C195" s="244"/>
      <c r="D195" s="225"/>
      <c r="E195" s="242"/>
      <c r="F195" s="242"/>
      <c r="G195" s="243">
        <f t="shared" si="4"/>
        <v>0</v>
      </c>
      <c r="H195" s="225"/>
      <c r="I195" s="243">
        <f>IF(Table33[[#This Row],[Category]]="Fall Product",Table33[[#This Row],[Account Deposit Amount]]-Table33[[#This Row],[Account Withdrawl Amount]], )</f>
        <v>0</v>
      </c>
      <c r="J195" s="243">
        <f>IF(Table33[[#This Row],[Category]]="Cookies",Table33[[#This Row],[Account Deposit Amount]]-Table33[[#This Row],[Account Withdrawl Amount]], )</f>
        <v>0</v>
      </c>
      <c r="K195" s="243">
        <f>IF(Table33[[#This Row],[Category]]="Additional Money Earning Activities",Table33[[#This Row],[Account Deposit Amount]]-Table33[[#This Row],[Account Withdrawl Amount]], )</f>
        <v>0</v>
      </c>
      <c r="L195" s="243">
        <f>IF(Table33[[#This Row],[Category]]="Sponsorships",Table33[[#This Row],[Account Deposit Amount]]-Table33[[#This Row],[Account Withdrawl Amount]], )</f>
        <v>0</v>
      </c>
      <c r="M195" s="243">
        <f>IF(Table33[[#This Row],[Category]]="Troop Dues",Table33[[#This Row],[Account Deposit Amount]]-Table33[[#This Row],[Account Withdrawl Amount]], )</f>
        <v>0</v>
      </c>
      <c r="N195" s="243">
        <f>IF(Table33[[#This Row],[Category]]="Other Income",Table33[[#This Row],[Account Deposit Amount]]-Table33[[#This Row],[Account Withdrawl Amount]], )</f>
        <v>0</v>
      </c>
      <c r="O195" s="243">
        <f>IF(Table33[[#This Row],[Category]]="Registration",Table33[[#This Row],[Account Deposit Amount]]-Table33[[#This Row],[Account Withdrawl Amount]], )</f>
        <v>0</v>
      </c>
      <c r="P195" s="243">
        <f>IF(Table33[[#This Row],[Category]]="Insignia",Table33[[#This Row],[Account Deposit Amount]]-Table33[[#This Row],[Account Withdrawl Amount]], )</f>
        <v>0</v>
      </c>
      <c r="Q195" s="243">
        <f>IF(Table33[[#This Row],[Category]]="Activities/Program",Table33[[#This Row],[Account Deposit Amount]]-Table33[[#This Row],[Account Withdrawl Amount]], )</f>
        <v>0</v>
      </c>
      <c r="R195" s="243">
        <f>IF(Table33[[#This Row],[Category]]="Travel",Table33[[#This Row],[Account Deposit Amount]]-Table33[[#This Row],[Account Withdrawl Amount]], )</f>
        <v>0</v>
      </c>
      <c r="S195" s="243">
        <f>IF(Table33[[#This Row],[Category]]="Parties Food &amp; Beverages",Table33[[#This Row],[Account Deposit Amount]]-Table33[[#This Row],[Account Withdrawl Amount]], )</f>
        <v>0</v>
      </c>
      <c r="T195" s="243">
        <f>IF(Table33[[#This Row],[Category]]="Service Projects Donation",Table33[[#This Row],[Account Deposit Amount]]-Table33[[#This Row],[Account Withdrawl Amount]], )</f>
        <v>0</v>
      </c>
      <c r="U195" s="243">
        <f>IF(Table33[[#This Row],[Category]]="Cookie Debt",Table33[[#This Row],[Account Deposit Amount]]-Table33[[#This Row],[Account Withdrawl Amount]], )</f>
        <v>0</v>
      </c>
      <c r="V195" s="243">
        <f>IF(Table33[[#This Row],[Category]]="Other Expense",Table33[[#This Row],[Account Deposit Amount]]-Table33[[#This Row],[Account Withdrawl Amount]], )</f>
        <v>0</v>
      </c>
    </row>
    <row r="196" spans="1:22">
      <c r="A196" s="225"/>
      <c r="B196" s="241"/>
      <c r="C196" s="244"/>
      <c r="D196" s="225"/>
      <c r="E196" s="242"/>
      <c r="F196" s="242"/>
      <c r="G196" s="243">
        <f t="shared" si="4"/>
        <v>0</v>
      </c>
      <c r="H196" s="225"/>
      <c r="I196" s="243">
        <f>IF(Table33[[#This Row],[Category]]="Fall Product",Table33[[#This Row],[Account Deposit Amount]]-Table33[[#This Row],[Account Withdrawl Amount]], )</f>
        <v>0</v>
      </c>
      <c r="J196" s="243">
        <f>IF(Table33[[#This Row],[Category]]="Cookies",Table33[[#This Row],[Account Deposit Amount]]-Table33[[#This Row],[Account Withdrawl Amount]], )</f>
        <v>0</v>
      </c>
      <c r="K196" s="243">
        <f>IF(Table33[[#This Row],[Category]]="Additional Money Earning Activities",Table33[[#This Row],[Account Deposit Amount]]-Table33[[#This Row],[Account Withdrawl Amount]], )</f>
        <v>0</v>
      </c>
      <c r="L196" s="243">
        <f>IF(Table33[[#This Row],[Category]]="Sponsorships",Table33[[#This Row],[Account Deposit Amount]]-Table33[[#This Row],[Account Withdrawl Amount]], )</f>
        <v>0</v>
      </c>
      <c r="M196" s="243">
        <f>IF(Table33[[#This Row],[Category]]="Troop Dues",Table33[[#This Row],[Account Deposit Amount]]-Table33[[#This Row],[Account Withdrawl Amount]], )</f>
        <v>0</v>
      </c>
      <c r="N196" s="243">
        <f>IF(Table33[[#This Row],[Category]]="Other Income",Table33[[#This Row],[Account Deposit Amount]]-Table33[[#This Row],[Account Withdrawl Amount]], )</f>
        <v>0</v>
      </c>
      <c r="O196" s="243">
        <f>IF(Table33[[#This Row],[Category]]="Registration",Table33[[#This Row],[Account Deposit Amount]]-Table33[[#This Row],[Account Withdrawl Amount]], )</f>
        <v>0</v>
      </c>
      <c r="P196" s="243">
        <f>IF(Table33[[#This Row],[Category]]="Insignia",Table33[[#This Row],[Account Deposit Amount]]-Table33[[#This Row],[Account Withdrawl Amount]], )</f>
        <v>0</v>
      </c>
      <c r="Q196" s="243">
        <f>IF(Table33[[#This Row],[Category]]="Activities/Program",Table33[[#This Row],[Account Deposit Amount]]-Table33[[#This Row],[Account Withdrawl Amount]], )</f>
        <v>0</v>
      </c>
      <c r="R196" s="243">
        <f>IF(Table33[[#This Row],[Category]]="Travel",Table33[[#This Row],[Account Deposit Amount]]-Table33[[#This Row],[Account Withdrawl Amount]], )</f>
        <v>0</v>
      </c>
      <c r="S196" s="243">
        <f>IF(Table33[[#This Row],[Category]]="Parties Food &amp; Beverages",Table33[[#This Row],[Account Deposit Amount]]-Table33[[#This Row],[Account Withdrawl Amount]], )</f>
        <v>0</v>
      </c>
      <c r="T196" s="243">
        <f>IF(Table33[[#This Row],[Category]]="Service Projects Donation",Table33[[#This Row],[Account Deposit Amount]]-Table33[[#This Row],[Account Withdrawl Amount]], )</f>
        <v>0</v>
      </c>
      <c r="U196" s="243">
        <f>IF(Table33[[#This Row],[Category]]="Cookie Debt",Table33[[#This Row],[Account Deposit Amount]]-Table33[[#This Row],[Account Withdrawl Amount]], )</f>
        <v>0</v>
      </c>
      <c r="V196" s="243">
        <f>IF(Table33[[#This Row],[Category]]="Other Expense",Table33[[#This Row],[Account Deposit Amount]]-Table33[[#This Row],[Account Withdrawl Amount]], )</f>
        <v>0</v>
      </c>
    </row>
    <row r="197" spans="1:22">
      <c r="A197" s="225"/>
      <c r="B197" s="241"/>
      <c r="C197" s="244"/>
      <c r="D197" s="225"/>
      <c r="E197" s="242"/>
      <c r="F197" s="242"/>
      <c r="G197" s="243">
        <f t="shared" ref="G197:G205" si="5">G196+E197-F197</f>
        <v>0</v>
      </c>
      <c r="H197" s="225"/>
      <c r="I197" s="243">
        <f>IF(Table33[[#This Row],[Category]]="Fall Product",Table33[[#This Row],[Account Deposit Amount]]-Table33[[#This Row],[Account Withdrawl Amount]], )</f>
        <v>0</v>
      </c>
      <c r="J197" s="243">
        <f>IF(Table33[[#This Row],[Category]]="Cookies",Table33[[#This Row],[Account Deposit Amount]]-Table33[[#This Row],[Account Withdrawl Amount]], )</f>
        <v>0</v>
      </c>
      <c r="K197" s="243">
        <f>IF(Table33[[#This Row],[Category]]="Additional Money Earning Activities",Table33[[#This Row],[Account Deposit Amount]]-Table33[[#This Row],[Account Withdrawl Amount]], )</f>
        <v>0</v>
      </c>
      <c r="L197" s="243">
        <f>IF(Table33[[#This Row],[Category]]="Sponsorships",Table33[[#This Row],[Account Deposit Amount]]-Table33[[#This Row],[Account Withdrawl Amount]], )</f>
        <v>0</v>
      </c>
      <c r="M197" s="243">
        <f>IF(Table33[[#This Row],[Category]]="Troop Dues",Table33[[#This Row],[Account Deposit Amount]]-Table33[[#This Row],[Account Withdrawl Amount]], )</f>
        <v>0</v>
      </c>
      <c r="N197" s="243">
        <f>IF(Table33[[#This Row],[Category]]="Other Income",Table33[[#This Row],[Account Deposit Amount]]-Table33[[#This Row],[Account Withdrawl Amount]], )</f>
        <v>0</v>
      </c>
      <c r="O197" s="243">
        <f>IF(Table33[[#This Row],[Category]]="Registration",Table33[[#This Row],[Account Deposit Amount]]-Table33[[#This Row],[Account Withdrawl Amount]], )</f>
        <v>0</v>
      </c>
      <c r="P197" s="243">
        <f>IF(Table33[[#This Row],[Category]]="Insignia",Table33[[#This Row],[Account Deposit Amount]]-Table33[[#This Row],[Account Withdrawl Amount]], )</f>
        <v>0</v>
      </c>
      <c r="Q197" s="243">
        <f>IF(Table33[[#This Row],[Category]]="Activities/Program",Table33[[#This Row],[Account Deposit Amount]]-Table33[[#This Row],[Account Withdrawl Amount]], )</f>
        <v>0</v>
      </c>
      <c r="R197" s="243">
        <f>IF(Table33[[#This Row],[Category]]="Travel",Table33[[#This Row],[Account Deposit Amount]]-Table33[[#This Row],[Account Withdrawl Amount]], )</f>
        <v>0</v>
      </c>
      <c r="S197" s="243">
        <f>IF(Table33[[#This Row],[Category]]="Parties Food &amp; Beverages",Table33[[#This Row],[Account Deposit Amount]]-Table33[[#This Row],[Account Withdrawl Amount]], )</f>
        <v>0</v>
      </c>
      <c r="T197" s="243">
        <f>IF(Table33[[#This Row],[Category]]="Service Projects Donation",Table33[[#This Row],[Account Deposit Amount]]-Table33[[#This Row],[Account Withdrawl Amount]], )</f>
        <v>0</v>
      </c>
      <c r="U197" s="243">
        <f>IF(Table33[[#This Row],[Category]]="Cookie Debt",Table33[[#This Row],[Account Deposit Amount]]-Table33[[#This Row],[Account Withdrawl Amount]], )</f>
        <v>0</v>
      </c>
      <c r="V197" s="243">
        <f>IF(Table33[[#This Row],[Category]]="Other Expense",Table33[[#This Row],[Account Deposit Amount]]-Table33[[#This Row],[Account Withdrawl Amount]], )</f>
        <v>0</v>
      </c>
    </row>
    <row r="198" spans="1:22">
      <c r="A198" s="225"/>
      <c r="B198" s="241"/>
      <c r="C198" s="244"/>
      <c r="D198" s="225"/>
      <c r="E198" s="242"/>
      <c r="F198" s="242"/>
      <c r="G198" s="243">
        <f t="shared" si="5"/>
        <v>0</v>
      </c>
      <c r="H198" s="225"/>
      <c r="I198" s="243">
        <f>IF(Table33[[#This Row],[Category]]="Fall Product",Table33[[#This Row],[Account Deposit Amount]]-Table33[[#This Row],[Account Withdrawl Amount]], )</f>
        <v>0</v>
      </c>
      <c r="J198" s="243">
        <f>IF(Table33[[#This Row],[Category]]="Cookies",Table33[[#This Row],[Account Deposit Amount]]-Table33[[#This Row],[Account Withdrawl Amount]], )</f>
        <v>0</v>
      </c>
      <c r="K198" s="243">
        <f>IF(Table33[[#This Row],[Category]]="Additional Money Earning Activities",Table33[[#This Row],[Account Deposit Amount]]-Table33[[#This Row],[Account Withdrawl Amount]], )</f>
        <v>0</v>
      </c>
      <c r="L198" s="243">
        <f>IF(Table33[[#This Row],[Category]]="Sponsorships",Table33[[#This Row],[Account Deposit Amount]]-Table33[[#This Row],[Account Withdrawl Amount]], )</f>
        <v>0</v>
      </c>
      <c r="M198" s="243">
        <f>IF(Table33[[#This Row],[Category]]="Troop Dues",Table33[[#This Row],[Account Deposit Amount]]-Table33[[#This Row],[Account Withdrawl Amount]], )</f>
        <v>0</v>
      </c>
      <c r="N198" s="243">
        <f>IF(Table33[[#This Row],[Category]]="Other Income",Table33[[#This Row],[Account Deposit Amount]]-Table33[[#This Row],[Account Withdrawl Amount]], )</f>
        <v>0</v>
      </c>
      <c r="O198" s="243">
        <f>IF(Table33[[#This Row],[Category]]="Registration",Table33[[#This Row],[Account Deposit Amount]]-Table33[[#This Row],[Account Withdrawl Amount]], )</f>
        <v>0</v>
      </c>
      <c r="P198" s="243">
        <f>IF(Table33[[#This Row],[Category]]="Insignia",Table33[[#This Row],[Account Deposit Amount]]-Table33[[#This Row],[Account Withdrawl Amount]], )</f>
        <v>0</v>
      </c>
      <c r="Q198" s="243">
        <f>IF(Table33[[#This Row],[Category]]="Activities/Program",Table33[[#This Row],[Account Deposit Amount]]-Table33[[#This Row],[Account Withdrawl Amount]], )</f>
        <v>0</v>
      </c>
      <c r="R198" s="243">
        <f>IF(Table33[[#This Row],[Category]]="Travel",Table33[[#This Row],[Account Deposit Amount]]-Table33[[#This Row],[Account Withdrawl Amount]], )</f>
        <v>0</v>
      </c>
      <c r="S198" s="243">
        <f>IF(Table33[[#This Row],[Category]]="Parties Food &amp; Beverages",Table33[[#This Row],[Account Deposit Amount]]-Table33[[#This Row],[Account Withdrawl Amount]], )</f>
        <v>0</v>
      </c>
      <c r="T198" s="243">
        <f>IF(Table33[[#This Row],[Category]]="Service Projects Donation",Table33[[#This Row],[Account Deposit Amount]]-Table33[[#This Row],[Account Withdrawl Amount]], )</f>
        <v>0</v>
      </c>
      <c r="U198" s="243">
        <f>IF(Table33[[#This Row],[Category]]="Cookie Debt",Table33[[#This Row],[Account Deposit Amount]]-Table33[[#This Row],[Account Withdrawl Amount]], )</f>
        <v>0</v>
      </c>
      <c r="V198" s="243">
        <f>IF(Table33[[#This Row],[Category]]="Other Expense",Table33[[#This Row],[Account Deposit Amount]]-Table33[[#This Row],[Account Withdrawl Amount]], )</f>
        <v>0</v>
      </c>
    </row>
    <row r="199" spans="1:22">
      <c r="A199" s="225"/>
      <c r="B199" s="241"/>
      <c r="C199" s="244"/>
      <c r="D199" s="225"/>
      <c r="E199" s="242"/>
      <c r="F199" s="242"/>
      <c r="G199" s="243">
        <f t="shared" si="5"/>
        <v>0</v>
      </c>
      <c r="H199" s="225"/>
      <c r="I199" s="243">
        <f>IF(Table33[[#This Row],[Category]]="Fall Product",Table33[[#This Row],[Account Deposit Amount]]-Table33[[#This Row],[Account Withdrawl Amount]], )</f>
        <v>0</v>
      </c>
      <c r="J199" s="243">
        <f>IF(Table33[[#This Row],[Category]]="Cookies",Table33[[#This Row],[Account Deposit Amount]]-Table33[[#This Row],[Account Withdrawl Amount]], )</f>
        <v>0</v>
      </c>
      <c r="K199" s="243">
        <f>IF(Table33[[#This Row],[Category]]="Additional Money Earning Activities",Table33[[#This Row],[Account Deposit Amount]]-Table33[[#This Row],[Account Withdrawl Amount]], )</f>
        <v>0</v>
      </c>
      <c r="L199" s="243">
        <f>IF(Table33[[#This Row],[Category]]="Sponsorships",Table33[[#This Row],[Account Deposit Amount]]-Table33[[#This Row],[Account Withdrawl Amount]], )</f>
        <v>0</v>
      </c>
      <c r="M199" s="243">
        <f>IF(Table33[[#This Row],[Category]]="Troop Dues",Table33[[#This Row],[Account Deposit Amount]]-Table33[[#This Row],[Account Withdrawl Amount]], )</f>
        <v>0</v>
      </c>
      <c r="N199" s="243">
        <f>IF(Table33[[#This Row],[Category]]="Other Income",Table33[[#This Row],[Account Deposit Amount]]-Table33[[#This Row],[Account Withdrawl Amount]], )</f>
        <v>0</v>
      </c>
      <c r="O199" s="243">
        <f>IF(Table33[[#This Row],[Category]]="Registration",Table33[[#This Row],[Account Deposit Amount]]-Table33[[#This Row],[Account Withdrawl Amount]], )</f>
        <v>0</v>
      </c>
      <c r="P199" s="243">
        <f>IF(Table33[[#This Row],[Category]]="Insignia",Table33[[#This Row],[Account Deposit Amount]]-Table33[[#This Row],[Account Withdrawl Amount]], )</f>
        <v>0</v>
      </c>
      <c r="Q199" s="243">
        <f>IF(Table33[[#This Row],[Category]]="Activities/Program",Table33[[#This Row],[Account Deposit Amount]]-Table33[[#This Row],[Account Withdrawl Amount]], )</f>
        <v>0</v>
      </c>
      <c r="R199" s="243">
        <f>IF(Table33[[#This Row],[Category]]="Travel",Table33[[#This Row],[Account Deposit Amount]]-Table33[[#This Row],[Account Withdrawl Amount]], )</f>
        <v>0</v>
      </c>
      <c r="S199" s="243">
        <f>IF(Table33[[#This Row],[Category]]="Parties Food &amp; Beverages",Table33[[#This Row],[Account Deposit Amount]]-Table33[[#This Row],[Account Withdrawl Amount]], )</f>
        <v>0</v>
      </c>
      <c r="T199" s="243">
        <f>IF(Table33[[#This Row],[Category]]="Service Projects Donation",Table33[[#This Row],[Account Deposit Amount]]-Table33[[#This Row],[Account Withdrawl Amount]], )</f>
        <v>0</v>
      </c>
      <c r="U199" s="243">
        <f>IF(Table33[[#This Row],[Category]]="Cookie Debt",Table33[[#This Row],[Account Deposit Amount]]-Table33[[#This Row],[Account Withdrawl Amount]], )</f>
        <v>0</v>
      </c>
      <c r="V199" s="243">
        <f>IF(Table33[[#This Row],[Category]]="Other Expense",Table33[[#This Row],[Account Deposit Amount]]-Table33[[#This Row],[Account Withdrawl Amount]], )</f>
        <v>0</v>
      </c>
    </row>
    <row r="200" spans="1:22">
      <c r="A200" s="225"/>
      <c r="B200" s="241"/>
      <c r="C200" s="244"/>
      <c r="D200" s="225"/>
      <c r="E200" s="242"/>
      <c r="F200" s="242"/>
      <c r="G200" s="243">
        <f t="shared" si="5"/>
        <v>0</v>
      </c>
      <c r="H200" s="225"/>
      <c r="I200" s="243">
        <f>IF(Table33[[#This Row],[Category]]="Fall Product",Table33[[#This Row],[Account Deposit Amount]]-Table33[[#This Row],[Account Withdrawl Amount]], )</f>
        <v>0</v>
      </c>
      <c r="J200" s="243">
        <f>IF(Table33[[#This Row],[Category]]="Cookies",Table33[[#This Row],[Account Deposit Amount]]-Table33[[#This Row],[Account Withdrawl Amount]], )</f>
        <v>0</v>
      </c>
      <c r="K200" s="243">
        <f>IF(Table33[[#This Row],[Category]]="Additional Money Earning Activities",Table33[[#This Row],[Account Deposit Amount]]-Table33[[#This Row],[Account Withdrawl Amount]], )</f>
        <v>0</v>
      </c>
      <c r="L200" s="243">
        <f>IF(Table33[[#This Row],[Category]]="Sponsorships",Table33[[#This Row],[Account Deposit Amount]]-Table33[[#This Row],[Account Withdrawl Amount]], )</f>
        <v>0</v>
      </c>
      <c r="M200" s="243">
        <f>IF(Table33[[#This Row],[Category]]="Troop Dues",Table33[[#This Row],[Account Deposit Amount]]-Table33[[#This Row],[Account Withdrawl Amount]], )</f>
        <v>0</v>
      </c>
      <c r="N200" s="243">
        <f>IF(Table33[[#This Row],[Category]]="Other Income",Table33[[#This Row],[Account Deposit Amount]]-Table33[[#This Row],[Account Withdrawl Amount]], )</f>
        <v>0</v>
      </c>
      <c r="O200" s="243">
        <f>IF(Table33[[#This Row],[Category]]="Registration",Table33[[#This Row],[Account Deposit Amount]]-Table33[[#This Row],[Account Withdrawl Amount]], )</f>
        <v>0</v>
      </c>
      <c r="P200" s="243">
        <f>IF(Table33[[#This Row],[Category]]="Insignia",Table33[[#This Row],[Account Deposit Amount]]-Table33[[#This Row],[Account Withdrawl Amount]], )</f>
        <v>0</v>
      </c>
      <c r="Q200" s="243">
        <f>IF(Table33[[#This Row],[Category]]="Activities/Program",Table33[[#This Row],[Account Deposit Amount]]-Table33[[#This Row],[Account Withdrawl Amount]], )</f>
        <v>0</v>
      </c>
      <c r="R200" s="243">
        <f>IF(Table33[[#This Row],[Category]]="Travel",Table33[[#This Row],[Account Deposit Amount]]-Table33[[#This Row],[Account Withdrawl Amount]], )</f>
        <v>0</v>
      </c>
      <c r="S200" s="243">
        <f>IF(Table33[[#This Row],[Category]]="Parties Food &amp; Beverages",Table33[[#This Row],[Account Deposit Amount]]-Table33[[#This Row],[Account Withdrawl Amount]], )</f>
        <v>0</v>
      </c>
      <c r="T200" s="243">
        <f>IF(Table33[[#This Row],[Category]]="Service Projects Donation",Table33[[#This Row],[Account Deposit Amount]]-Table33[[#This Row],[Account Withdrawl Amount]], )</f>
        <v>0</v>
      </c>
      <c r="U200" s="243">
        <f>IF(Table33[[#This Row],[Category]]="Cookie Debt",Table33[[#This Row],[Account Deposit Amount]]-Table33[[#This Row],[Account Withdrawl Amount]], )</f>
        <v>0</v>
      </c>
      <c r="V200" s="243">
        <f>IF(Table33[[#This Row],[Category]]="Other Expense",Table33[[#This Row],[Account Deposit Amount]]-Table33[[#This Row],[Account Withdrawl Amount]], )</f>
        <v>0</v>
      </c>
    </row>
    <row r="201" spans="1:22">
      <c r="A201" s="225"/>
      <c r="B201" s="241"/>
      <c r="C201" s="244"/>
      <c r="D201" s="225"/>
      <c r="E201" s="242"/>
      <c r="F201" s="242"/>
      <c r="G201" s="243">
        <f t="shared" si="5"/>
        <v>0</v>
      </c>
      <c r="H201" s="225"/>
      <c r="I201" s="243">
        <f>IF(Table33[[#This Row],[Category]]="Fall Product",Table33[[#This Row],[Account Deposit Amount]]-Table33[[#This Row],[Account Withdrawl Amount]], )</f>
        <v>0</v>
      </c>
      <c r="J201" s="243">
        <f>IF(Table33[[#This Row],[Category]]="Cookies",Table33[[#This Row],[Account Deposit Amount]]-Table33[[#This Row],[Account Withdrawl Amount]], )</f>
        <v>0</v>
      </c>
      <c r="K201" s="243">
        <f>IF(Table33[[#This Row],[Category]]="Additional Money Earning Activities",Table33[[#This Row],[Account Deposit Amount]]-Table33[[#This Row],[Account Withdrawl Amount]], )</f>
        <v>0</v>
      </c>
      <c r="L201" s="243">
        <f>IF(Table33[[#This Row],[Category]]="Sponsorships",Table33[[#This Row],[Account Deposit Amount]]-Table33[[#This Row],[Account Withdrawl Amount]], )</f>
        <v>0</v>
      </c>
      <c r="M201" s="243">
        <f>IF(Table33[[#This Row],[Category]]="Troop Dues",Table33[[#This Row],[Account Deposit Amount]]-Table33[[#This Row],[Account Withdrawl Amount]], )</f>
        <v>0</v>
      </c>
      <c r="N201" s="243">
        <f>IF(Table33[[#This Row],[Category]]="Other Income",Table33[[#This Row],[Account Deposit Amount]]-Table33[[#This Row],[Account Withdrawl Amount]], )</f>
        <v>0</v>
      </c>
      <c r="O201" s="243">
        <f>IF(Table33[[#This Row],[Category]]="Registration",Table33[[#This Row],[Account Deposit Amount]]-Table33[[#This Row],[Account Withdrawl Amount]], )</f>
        <v>0</v>
      </c>
      <c r="P201" s="243">
        <f>IF(Table33[[#This Row],[Category]]="Insignia",Table33[[#This Row],[Account Deposit Amount]]-Table33[[#This Row],[Account Withdrawl Amount]], )</f>
        <v>0</v>
      </c>
      <c r="Q201" s="243">
        <f>IF(Table33[[#This Row],[Category]]="Activities/Program",Table33[[#This Row],[Account Deposit Amount]]-Table33[[#This Row],[Account Withdrawl Amount]], )</f>
        <v>0</v>
      </c>
      <c r="R201" s="243">
        <f>IF(Table33[[#This Row],[Category]]="Travel",Table33[[#This Row],[Account Deposit Amount]]-Table33[[#This Row],[Account Withdrawl Amount]], )</f>
        <v>0</v>
      </c>
      <c r="S201" s="243">
        <f>IF(Table33[[#This Row],[Category]]="Parties Food &amp; Beverages",Table33[[#This Row],[Account Deposit Amount]]-Table33[[#This Row],[Account Withdrawl Amount]], )</f>
        <v>0</v>
      </c>
      <c r="T201" s="243">
        <f>IF(Table33[[#This Row],[Category]]="Service Projects Donation",Table33[[#This Row],[Account Deposit Amount]]-Table33[[#This Row],[Account Withdrawl Amount]], )</f>
        <v>0</v>
      </c>
      <c r="U201" s="243">
        <f>IF(Table33[[#This Row],[Category]]="Cookie Debt",Table33[[#This Row],[Account Deposit Amount]]-Table33[[#This Row],[Account Withdrawl Amount]], )</f>
        <v>0</v>
      </c>
      <c r="V201" s="243">
        <f>IF(Table33[[#This Row],[Category]]="Other Expense",Table33[[#This Row],[Account Deposit Amount]]-Table33[[#This Row],[Account Withdrawl Amount]], )</f>
        <v>0</v>
      </c>
    </row>
    <row r="202" spans="1:22">
      <c r="A202" s="225"/>
      <c r="B202" s="241"/>
      <c r="C202" s="244"/>
      <c r="D202" s="225"/>
      <c r="E202" s="242"/>
      <c r="F202" s="242"/>
      <c r="G202" s="243">
        <f t="shared" si="5"/>
        <v>0</v>
      </c>
      <c r="H202" s="225"/>
      <c r="I202" s="243">
        <f>IF(Table33[[#This Row],[Category]]="Fall Product",Table33[[#This Row],[Account Deposit Amount]]-Table33[[#This Row],[Account Withdrawl Amount]], )</f>
        <v>0</v>
      </c>
      <c r="J202" s="243">
        <f>IF(Table33[[#This Row],[Category]]="Cookies",Table33[[#This Row],[Account Deposit Amount]]-Table33[[#This Row],[Account Withdrawl Amount]], )</f>
        <v>0</v>
      </c>
      <c r="K202" s="243">
        <f>IF(Table33[[#This Row],[Category]]="Additional Money Earning Activities",Table33[[#This Row],[Account Deposit Amount]]-Table33[[#This Row],[Account Withdrawl Amount]], )</f>
        <v>0</v>
      </c>
      <c r="L202" s="243">
        <f>IF(Table33[[#This Row],[Category]]="Sponsorships",Table33[[#This Row],[Account Deposit Amount]]-Table33[[#This Row],[Account Withdrawl Amount]], )</f>
        <v>0</v>
      </c>
      <c r="M202" s="243">
        <f>IF(Table33[[#This Row],[Category]]="Troop Dues",Table33[[#This Row],[Account Deposit Amount]]-Table33[[#This Row],[Account Withdrawl Amount]], )</f>
        <v>0</v>
      </c>
      <c r="N202" s="243">
        <f>IF(Table33[[#This Row],[Category]]="Other Income",Table33[[#This Row],[Account Deposit Amount]]-Table33[[#This Row],[Account Withdrawl Amount]], )</f>
        <v>0</v>
      </c>
      <c r="O202" s="243">
        <f>IF(Table33[[#This Row],[Category]]="Registration",Table33[[#This Row],[Account Deposit Amount]]-Table33[[#This Row],[Account Withdrawl Amount]], )</f>
        <v>0</v>
      </c>
      <c r="P202" s="243">
        <f>IF(Table33[[#This Row],[Category]]="Insignia",Table33[[#This Row],[Account Deposit Amount]]-Table33[[#This Row],[Account Withdrawl Amount]], )</f>
        <v>0</v>
      </c>
      <c r="Q202" s="243">
        <f>IF(Table33[[#This Row],[Category]]="Activities/Program",Table33[[#This Row],[Account Deposit Amount]]-Table33[[#This Row],[Account Withdrawl Amount]], )</f>
        <v>0</v>
      </c>
      <c r="R202" s="243">
        <f>IF(Table33[[#This Row],[Category]]="Travel",Table33[[#This Row],[Account Deposit Amount]]-Table33[[#This Row],[Account Withdrawl Amount]], )</f>
        <v>0</v>
      </c>
      <c r="S202" s="243">
        <f>IF(Table33[[#This Row],[Category]]="Parties Food &amp; Beverages",Table33[[#This Row],[Account Deposit Amount]]-Table33[[#This Row],[Account Withdrawl Amount]], )</f>
        <v>0</v>
      </c>
      <c r="T202" s="243">
        <f>IF(Table33[[#This Row],[Category]]="Service Projects Donation",Table33[[#This Row],[Account Deposit Amount]]-Table33[[#This Row],[Account Withdrawl Amount]], )</f>
        <v>0</v>
      </c>
      <c r="U202" s="243">
        <f>IF(Table33[[#This Row],[Category]]="Cookie Debt",Table33[[#This Row],[Account Deposit Amount]]-Table33[[#This Row],[Account Withdrawl Amount]], )</f>
        <v>0</v>
      </c>
      <c r="V202" s="243">
        <f>IF(Table33[[#This Row],[Category]]="Other Expense",Table33[[#This Row],[Account Deposit Amount]]-Table33[[#This Row],[Account Withdrawl Amount]], )</f>
        <v>0</v>
      </c>
    </row>
    <row r="203" spans="1:22">
      <c r="A203" s="225"/>
      <c r="B203" s="241"/>
      <c r="C203" s="244"/>
      <c r="D203" s="225"/>
      <c r="E203" s="242"/>
      <c r="F203" s="242"/>
      <c r="G203" s="243">
        <f t="shared" si="5"/>
        <v>0</v>
      </c>
      <c r="H203" s="225"/>
      <c r="I203" s="243">
        <f>IF(Table33[[#This Row],[Category]]="Fall Product",Table33[[#This Row],[Account Deposit Amount]]-Table33[[#This Row],[Account Withdrawl Amount]], )</f>
        <v>0</v>
      </c>
      <c r="J203" s="243">
        <f>IF(Table33[[#This Row],[Category]]="Cookies",Table33[[#This Row],[Account Deposit Amount]]-Table33[[#This Row],[Account Withdrawl Amount]], )</f>
        <v>0</v>
      </c>
      <c r="K203" s="243">
        <f>IF(Table33[[#This Row],[Category]]="Additional Money Earning Activities",Table33[[#This Row],[Account Deposit Amount]]-Table33[[#This Row],[Account Withdrawl Amount]], )</f>
        <v>0</v>
      </c>
      <c r="L203" s="243">
        <f>IF(Table33[[#This Row],[Category]]="Sponsorships",Table33[[#This Row],[Account Deposit Amount]]-Table33[[#This Row],[Account Withdrawl Amount]], )</f>
        <v>0</v>
      </c>
      <c r="M203" s="243">
        <f>IF(Table33[[#This Row],[Category]]="Troop Dues",Table33[[#This Row],[Account Deposit Amount]]-Table33[[#This Row],[Account Withdrawl Amount]], )</f>
        <v>0</v>
      </c>
      <c r="N203" s="243">
        <f>IF(Table33[[#This Row],[Category]]="Other Income",Table33[[#This Row],[Account Deposit Amount]]-Table33[[#This Row],[Account Withdrawl Amount]], )</f>
        <v>0</v>
      </c>
      <c r="O203" s="243">
        <f>IF(Table33[[#This Row],[Category]]="Registration",Table33[[#This Row],[Account Deposit Amount]]-Table33[[#This Row],[Account Withdrawl Amount]], )</f>
        <v>0</v>
      </c>
      <c r="P203" s="243">
        <f>IF(Table33[[#This Row],[Category]]="Insignia",Table33[[#This Row],[Account Deposit Amount]]-Table33[[#This Row],[Account Withdrawl Amount]], )</f>
        <v>0</v>
      </c>
      <c r="Q203" s="243">
        <f>IF(Table33[[#This Row],[Category]]="Activities/Program",Table33[[#This Row],[Account Deposit Amount]]-Table33[[#This Row],[Account Withdrawl Amount]], )</f>
        <v>0</v>
      </c>
      <c r="R203" s="243">
        <f>IF(Table33[[#This Row],[Category]]="Travel",Table33[[#This Row],[Account Deposit Amount]]-Table33[[#This Row],[Account Withdrawl Amount]], )</f>
        <v>0</v>
      </c>
      <c r="S203" s="243">
        <f>IF(Table33[[#This Row],[Category]]="Parties Food &amp; Beverages",Table33[[#This Row],[Account Deposit Amount]]-Table33[[#This Row],[Account Withdrawl Amount]], )</f>
        <v>0</v>
      </c>
      <c r="T203" s="243">
        <f>IF(Table33[[#This Row],[Category]]="Service Projects Donation",Table33[[#This Row],[Account Deposit Amount]]-Table33[[#This Row],[Account Withdrawl Amount]], )</f>
        <v>0</v>
      </c>
      <c r="U203" s="243">
        <f>IF(Table33[[#This Row],[Category]]="Cookie Debt",Table33[[#This Row],[Account Deposit Amount]]-Table33[[#This Row],[Account Withdrawl Amount]], )</f>
        <v>0</v>
      </c>
      <c r="V203" s="243">
        <f>IF(Table33[[#This Row],[Category]]="Other Expense",Table33[[#This Row],[Account Deposit Amount]]-Table33[[#This Row],[Account Withdrawl Amount]], )</f>
        <v>0</v>
      </c>
    </row>
    <row r="204" spans="1:22">
      <c r="A204" s="225"/>
      <c r="B204" s="241"/>
      <c r="C204" s="244"/>
      <c r="D204" s="225"/>
      <c r="E204" s="242"/>
      <c r="F204" s="242"/>
      <c r="G204" s="243">
        <f t="shared" si="5"/>
        <v>0</v>
      </c>
      <c r="H204" s="225"/>
      <c r="I204" s="243">
        <f>IF(Table33[[#This Row],[Category]]="Fall Product",Table33[[#This Row],[Account Deposit Amount]]-Table33[[#This Row],[Account Withdrawl Amount]], )</f>
        <v>0</v>
      </c>
      <c r="J204" s="243">
        <f>IF(Table33[[#This Row],[Category]]="Cookies",Table33[[#This Row],[Account Deposit Amount]]-Table33[[#This Row],[Account Withdrawl Amount]], )</f>
        <v>0</v>
      </c>
      <c r="K204" s="243">
        <f>IF(Table33[[#This Row],[Category]]="Additional Money Earning Activities",Table33[[#This Row],[Account Deposit Amount]]-Table33[[#This Row],[Account Withdrawl Amount]], )</f>
        <v>0</v>
      </c>
      <c r="L204" s="243">
        <f>IF(Table33[[#This Row],[Category]]="Sponsorships",Table33[[#This Row],[Account Deposit Amount]]-Table33[[#This Row],[Account Withdrawl Amount]], )</f>
        <v>0</v>
      </c>
      <c r="M204" s="243">
        <f>IF(Table33[[#This Row],[Category]]="Troop Dues",Table33[[#This Row],[Account Deposit Amount]]-Table33[[#This Row],[Account Withdrawl Amount]], )</f>
        <v>0</v>
      </c>
      <c r="N204" s="243">
        <f>IF(Table33[[#This Row],[Category]]="Other Income",Table33[[#This Row],[Account Deposit Amount]]-Table33[[#This Row],[Account Withdrawl Amount]], )</f>
        <v>0</v>
      </c>
      <c r="O204" s="243">
        <f>IF(Table33[[#This Row],[Category]]="Registration",Table33[[#This Row],[Account Deposit Amount]]-Table33[[#This Row],[Account Withdrawl Amount]], )</f>
        <v>0</v>
      </c>
      <c r="P204" s="243">
        <f>IF(Table33[[#This Row],[Category]]="Insignia",Table33[[#This Row],[Account Deposit Amount]]-Table33[[#This Row],[Account Withdrawl Amount]], )</f>
        <v>0</v>
      </c>
      <c r="Q204" s="243">
        <f>IF(Table33[[#This Row],[Category]]="Activities/Program",Table33[[#This Row],[Account Deposit Amount]]-Table33[[#This Row],[Account Withdrawl Amount]], )</f>
        <v>0</v>
      </c>
      <c r="R204" s="243">
        <f>IF(Table33[[#This Row],[Category]]="Travel",Table33[[#This Row],[Account Deposit Amount]]-Table33[[#This Row],[Account Withdrawl Amount]], )</f>
        <v>0</v>
      </c>
      <c r="S204" s="243">
        <f>IF(Table33[[#This Row],[Category]]="Parties Food &amp; Beverages",Table33[[#This Row],[Account Deposit Amount]]-Table33[[#This Row],[Account Withdrawl Amount]], )</f>
        <v>0</v>
      </c>
      <c r="T204" s="243">
        <f>IF(Table33[[#This Row],[Category]]="Service Projects Donation",Table33[[#This Row],[Account Deposit Amount]]-Table33[[#This Row],[Account Withdrawl Amount]], )</f>
        <v>0</v>
      </c>
      <c r="U204" s="243">
        <f>IF(Table33[[#This Row],[Category]]="Cookie Debt",Table33[[#This Row],[Account Deposit Amount]]-Table33[[#This Row],[Account Withdrawl Amount]], )</f>
        <v>0</v>
      </c>
      <c r="V204" s="243">
        <f>IF(Table33[[#This Row],[Category]]="Other Expense",Table33[[#This Row],[Account Deposit Amount]]-Table33[[#This Row],[Account Withdrawl Amount]], )</f>
        <v>0</v>
      </c>
    </row>
    <row r="205" spans="1:22">
      <c r="A205" s="225"/>
      <c r="B205" s="241"/>
      <c r="C205" s="244"/>
      <c r="D205" s="225"/>
      <c r="E205" s="242"/>
      <c r="F205" s="242"/>
      <c r="G205" s="243">
        <f t="shared" si="5"/>
        <v>0</v>
      </c>
      <c r="H205" s="225"/>
      <c r="I205" s="243">
        <f>IF(Table33[[#This Row],[Category]]="Fall Product",Table33[[#This Row],[Account Deposit Amount]]-Table33[[#This Row],[Account Withdrawl Amount]], )</f>
        <v>0</v>
      </c>
      <c r="J205" s="243">
        <f>IF(Table33[[#This Row],[Category]]="Cookies",Table33[[#This Row],[Account Deposit Amount]]-Table33[[#This Row],[Account Withdrawl Amount]], )</f>
        <v>0</v>
      </c>
      <c r="K205" s="243">
        <f>IF(Table33[[#This Row],[Category]]="Additional Money Earning Activities",Table33[[#This Row],[Account Deposit Amount]]-Table33[[#This Row],[Account Withdrawl Amount]], )</f>
        <v>0</v>
      </c>
      <c r="L205" s="243">
        <f>IF(Table33[[#This Row],[Category]]="Sponsorships",Table33[[#This Row],[Account Deposit Amount]]-Table33[[#This Row],[Account Withdrawl Amount]], )</f>
        <v>0</v>
      </c>
      <c r="M205" s="243">
        <f>IF(Table33[[#This Row],[Category]]="Troop Dues",Table33[[#This Row],[Account Deposit Amount]]-Table33[[#This Row],[Account Withdrawl Amount]], )</f>
        <v>0</v>
      </c>
      <c r="N205" s="243">
        <f>IF(Table33[[#This Row],[Category]]="Other Income",Table33[[#This Row],[Account Deposit Amount]]-Table33[[#This Row],[Account Withdrawl Amount]], )</f>
        <v>0</v>
      </c>
      <c r="O205" s="243">
        <f>IF(Table33[[#This Row],[Category]]="Registration",Table33[[#This Row],[Account Deposit Amount]]-Table33[[#This Row],[Account Withdrawl Amount]], )</f>
        <v>0</v>
      </c>
      <c r="P205" s="243">
        <f>IF(Table33[[#This Row],[Category]]="Insignia",Table33[[#This Row],[Account Deposit Amount]]-Table33[[#This Row],[Account Withdrawl Amount]], )</f>
        <v>0</v>
      </c>
      <c r="Q205" s="243">
        <f>IF(Table33[[#This Row],[Category]]="Activities/Program",Table33[[#This Row],[Account Deposit Amount]]-Table33[[#This Row],[Account Withdrawl Amount]], )</f>
        <v>0</v>
      </c>
      <c r="R205" s="243">
        <f>IF(Table33[[#This Row],[Category]]="Travel",Table33[[#This Row],[Account Deposit Amount]]-Table33[[#This Row],[Account Withdrawl Amount]], )</f>
        <v>0</v>
      </c>
      <c r="S205" s="243">
        <f>IF(Table33[[#This Row],[Category]]="Parties Food &amp; Beverages",Table33[[#This Row],[Account Deposit Amount]]-Table33[[#This Row],[Account Withdrawl Amount]], )</f>
        <v>0</v>
      </c>
      <c r="T205" s="243">
        <f>IF(Table33[[#This Row],[Category]]="Service Projects Donation",Table33[[#This Row],[Account Deposit Amount]]-Table33[[#This Row],[Account Withdrawl Amount]], )</f>
        <v>0</v>
      </c>
      <c r="U205" s="243">
        <f>IF(Table33[[#This Row],[Category]]="Cookie Debt",Table33[[#This Row],[Account Deposit Amount]]-Table33[[#This Row],[Account Withdrawl Amount]], )</f>
        <v>0</v>
      </c>
      <c r="V205" s="243">
        <f>IF(Table33[[#This Row],[Category]]="Other Expense",Table33[[#This Row],[Account Deposit Amount]]-Table33[[#This Row],[Account Withdrawl Amount]], )</f>
        <v>0</v>
      </c>
    </row>
    <row r="206" spans="1:22">
      <c r="A206" s="225"/>
      <c r="B206" s="241"/>
      <c r="C206" s="225"/>
      <c r="D206" s="225"/>
      <c r="E206" s="242"/>
      <c r="F206" s="242"/>
      <c r="G206" s="243">
        <f t="shared" ref="G206:G228" si="6">G205+E206-F206</f>
        <v>0</v>
      </c>
      <c r="H206" s="225"/>
      <c r="I206" s="243">
        <f>IF(Table33[[#This Row],[Category]]="Fall Product",Table33[[#This Row],[Account Deposit Amount]]-Table33[[#This Row],[Account Withdrawl Amount]], )</f>
        <v>0</v>
      </c>
      <c r="J206" s="243">
        <f>IF(Table33[[#This Row],[Category]]="Cookies",Table33[[#This Row],[Account Deposit Amount]]-Table33[[#This Row],[Account Withdrawl Amount]], )</f>
        <v>0</v>
      </c>
      <c r="K206" s="243">
        <f>IF(Table33[[#This Row],[Category]]="Additional Money Earning Activities",Table33[[#This Row],[Account Deposit Amount]]-Table33[[#This Row],[Account Withdrawl Amount]], )</f>
        <v>0</v>
      </c>
      <c r="L206" s="243">
        <f>IF(Table33[[#This Row],[Category]]="Sponsorships",Table33[[#This Row],[Account Deposit Amount]]-Table33[[#This Row],[Account Withdrawl Amount]], )</f>
        <v>0</v>
      </c>
      <c r="M206" s="243">
        <f>IF(Table33[[#This Row],[Category]]="Troop Dues",Table33[[#This Row],[Account Deposit Amount]]-Table33[[#This Row],[Account Withdrawl Amount]], )</f>
        <v>0</v>
      </c>
      <c r="N206" s="243">
        <f>IF(Table33[[#This Row],[Category]]="Other Income",Table33[[#This Row],[Account Deposit Amount]]-Table33[[#This Row],[Account Withdrawl Amount]], )</f>
        <v>0</v>
      </c>
      <c r="O206" s="243">
        <f>IF(Table33[[#This Row],[Category]]="Registration",Table33[[#This Row],[Account Deposit Amount]]-Table33[[#This Row],[Account Withdrawl Amount]], )</f>
        <v>0</v>
      </c>
      <c r="P206" s="243">
        <f>IF(Table33[[#This Row],[Category]]="Insignia",Table33[[#This Row],[Account Deposit Amount]]-Table33[[#This Row],[Account Withdrawl Amount]], )</f>
        <v>0</v>
      </c>
      <c r="Q206" s="243">
        <f>IF(Table33[[#This Row],[Category]]="Activities/Program",Table33[[#This Row],[Account Deposit Amount]]-Table33[[#This Row],[Account Withdrawl Amount]], )</f>
        <v>0</v>
      </c>
      <c r="R206" s="243">
        <f>IF(Table33[[#This Row],[Category]]="Travel",Table33[[#This Row],[Account Deposit Amount]]-Table33[[#This Row],[Account Withdrawl Amount]], )</f>
        <v>0</v>
      </c>
      <c r="S206" s="243">
        <f>IF(Table33[[#This Row],[Category]]="Parties Food &amp; Beverages",Table33[[#This Row],[Account Deposit Amount]]-Table33[[#This Row],[Account Withdrawl Amount]], )</f>
        <v>0</v>
      </c>
      <c r="T206" s="243">
        <f>IF(Table33[[#This Row],[Category]]="Service Projects Donation",Table33[[#This Row],[Account Deposit Amount]]-Table33[[#This Row],[Account Withdrawl Amount]], )</f>
        <v>0</v>
      </c>
      <c r="U206" s="243">
        <f>IF(Table33[[#This Row],[Category]]="Cookie Debt",Table33[[#This Row],[Account Deposit Amount]]-Table33[[#This Row],[Account Withdrawl Amount]], )</f>
        <v>0</v>
      </c>
      <c r="V206" s="243">
        <f>IF(Table33[[#This Row],[Category]]="Other Expense",Table33[[#This Row],[Account Deposit Amount]]-Table33[[#This Row],[Account Withdrawl Amount]], )</f>
        <v>0</v>
      </c>
    </row>
    <row r="207" spans="1:22">
      <c r="A207" s="225"/>
      <c r="B207" s="241"/>
      <c r="C207" s="225"/>
      <c r="D207" s="225"/>
      <c r="E207" s="242"/>
      <c r="F207" s="242"/>
      <c r="G207" s="243">
        <f t="shared" si="6"/>
        <v>0</v>
      </c>
      <c r="H207" s="225"/>
      <c r="I207" s="243">
        <f>IF(Table33[[#This Row],[Category]]="Fall Product",Table33[[#This Row],[Account Deposit Amount]]-Table33[[#This Row],[Account Withdrawl Amount]], )</f>
        <v>0</v>
      </c>
      <c r="J207" s="243">
        <f>IF(Table33[[#This Row],[Category]]="Cookies",Table33[[#This Row],[Account Deposit Amount]]-Table33[[#This Row],[Account Withdrawl Amount]], )</f>
        <v>0</v>
      </c>
      <c r="K207" s="243">
        <f>IF(Table33[[#This Row],[Category]]="Additional Money Earning Activities",Table33[[#This Row],[Account Deposit Amount]]-Table33[[#This Row],[Account Withdrawl Amount]], )</f>
        <v>0</v>
      </c>
      <c r="L207" s="243">
        <f>IF(Table33[[#This Row],[Category]]="Sponsorships",Table33[[#This Row],[Account Deposit Amount]]-Table33[[#This Row],[Account Withdrawl Amount]], )</f>
        <v>0</v>
      </c>
      <c r="M207" s="243">
        <f>IF(Table33[[#This Row],[Category]]="Troop Dues",Table33[[#This Row],[Account Deposit Amount]]-Table33[[#This Row],[Account Withdrawl Amount]], )</f>
        <v>0</v>
      </c>
      <c r="N207" s="243">
        <f>IF(Table33[[#This Row],[Category]]="Other Income",Table33[[#This Row],[Account Deposit Amount]]-Table33[[#This Row],[Account Withdrawl Amount]], )</f>
        <v>0</v>
      </c>
      <c r="O207" s="243">
        <f>IF(Table33[[#This Row],[Category]]="Registration",Table33[[#This Row],[Account Deposit Amount]]-Table33[[#This Row],[Account Withdrawl Amount]], )</f>
        <v>0</v>
      </c>
      <c r="P207" s="243">
        <f>IF(Table33[[#This Row],[Category]]="Insignia",Table33[[#This Row],[Account Deposit Amount]]-Table33[[#This Row],[Account Withdrawl Amount]], )</f>
        <v>0</v>
      </c>
      <c r="Q207" s="243">
        <f>IF(Table33[[#This Row],[Category]]="Activities/Program",Table33[[#This Row],[Account Deposit Amount]]-Table33[[#This Row],[Account Withdrawl Amount]], )</f>
        <v>0</v>
      </c>
      <c r="R207" s="243">
        <f>IF(Table33[[#This Row],[Category]]="Travel",Table33[[#This Row],[Account Deposit Amount]]-Table33[[#This Row],[Account Withdrawl Amount]], )</f>
        <v>0</v>
      </c>
      <c r="S207" s="243">
        <f>IF(Table33[[#This Row],[Category]]="Parties Food &amp; Beverages",Table33[[#This Row],[Account Deposit Amount]]-Table33[[#This Row],[Account Withdrawl Amount]], )</f>
        <v>0</v>
      </c>
      <c r="T207" s="243">
        <f>IF(Table33[[#This Row],[Category]]="Service Projects Donation",Table33[[#This Row],[Account Deposit Amount]]-Table33[[#This Row],[Account Withdrawl Amount]], )</f>
        <v>0</v>
      </c>
      <c r="U207" s="243">
        <f>IF(Table33[[#This Row],[Category]]="Cookie Debt",Table33[[#This Row],[Account Deposit Amount]]-Table33[[#This Row],[Account Withdrawl Amount]], )</f>
        <v>0</v>
      </c>
      <c r="V207" s="243">
        <f>IF(Table33[[#This Row],[Category]]="Other Expense",Table33[[#This Row],[Account Deposit Amount]]-Table33[[#This Row],[Account Withdrawl Amount]], )</f>
        <v>0</v>
      </c>
    </row>
    <row r="208" spans="1:22">
      <c r="A208" s="225"/>
      <c r="B208" s="241"/>
      <c r="C208" s="225"/>
      <c r="D208" s="225"/>
      <c r="E208" s="242"/>
      <c r="F208" s="242"/>
      <c r="G208" s="243">
        <f t="shared" si="6"/>
        <v>0</v>
      </c>
      <c r="H208" s="225"/>
      <c r="I208" s="243">
        <f>IF(Table33[[#This Row],[Category]]="Fall Product",Table33[[#This Row],[Account Deposit Amount]]-Table33[[#This Row],[Account Withdrawl Amount]], )</f>
        <v>0</v>
      </c>
      <c r="J208" s="243">
        <f>IF(Table33[[#This Row],[Category]]="Cookies",Table33[[#This Row],[Account Deposit Amount]]-Table33[[#This Row],[Account Withdrawl Amount]], )</f>
        <v>0</v>
      </c>
      <c r="K208" s="243">
        <f>IF(Table33[[#This Row],[Category]]="Additional Money Earning Activities",Table33[[#This Row],[Account Deposit Amount]]-Table33[[#This Row],[Account Withdrawl Amount]], )</f>
        <v>0</v>
      </c>
      <c r="L208" s="243">
        <f>IF(Table33[[#This Row],[Category]]="Sponsorships",Table33[[#This Row],[Account Deposit Amount]]-Table33[[#This Row],[Account Withdrawl Amount]], )</f>
        <v>0</v>
      </c>
      <c r="M208" s="243">
        <f>IF(Table33[[#This Row],[Category]]="Troop Dues",Table33[[#This Row],[Account Deposit Amount]]-Table33[[#This Row],[Account Withdrawl Amount]], )</f>
        <v>0</v>
      </c>
      <c r="N208" s="243">
        <f>IF(Table33[[#This Row],[Category]]="Other Income",Table33[[#This Row],[Account Deposit Amount]]-Table33[[#This Row],[Account Withdrawl Amount]], )</f>
        <v>0</v>
      </c>
      <c r="O208" s="243">
        <f>IF(Table33[[#This Row],[Category]]="Registration",Table33[[#This Row],[Account Deposit Amount]]-Table33[[#This Row],[Account Withdrawl Amount]], )</f>
        <v>0</v>
      </c>
      <c r="P208" s="243">
        <f>IF(Table33[[#This Row],[Category]]="Insignia",Table33[[#This Row],[Account Deposit Amount]]-Table33[[#This Row],[Account Withdrawl Amount]], )</f>
        <v>0</v>
      </c>
      <c r="Q208" s="243">
        <f>IF(Table33[[#This Row],[Category]]="Activities/Program",Table33[[#This Row],[Account Deposit Amount]]-Table33[[#This Row],[Account Withdrawl Amount]], )</f>
        <v>0</v>
      </c>
      <c r="R208" s="243">
        <f>IF(Table33[[#This Row],[Category]]="Travel",Table33[[#This Row],[Account Deposit Amount]]-Table33[[#This Row],[Account Withdrawl Amount]], )</f>
        <v>0</v>
      </c>
      <c r="S208" s="243">
        <f>IF(Table33[[#This Row],[Category]]="Parties Food &amp; Beverages",Table33[[#This Row],[Account Deposit Amount]]-Table33[[#This Row],[Account Withdrawl Amount]], )</f>
        <v>0</v>
      </c>
      <c r="T208" s="243">
        <f>IF(Table33[[#This Row],[Category]]="Service Projects Donation",Table33[[#This Row],[Account Deposit Amount]]-Table33[[#This Row],[Account Withdrawl Amount]], )</f>
        <v>0</v>
      </c>
      <c r="U208" s="243">
        <f>IF(Table33[[#This Row],[Category]]="Cookie Debt",Table33[[#This Row],[Account Deposit Amount]]-Table33[[#This Row],[Account Withdrawl Amount]], )</f>
        <v>0</v>
      </c>
      <c r="V208" s="243">
        <f>IF(Table33[[#This Row],[Category]]="Other Expense",Table33[[#This Row],[Account Deposit Amount]]-Table33[[#This Row],[Account Withdrawl Amount]], )</f>
        <v>0</v>
      </c>
    </row>
    <row r="209" spans="1:22">
      <c r="A209" s="225"/>
      <c r="B209" s="241"/>
      <c r="C209" s="225"/>
      <c r="D209" s="225"/>
      <c r="E209" s="242"/>
      <c r="F209" s="242"/>
      <c r="G209" s="243">
        <f t="shared" si="6"/>
        <v>0</v>
      </c>
      <c r="H209" s="225"/>
      <c r="I209" s="243">
        <f>IF(Table33[[#This Row],[Category]]="Fall Product",Table33[[#This Row],[Account Deposit Amount]]-Table33[[#This Row],[Account Withdrawl Amount]], )</f>
        <v>0</v>
      </c>
      <c r="J209" s="243">
        <f>IF(Table33[[#This Row],[Category]]="Cookies",Table33[[#This Row],[Account Deposit Amount]]-Table33[[#This Row],[Account Withdrawl Amount]], )</f>
        <v>0</v>
      </c>
      <c r="K209" s="243">
        <f>IF(Table33[[#This Row],[Category]]="Additional Money Earning Activities",Table33[[#This Row],[Account Deposit Amount]]-Table33[[#This Row],[Account Withdrawl Amount]], )</f>
        <v>0</v>
      </c>
      <c r="L209" s="243">
        <f>IF(Table33[[#This Row],[Category]]="Sponsorships",Table33[[#This Row],[Account Deposit Amount]]-Table33[[#This Row],[Account Withdrawl Amount]], )</f>
        <v>0</v>
      </c>
      <c r="M209" s="243">
        <f>IF(Table33[[#This Row],[Category]]="Troop Dues",Table33[[#This Row],[Account Deposit Amount]]-Table33[[#This Row],[Account Withdrawl Amount]], )</f>
        <v>0</v>
      </c>
      <c r="N209" s="243">
        <f>IF(Table33[[#This Row],[Category]]="Other Income",Table33[[#This Row],[Account Deposit Amount]]-Table33[[#This Row],[Account Withdrawl Amount]], )</f>
        <v>0</v>
      </c>
      <c r="O209" s="243">
        <f>IF(Table33[[#This Row],[Category]]="Registration",Table33[[#This Row],[Account Deposit Amount]]-Table33[[#This Row],[Account Withdrawl Amount]], )</f>
        <v>0</v>
      </c>
      <c r="P209" s="243">
        <f>IF(Table33[[#This Row],[Category]]="Insignia",Table33[[#This Row],[Account Deposit Amount]]-Table33[[#This Row],[Account Withdrawl Amount]], )</f>
        <v>0</v>
      </c>
      <c r="Q209" s="243">
        <f>IF(Table33[[#This Row],[Category]]="Activities/Program",Table33[[#This Row],[Account Deposit Amount]]-Table33[[#This Row],[Account Withdrawl Amount]], )</f>
        <v>0</v>
      </c>
      <c r="R209" s="243">
        <f>IF(Table33[[#This Row],[Category]]="Travel",Table33[[#This Row],[Account Deposit Amount]]-Table33[[#This Row],[Account Withdrawl Amount]], )</f>
        <v>0</v>
      </c>
      <c r="S209" s="243">
        <f>IF(Table33[[#This Row],[Category]]="Parties Food &amp; Beverages",Table33[[#This Row],[Account Deposit Amount]]-Table33[[#This Row],[Account Withdrawl Amount]], )</f>
        <v>0</v>
      </c>
      <c r="T209" s="243">
        <f>IF(Table33[[#This Row],[Category]]="Service Projects Donation",Table33[[#This Row],[Account Deposit Amount]]-Table33[[#This Row],[Account Withdrawl Amount]], )</f>
        <v>0</v>
      </c>
      <c r="U209" s="243">
        <f>IF(Table33[[#This Row],[Category]]="Cookie Debt",Table33[[#This Row],[Account Deposit Amount]]-Table33[[#This Row],[Account Withdrawl Amount]], )</f>
        <v>0</v>
      </c>
      <c r="V209" s="243">
        <f>IF(Table33[[#This Row],[Category]]="Other Expense",Table33[[#This Row],[Account Deposit Amount]]-Table33[[#This Row],[Account Withdrawl Amount]], )</f>
        <v>0</v>
      </c>
    </row>
    <row r="210" spans="1:22">
      <c r="A210" s="225"/>
      <c r="B210" s="241"/>
      <c r="C210" s="225"/>
      <c r="D210" s="225"/>
      <c r="E210" s="242"/>
      <c r="F210" s="242"/>
      <c r="G210" s="243">
        <f t="shared" si="6"/>
        <v>0</v>
      </c>
      <c r="H210" s="225"/>
      <c r="I210" s="243">
        <f>IF(Table33[[#This Row],[Category]]="Fall Product",Table33[[#This Row],[Account Deposit Amount]]-Table33[[#This Row],[Account Withdrawl Amount]], )</f>
        <v>0</v>
      </c>
      <c r="J210" s="243">
        <f>IF(Table33[[#This Row],[Category]]="Cookies",Table33[[#This Row],[Account Deposit Amount]]-Table33[[#This Row],[Account Withdrawl Amount]], )</f>
        <v>0</v>
      </c>
      <c r="K210" s="243">
        <f>IF(Table33[[#This Row],[Category]]="Additional Money Earning Activities",Table33[[#This Row],[Account Deposit Amount]]-Table33[[#This Row],[Account Withdrawl Amount]], )</f>
        <v>0</v>
      </c>
      <c r="L210" s="243">
        <f>IF(Table33[[#This Row],[Category]]="Sponsorships",Table33[[#This Row],[Account Deposit Amount]]-Table33[[#This Row],[Account Withdrawl Amount]], )</f>
        <v>0</v>
      </c>
      <c r="M210" s="243">
        <f>IF(Table33[[#This Row],[Category]]="Troop Dues",Table33[[#This Row],[Account Deposit Amount]]-Table33[[#This Row],[Account Withdrawl Amount]], )</f>
        <v>0</v>
      </c>
      <c r="N210" s="243">
        <f>IF(Table33[[#This Row],[Category]]="Other Income",Table33[[#This Row],[Account Deposit Amount]]-Table33[[#This Row],[Account Withdrawl Amount]], )</f>
        <v>0</v>
      </c>
      <c r="O210" s="243">
        <f>IF(Table33[[#This Row],[Category]]="Registration",Table33[[#This Row],[Account Deposit Amount]]-Table33[[#This Row],[Account Withdrawl Amount]], )</f>
        <v>0</v>
      </c>
      <c r="P210" s="243">
        <f>IF(Table33[[#This Row],[Category]]="Insignia",Table33[[#This Row],[Account Deposit Amount]]-Table33[[#This Row],[Account Withdrawl Amount]], )</f>
        <v>0</v>
      </c>
      <c r="Q210" s="243">
        <f>IF(Table33[[#This Row],[Category]]="Activities/Program",Table33[[#This Row],[Account Deposit Amount]]-Table33[[#This Row],[Account Withdrawl Amount]], )</f>
        <v>0</v>
      </c>
      <c r="R210" s="243">
        <f>IF(Table33[[#This Row],[Category]]="Travel",Table33[[#This Row],[Account Deposit Amount]]-Table33[[#This Row],[Account Withdrawl Amount]], )</f>
        <v>0</v>
      </c>
      <c r="S210" s="243">
        <f>IF(Table33[[#This Row],[Category]]="Parties Food &amp; Beverages",Table33[[#This Row],[Account Deposit Amount]]-Table33[[#This Row],[Account Withdrawl Amount]], )</f>
        <v>0</v>
      </c>
      <c r="T210" s="243">
        <f>IF(Table33[[#This Row],[Category]]="Service Projects Donation",Table33[[#This Row],[Account Deposit Amount]]-Table33[[#This Row],[Account Withdrawl Amount]], )</f>
        <v>0</v>
      </c>
      <c r="U210" s="243">
        <f>IF(Table33[[#This Row],[Category]]="Cookie Debt",Table33[[#This Row],[Account Deposit Amount]]-Table33[[#This Row],[Account Withdrawl Amount]], )</f>
        <v>0</v>
      </c>
      <c r="V210" s="243">
        <f>IF(Table33[[#This Row],[Category]]="Other Expense",Table33[[#This Row],[Account Deposit Amount]]-Table33[[#This Row],[Account Withdrawl Amount]], )</f>
        <v>0</v>
      </c>
    </row>
    <row r="211" spans="1:22">
      <c r="A211" s="225"/>
      <c r="B211" s="241"/>
      <c r="C211" s="225"/>
      <c r="D211" s="225"/>
      <c r="E211" s="242"/>
      <c r="F211" s="242"/>
      <c r="G211" s="243">
        <f t="shared" si="6"/>
        <v>0</v>
      </c>
      <c r="H211" s="225"/>
      <c r="I211" s="243">
        <f>IF(Table33[[#This Row],[Category]]="Fall Product",Table33[[#This Row],[Account Deposit Amount]]-Table33[[#This Row],[Account Withdrawl Amount]], )</f>
        <v>0</v>
      </c>
      <c r="J211" s="243">
        <f>IF(Table33[[#This Row],[Category]]="Cookies",Table33[[#This Row],[Account Deposit Amount]]-Table33[[#This Row],[Account Withdrawl Amount]], )</f>
        <v>0</v>
      </c>
      <c r="K211" s="243">
        <f>IF(Table33[[#This Row],[Category]]="Additional Money Earning Activities",Table33[[#This Row],[Account Deposit Amount]]-Table33[[#This Row],[Account Withdrawl Amount]], )</f>
        <v>0</v>
      </c>
      <c r="L211" s="243">
        <f>IF(Table33[[#This Row],[Category]]="Sponsorships",Table33[[#This Row],[Account Deposit Amount]]-Table33[[#This Row],[Account Withdrawl Amount]], )</f>
        <v>0</v>
      </c>
      <c r="M211" s="243">
        <f>IF(Table33[[#This Row],[Category]]="Troop Dues",Table33[[#This Row],[Account Deposit Amount]]-Table33[[#This Row],[Account Withdrawl Amount]], )</f>
        <v>0</v>
      </c>
      <c r="N211" s="243">
        <f>IF(Table33[[#This Row],[Category]]="Other Income",Table33[[#This Row],[Account Deposit Amount]]-Table33[[#This Row],[Account Withdrawl Amount]], )</f>
        <v>0</v>
      </c>
      <c r="O211" s="243">
        <f>IF(Table33[[#This Row],[Category]]="Registration",Table33[[#This Row],[Account Deposit Amount]]-Table33[[#This Row],[Account Withdrawl Amount]], )</f>
        <v>0</v>
      </c>
      <c r="P211" s="243">
        <f>IF(Table33[[#This Row],[Category]]="Insignia",Table33[[#This Row],[Account Deposit Amount]]-Table33[[#This Row],[Account Withdrawl Amount]], )</f>
        <v>0</v>
      </c>
      <c r="Q211" s="243">
        <f>IF(Table33[[#This Row],[Category]]="Activities/Program",Table33[[#This Row],[Account Deposit Amount]]-Table33[[#This Row],[Account Withdrawl Amount]], )</f>
        <v>0</v>
      </c>
      <c r="R211" s="243">
        <f>IF(Table33[[#This Row],[Category]]="Travel",Table33[[#This Row],[Account Deposit Amount]]-Table33[[#This Row],[Account Withdrawl Amount]], )</f>
        <v>0</v>
      </c>
      <c r="S211" s="243">
        <f>IF(Table33[[#This Row],[Category]]="Parties Food &amp; Beverages",Table33[[#This Row],[Account Deposit Amount]]-Table33[[#This Row],[Account Withdrawl Amount]], )</f>
        <v>0</v>
      </c>
      <c r="T211" s="243">
        <f>IF(Table33[[#This Row],[Category]]="Service Projects Donation",Table33[[#This Row],[Account Deposit Amount]]-Table33[[#This Row],[Account Withdrawl Amount]], )</f>
        <v>0</v>
      </c>
      <c r="U211" s="243">
        <f>IF(Table33[[#This Row],[Category]]="Cookie Debt",Table33[[#This Row],[Account Deposit Amount]]-Table33[[#This Row],[Account Withdrawl Amount]], )</f>
        <v>0</v>
      </c>
      <c r="V211" s="243">
        <f>IF(Table33[[#This Row],[Category]]="Other Expense",Table33[[#This Row],[Account Deposit Amount]]-Table33[[#This Row],[Account Withdrawl Amount]], )</f>
        <v>0</v>
      </c>
    </row>
    <row r="212" spans="1:22">
      <c r="A212" s="225"/>
      <c r="B212" s="241"/>
      <c r="C212" s="225"/>
      <c r="D212" s="225"/>
      <c r="E212" s="242"/>
      <c r="F212" s="242"/>
      <c r="G212" s="243">
        <f t="shared" si="6"/>
        <v>0</v>
      </c>
      <c r="H212" s="225"/>
      <c r="I212" s="243">
        <f>IF(Table33[[#This Row],[Category]]="Fall Product",Table33[[#This Row],[Account Deposit Amount]]-Table33[[#This Row],[Account Withdrawl Amount]], )</f>
        <v>0</v>
      </c>
      <c r="J212" s="243">
        <f>IF(Table33[[#This Row],[Category]]="Cookies",Table33[[#This Row],[Account Deposit Amount]]-Table33[[#This Row],[Account Withdrawl Amount]], )</f>
        <v>0</v>
      </c>
      <c r="K212" s="243">
        <f>IF(Table33[[#This Row],[Category]]="Additional Money Earning Activities",Table33[[#This Row],[Account Deposit Amount]]-Table33[[#This Row],[Account Withdrawl Amount]], )</f>
        <v>0</v>
      </c>
      <c r="L212" s="243">
        <f>IF(Table33[[#This Row],[Category]]="Sponsorships",Table33[[#This Row],[Account Deposit Amount]]-Table33[[#This Row],[Account Withdrawl Amount]], )</f>
        <v>0</v>
      </c>
      <c r="M212" s="243">
        <f>IF(Table33[[#This Row],[Category]]="Troop Dues",Table33[[#This Row],[Account Deposit Amount]]-Table33[[#This Row],[Account Withdrawl Amount]], )</f>
        <v>0</v>
      </c>
      <c r="N212" s="243">
        <f>IF(Table33[[#This Row],[Category]]="Other Income",Table33[[#This Row],[Account Deposit Amount]]-Table33[[#This Row],[Account Withdrawl Amount]], )</f>
        <v>0</v>
      </c>
      <c r="O212" s="243">
        <f>IF(Table33[[#This Row],[Category]]="Registration",Table33[[#This Row],[Account Deposit Amount]]-Table33[[#This Row],[Account Withdrawl Amount]], )</f>
        <v>0</v>
      </c>
      <c r="P212" s="243">
        <f>IF(Table33[[#This Row],[Category]]="Insignia",Table33[[#This Row],[Account Deposit Amount]]-Table33[[#This Row],[Account Withdrawl Amount]], )</f>
        <v>0</v>
      </c>
      <c r="Q212" s="243">
        <f>IF(Table33[[#This Row],[Category]]="Activities/Program",Table33[[#This Row],[Account Deposit Amount]]-Table33[[#This Row],[Account Withdrawl Amount]], )</f>
        <v>0</v>
      </c>
      <c r="R212" s="243">
        <f>IF(Table33[[#This Row],[Category]]="Travel",Table33[[#This Row],[Account Deposit Amount]]-Table33[[#This Row],[Account Withdrawl Amount]], )</f>
        <v>0</v>
      </c>
      <c r="S212" s="243">
        <f>IF(Table33[[#This Row],[Category]]="Parties Food &amp; Beverages",Table33[[#This Row],[Account Deposit Amount]]-Table33[[#This Row],[Account Withdrawl Amount]], )</f>
        <v>0</v>
      </c>
      <c r="T212" s="243">
        <f>IF(Table33[[#This Row],[Category]]="Service Projects Donation",Table33[[#This Row],[Account Deposit Amount]]-Table33[[#This Row],[Account Withdrawl Amount]], )</f>
        <v>0</v>
      </c>
      <c r="U212" s="243">
        <f>IF(Table33[[#This Row],[Category]]="Cookie Debt",Table33[[#This Row],[Account Deposit Amount]]-Table33[[#This Row],[Account Withdrawl Amount]], )</f>
        <v>0</v>
      </c>
      <c r="V212" s="243">
        <f>IF(Table33[[#This Row],[Category]]="Other Expense",Table33[[#This Row],[Account Deposit Amount]]-Table33[[#This Row],[Account Withdrawl Amount]], )</f>
        <v>0</v>
      </c>
    </row>
    <row r="213" spans="1:22">
      <c r="A213" s="225"/>
      <c r="B213" s="241"/>
      <c r="C213" s="225"/>
      <c r="D213" s="225"/>
      <c r="E213" s="242"/>
      <c r="F213" s="242"/>
      <c r="G213" s="243">
        <f t="shared" si="6"/>
        <v>0</v>
      </c>
      <c r="H213" s="225"/>
      <c r="I213" s="243">
        <f>IF(Table33[[#This Row],[Category]]="Fall Product",Table33[[#This Row],[Account Deposit Amount]]-Table33[[#This Row],[Account Withdrawl Amount]], )</f>
        <v>0</v>
      </c>
      <c r="J213" s="243">
        <f>IF(Table33[[#This Row],[Category]]="Cookies",Table33[[#This Row],[Account Deposit Amount]]-Table33[[#This Row],[Account Withdrawl Amount]], )</f>
        <v>0</v>
      </c>
      <c r="K213" s="243">
        <f>IF(Table33[[#This Row],[Category]]="Additional Money Earning Activities",Table33[[#This Row],[Account Deposit Amount]]-Table33[[#This Row],[Account Withdrawl Amount]], )</f>
        <v>0</v>
      </c>
      <c r="L213" s="243">
        <f>IF(Table33[[#This Row],[Category]]="Sponsorships",Table33[[#This Row],[Account Deposit Amount]]-Table33[[#This Row],[Account Withdrawl Amount]], )</f>
        <v>0</v>
      </c>
      <c r="M213" s="243">
        <f>IF(Table33[[#This Row],[Category]]="Troop Dues",Table33[[#This Row],[Account Deposit Amount]]-Table33[[#This Row],[Account Withdrawl Amount]], )</f>
        <v>0</v>
      </c>
      <c r="N213" s="243">
        <f>IF(Table33[[#This Row],[Category]]="Other Income",Table33[[#This Row],[Account Deposit Amount]]-Table33[[#This Row],[Account Withdrawl Amount]], )</f>
        <v>0</v>
      </c>
      <c r="O213" s="243">
        <f>IF(Table33[[#This Row],[Category]]="Registration",Table33[[#This Row],[Account Deposit Amount]]-Table33[[#This Row],[Account Withdrawl Amount]], )</f>
        <v>0</v>
      </c>
      <c r="P213" s="243">
        <f>IF(Table33[[#This Row],[Category]]="Insignia",Table33[[#This Row],[Account Deposit Amount]]-Table33[[#This Row],[Account Withdrawl Amount]], )</f>
        <v>0</v>
      </c>
      <c r="Q213" s="243">
        <f>IF(Table33[[#This Row],[Category]]="Activities/Program",Table33[[#This Row],[Account Deposit Amount]]-Table33[[#This Row],[Account Withdrawl Amount]], )</f>
        <v>0</v>
      </c>
      <c r="R213" s="243">
        <f>IF(Table33[[#This Row],[Category]]="Travel",Table33[[#This Row],[Account Deposit Amount]]-Table33[[#This Row],[Account Withdrawl Amount]], )</f>
        <v>0</v>
      </c>
      <c r="S213" s="243">
        <f>IF(Table33[[#This Row],[Category]]="Parties Food &amp; Beverages",Table33[[#This Row],[Account Deposit Amount]]-Table33[[#This Row],[Account Withdrawl Amount]], )</f>
        <v>0</v>
      </c>
      <c r="T213" s="243">
        <f>IF(Table33[[#This Row],[Category]]="Service Projects Donation",Table33[[#This Row],[Account Deposit Amount]]-Table33[[#This Row],[Account Withdrawl Amount]], )</f>
        <v>0</v>
      </c>
      <c r="U213" s="243">
        <f>IF(Table33[[#This Row],[Category]]="Cookie Debt",Table33[[#This Row],[Account Deposit Amount]]-Table33[[#This Row],[Account Withdrawl Amount]], )</f>
        <v>0</v>
      </c>
      <c r="V213" s="243">
        <f>IF(Table33[[#This Row],[Category]]="Other Expense",Table33[[#This Row],[Account Deposit Amount]]-Table33[[#This Row],[Account Withdrawl Amount]], )</f>
        <v>0</v>
      </c>
    </row>
    <row r="214" spans="1:22">
      <c r="A214" s="225"/>
      <c r="B214" s="241"/>
      <c r="C214" s="225"/>
      <c r="D214" s="225"/>
      <c r="E214" s="242"/>
      <c r="F214" s="242"/>
      <c r="G214" s="243">
        <f t="shared" si="6"/>
        <v>0</v>
      </c>
      <c r="H214" s="225"/>
      <c r="I214" s="243">
        <f>IF(Table33[[#This Row],[Category]]="Fall Product",Table33[[#This Row],[Account Deposit Amount]]-Table33[[#This Row],[Account Withdrawl Amount]], )</f>
        <v>0</v>
      </c>
      <c r="J214" s="243">
        <f>IF(Table33[[#This Row],[Category]]="Cookies",Table33[[#This Row],[Account Deposit Amount]]-Table33[[#This Row],[Account Withdrawl Amount]], )</f>
        <v>0</v>
      </c>
      <c r="K214" s="243">
        <f>IF(Table33[[#This Row],[Category]]="Additional Money Earning Activities",Table33[[#This Row],[Account Deposit Amount]]-Table33[[#This Row],[Account Withdrawl Amount]], )</f>
        <v>0</v>
      </c>
      <c r="L214" s="243">
        <f>IF(Table33[[#This Row],[Category]]="Sponsorships",Table33[[#This Row],[Account Deposit Amount]]-Table33[[#This Row],[Account Withdrawl Amount]], )</f>
        <v>0</v>
      </c>
      <c r="M214" s="243">
        <f>IF(Table33[[#This Row],[Category]]="Troop Dues",Table33[[#This Row],[Account Deposit Amount]]-Table33[[#This Row],[Account Withdrawl Amount]], )</f>
        <v>0</v>
      </c>
      <c r="N214" s="243">
        <f>IF(Table33[[#This Row],[Category]]="Other Income",Table33[[#This Row],[Account Deposit Amount]]-Table33[[#This Row],[Account Withdrawl Amount]], )</f>
        <v>0</v>
      </c>
      <c r="O214" s="243">
        <f>IF(Table33[[#This Row],[Category]]="Registration",Table33[[#This Row],[Account Deposit Amount]]-Table33[[#This Row],[Account Withdrawl Amount]], )</f>
        <v>0</v>
      </c>
      <c r="P214" s="243">
        <f>IF(Table33[[#This Row],[Category]]="Insignia",Table33[[#This Row],[Account Deposit Amount]]-Table33[[#This Row],[Account Withdrawl Amount]], )</f>
        <v>0</v>
      </c>
      <c r="Q214" s="243">
        <f>IF(Table33[[#This Row],[Category]]="Activities/Program",Table33[[#This Row],[Account Deposit Amount]]-Table33[[#This Row],[Account Withdrawl Amount]], )</f>
        <v>0</v>
      </c>
      <c r="R214" s="243">
        <f>IF(Table33[[#This Row],[Category]]="Travel",Table33[[#This Row],[Account Deposit Amount]]-Table33[[#This Row],[Account Withdrawl Amount]], )</f>
        <v>0</v>
      </c>
      <c r="S214" s="243">
        <f>IF(Table33[[#This Row],[Category]]="Parties Food &amp; Beverages",Table33[[#This Row],[Account Deposit Amount]]-Table33[[#This Row],[Account Withdrawl Amount]], )</f>
        <v>0</v>
      </c>
      <c r="T214" s="243">
        <f>IF(Table33[[#This Row],[Category]]="Service Projects Donation",Table33[[#This Row],[Account Deposit Amount]]-Table33[[#This Row],[Account Withdrawl Amount]], )</f>
        <v>0</v>
      </c>
      <c r="U214" s="243">
        <f>IF(Table33[[#This Row],[Category]]="Cookie Debt",Table33[[#This Row],[Account Deposit Amount]]-Table33[[#This Row],[Account Withdrawl Amount]], )</f>
        <v>0</v>
      </c>
      <c r="V214" s="243">
        <f>IF(Table33[[#This Row],[Category]]="Other Expense",Table33[[#This Row],[Account Deposit Amount]]-Table33[[#This Row],[Account Withdrawl Amount]], )</f>
        <v>0</v>
      </c>
    </row>
    <row r="215" spans="1:22">
      <c r="A215" s="225"/>
      <c r="B215" s="241"/>
      <c r="C215" s="225"/>
      <c r="D215" s="225"/>
      <c r="E215" s="242"/>
      <c r="F215" s="242"/>
      <c r="G215" s="243">
        <f t="shared" si="6"/>
        <v>0</v>
      </c>
      <c r="H215" s="225"/>
      <c r="I215" s="243">
        <f>IF(Table33[[#This Row],[Category]]="Fall Product",Table33[[#This Row],[Account Deposit Amount]]-Table33[[#This Row],[Account Withdrawl Amount]], )</f>
        <v>0</v>
      </c>
      <c r="J215" s="243">
        <f>IF(Table33[[#This Row],[Category]]="Cookies",Table33[[#This Row],[Account Deposit Amount]]-Table33[[#This Row],[Account Withdrawl Amount]], )</f>
        <v>0</v>
      </c>
      <c r="K215" s="243">
        <f>IF(Table33[[#This Row],[Category]]="Additional Money Earning Activities",Table33[[#This Row],[Account Deposit Amount]]-Table33[[#This Row],[Account Withdrawl Amount]], )</f>
        <v>0</v>
      </c>
      <c r="L215" s="243">
        <f>IF(Table33[[#This Row],[Category]]="Sponsorships",Table33[[#This Row],[Account Deposit Amount]]-Table33[[#This Row],[Account Withdrawl Amount]], )</f>
        <v>0</v>
      </c>
      <c r="M215" s="243">
        <f>IF(Table33[[#This Row],[Category]]="Troop Dues",Table33[[#This Row],[Account Deposit Amount]]-Table33[[#This Row],[Account Withdrawl Amount]], )</f>
        <v>0</v>
      </c>
      <c r="N215" s="243">
        <f>IF(Table33[[#This Row],[Category]]="Other Income",Table33[[#This Row],[Account Deposit Amount]]-Table33[[#This Row],[Account Withdrawl Amount]], )</f>
        <v>0</v>
      </c>
      <c r="O215" s="243">
        <f>IF(Table33[[#This Row],[Category]]="Registration",Table33[[#This Row],[Account Deposit Amount]]-Table33[[#This Row],[Account Withdrawl Amount]], )</f>
        <v>0</v>
      </c>
      <c r="P215" s="243">
        <f>IF(Table33[[#This Row],[Category]]="Insignia",Table33[[#This Row],[Account Deposit Amount]]-Table33[[#This Row],[Account Withdrawl Amount]], )</f>
        <v>0</v>
      </c>
      <c r="Q215" s="243">
        <f>IF(Table33[[#This Row],[Category]]="Activities/Program",Table33[[#This Row],[Account Deposit Amount]]-Table33[[#This Row],[Account Withdrawl Amount]], )</f>
        <v>0</v>
      </c>
      <c r="R215" s="243">
        <f>IF(Table33[[#This Row],[Category]]="Travel",Table33[[#This Row],[Account Deposit Amount]]-Table33[[#This Row],[Account Withdrawl Amount]], )</f>
        <v>0</v>
      </c>
      <c r="S215" s="243">
        <f>IF(Table33[[#This Row],[Category]]="Parties Food &amp; Beverages",Table33[[#This Row],[Account Deposit Amount]]-Table33[[#This Row],[Account Withdrawl Amount]], )</f>
        <v>0</v>
      </c>
      <c r="T215" s="243">
        <f>IF(Table33[[#This Row],[Category]]="Service Projects Donation",Table33[[#This Row],[Account Deposit Amount]]-Table33[[#This Row],[Account Withdrawl Amount]], )</f>
        <v>0</v>
      </c>
      <c r="U215" s="243">
        <f>IF(Table33[[#This Row],[Category]]="Cookie Debt",Table33[[#This Row],[Account Deposit Amount]]-Table33[[#This Row],[Account Withdrawl Amount]], )</f>
        <v>0</v>
      </c>
      <c r="V215" s="243">
        <f>IF(Table33[[#This Row],[Category]]="Other Expense",Table33[[#This Row],[Account Deposit Amount]]-Table33[[#This Row],[Account Withdrawl Amount]], )</f>
        <v>0</v>
      </c>
    </row>
    <row r="216" spans="1:22">
      <c r="A216" s="225"/>
      <c r="B216" s="241"/>
      <c r="C216" s="225"/>
      <c r="D216" s="225"/>
      <c r="E216" s="242"/>
      <c r="F216" s="242"/>
      <c r="G216" s="243">
        <f t="shared" si="6"/>
        <v>0</v>
      </c>
      <c r="H216" s="225"/>
      <c r="I216" s="243">
        <f>IF(Table33[[#This Row],[Category]]="Fall Product",Table33[[#This Row],[Account Deposit Amount]]-Table33[[#This Row],[Account Withdrawl Amount]], )</f>
        <v>0</v>
      </c>
      <c r="J216" s="243">
        <f>IF(Table33[[#This Row],[Category]]="Cookies",Table33[[#This Row],[Account Deposit Amount]]-Table33[[#This Row],[Account Withdrawl Amount]], )</f>
        <v>0</v>
      </c>
      <c r="K216" s="243">
        <f>IF(Table33[[#This Row],[Category]]="Additional Money Earning Activities",Table33[[#This Row],[Account Deposit Amount]]-Table33[[#This Row],[Account Withdrawl Amount]], )</f>
        <v>0</v>
      </c>
      <c r="L216" s="243">
        <f>IF(Table33[[#This Row],[Category]]="Sponsorships",Table33[[#This Row],[Account Deposit Amount]]-Table33[[#This Row],[Account Withdrawl Amount]], )</f>
        <v>0</v>
      </c>
      <c r="M216" s="243">
        <f>IF(Table33[[#This Row],[Category]]="Troop Dues",Table33[[#This Row],[Account Deposit Amount]]-Table33[[#This Row],[Account Withdrawl Amount]], )</f>
        <v>0</v>
      </c>
      <c r="N216" s="243">
        <f>IF(Table33[[#This Row],[Category]]="Other Income",Table33[[#This Row],[Account Deposit Amount]]-Table33[[#This Row],[Account Withdrawl Amount]], )</f>
        <v>0</v>
      </c>
      <c r="O216" s="243">
        <f>IF(Table33[[#This Row],[Category]]="Registration",Table33[[#This Row],[Account Deposit Amount]]-Table33[[#This Row],[Account Withdrawl Amount]], )</f>
        <v>0</v>
      </c>
      <c r="P216" s="243">
        <f>IF(Table33[[#This Row],[Category]]="Insignia",Table33[[#This Row],[Account Deposit Amount]]-Table33[[#This Row],[Account Withdrawl Amount]], )</f>
        <v>0</v>
      </c>
      <c r="Q216" s="243">
        <f>IF(Table33[[#This Row],[Category]]="Activities/Program",Table33[[#This Row],[Account Deposit Amount]]-Table33[[#This Row],[Account Withdrawl Amount]], )</f>
        <v>0</v>
      </c>
      <c r="R216" s="243">
        <f>IF(Table33[[#This Row],[Category]]="Travel",Table33[[#This Row],[Account Deposit Amount]]-Table33[[#This Row],[Account Withdrawl Amount]], )</f>
        <v>0</v>
      </c>
      <c r="S216" s="243">
        <f>IF(Table33[[#This Row],[Category]]="Parties Food &amp; Beverages",Table33[[#This Row],[Account Deposit Amount]]-Table33[[#This Row],[Account Withdrawl Amount]], )</f>
        <v>0</v>
      </c>
      <c r="T216" s="243">
        <f>IF(Table33[[#This Row],[Category]]="Service Projects Donation",Table33[[#This Row],[Account Deposit Amount]]-Table33[[#This Row],[Account Withdrawl Amount]], )</f>
        <v>0</v>
      </c>
      <c r="U216" s="243">
        <f>IF(Table33[[#This Row],[Category]]="Cookie Debt",Table33[[#This Row],[Account Deposit Amount]]-Table33[[#This Row],[Account Withdrawl Amount]], )</f>
        <v>0</v>
      </c>
      <c r="V216" s="243">
        <f>IF(Table33[[#This Row],[Category]]="Other Expense",Table33[[#This Row],[Account Deposit Amount]]-Table33[[#This Row],[Account Withdrawl Amount]], )</f>
        <v>0</v>
      </c>
    </row>
    <row r="217" spans="1:22">
      <c r="A217" s="225"/>
      <c r="B217" s="241"/>
      <c r="C217" s="225"/>
      <c r="D217" s="225"/>
      <c r="E217" s="242"/>
      <c r="F217" s="242"/>
      <c r="G217" s="243">
        <f t="shared" si="6"/>
        <v>0</v>
      </c>
      <c r="H217" s="225"/>
      <c r="I217" s="243">
        <f>IF(Table33[[#This Row],[Category]]="Fall Product",Table33[[#This Row],[Account Deposit Amount]]-Table33[[#This Row],[Account Withdrawl Amount]], )</f>
        <v>0</v>
      </c>
      <c r="J217" s="243">
        <f>IF(Table33[[#This Row],[Category]]="Cookies",Table33[[#This Row],[Account Deposit Amount]]-Table33[[#This Row],[Account Withdrawl Amount]], )</f>
        <v>0</v>
      </c>
      <c r="K217" s="243">
        <f>IF(Table33[[#This Row],[Category]]="Additional Money Earning Activities",Table33[[#This Row],[Account Deposit Amount]]-Table33[[#This Row],[Account Withdrawl Amount]], )</f>
        <v>0</v>
      </c>
      <c r="L217" s="243">
        <f>IF(Table33[[#This Row],[Category]]="Sponsorships",Table33[[#This Row],[Account Deposit Amount]]-Table33[[#This Row],[Account Withdrawl Amount]], )</f>
        <v>0</v>
      </c>
      <c r="M217" s="243">
        <f>IF(Table33[[#This Row],[Category]]="Troop Dues",Table33[[#This Row],[Account Deposit Amount]]-Table33[[#This Row],[Account Withdrawl Amount]], )</f>
        <v>0</v>
      </c>
      <c r="N217" s="243">
        <f>IF(Table33[[#This Row],[Category]]="Other Income",Table33[[#This Row],[Account Deposit Amount]]-Table33[[#This Row],[Account Withdrawl Amount]], )</f>
        <v>0</v>
      </c>
      <c r="O217" s="243">
        <f>IF(Table33[[#This Row],[Category]]="Registration",Table33[[#This Row],[Account Deposit Amount]]-Table33[[#This Row],[Account Withdrawl Amount]], )</f>
        <v>0</v>
      </c>
      <c r="P217" s="243">
        <f>IF(Table33[[#This Row],[Category]]="Insignia",Table33[[#This Row],[Account Deposit Amount]]-Table33[[#This Row],[Account Withdrawl Amount]], )</f>
        <v>0</v>
      </c>
      <c r="Q217" s="243">
        <f>IF(Table33[[#This Row],[Category]]="Activities/Program",Table33[[#This Row],[Account Deposit Amount]]-Table33[[#This Row],[Account Withdrawl Amount]], )</f>
        <v>0</v>
      </c>
      <c r="R217" s="243">
        <f>IF(Table33[[#This Row],[Category]]="Travel",Table33[[#This Row],[Account Deposit Amount]]-Table33[[#This Row],[Account Withdrawl Amount]], )</f>
        <v>0</v>
      </c>
      <c r="S217" s="243">
        <f>IF(Table33[[#This Row],[Category]]="Parties Food &amp; Beverages",Table33[[#This Row],[Account Deposit Amount]]-Table33[[#This Row],[Account Withdrawl Amount]], )</f>
        <v>0</v>
      </c>
      <c r="T217" s="243">
        <f>IF(Table33[[#This Row],[Category]]="Service Projects Donation",Table33[[#This Row],[Account Deposit Amount]]-Table33[[#This Row],[Account Withdrawl Amount]], )</f>
        <v>0</v>
      </c>
      <c r="U217" s="243">
        <f>IF(Table33[[#This Row],[Category]]="Cookie Debt",Table33[[#This Row],[Account Deposit Amount]]-Table33[[#This Row],[Account Withdrawl Amount]], )</f>
        <v>0</v>
      </c>
      <c r="V217" s="243">
        <f>IF(Table33[[#This Row],[Category]]="Other Expense",Table33[[#This Row],[Account Deposit Amount]]-Table33[[#This Row],[Account Withdrawl Amount]], )</f>
        <v>0</v>
      </c>
    </row>
    <row r="218" spans="1:22">
      <c r="A218" s="225"/>
      <c r="B218" s="241"/>
      <c r="C218" s="225"/>
      <c r="D218" s="225"/>
      <c r="E218" s="242"/>
      <c r="F218" s="242"/>
      <c r="G218" s="243">
        <f t="shared" si="6"/>
        <v>0</v>
      </c>
      <c r="H218" s="225"/>
      <c r="I218" s="243">
        <f>IF(Table33[[#This Row],[Category]]="Fall Product",Table33[[#This Row],[Account Deposit Amount]]-Table33[[#This Row],[Account Withdrawl Amount]], )</f>
        <v>0</v>
      </c>
      <c r="J218" s="243">
        <f>IF(Table33[[#This Row],[Category]]="Cookies",Table33[[#This Row],[Account Deposit Amount]]-Table33[[#This Row],[Account Withdrawl Amount]], )</f>
        <v>0</v>
      </c>
      <c r="K218" s="243">
        <f>IF(Table33[[#This Row],[Category]]="Additional Money Earning Activities",Table33[[#This Row],[Account Deposit Amount]]-Table33[[#This Row],[Account Withdrawl Amount]], )</f>
        <v>0</v>
      </c>
      <c r="L218" s="243">
        <f>IF(Table33[[#This Row],[Category]]="Sponsorships",Table33[[#This Row],[Account Deposit Amount]]-Table33[[#This Row],[Account Withdrawl Amount]], )</f>
        <v>0</v>
      </c>
      <c r="M218" s="243">
        <f>IF(Table33[[#This Row],[Category]]="Troop Dues",Table33[[#This Row],[Account Deposit Amount]]-Table33[[#This Row],[Account Withdrawl Amount]], )</f>
        <v>0</v>
      </c>
      <c r="N218" s="243">
        <f>IF(Table33[[#This Row],[Category]]="Other Income",Table33[[#This Row],[Account Deposit Amount]]-Table33[[#This Row],[Account Withdrawl Amount]], )</f>
        <v>0</v>
      </c>
      <c r="O218" s="243">
        <f>IF(Table33[[#This Row],[Category]]="Registration",Table33[[#This Row],[Account Deposit Amount]]-Table33[[#This Row],[Account Withdrawl Amount]], )</f>
        <v>0</v>
      </c>
      <c r="P218" s="243">
        <f>IF(Table33[[#This Row],[Category]]="Insignia",Table33[[#This Row],[Account Deposit Amount]]-Table33[[#This Row],[Account Withdrawl Amount]], )</f>
        <v>0</v>
      </c>
      <c r="Q218" s="243">
        <f>IF(Table33[[#This Row],[Category]]="Activities/Program",Table33[[#This Row],[Account Deposit Amount]]-Table33[[#This Row],[Account Withdrawl Amount]], )</f>
        <v>0</v>
      </c>
      <c r="R218" s="243">
        <f>IF(Table33[[#This Row],[Category]]="Travel",Table33[[#This Row],[Account Deposit Amount]]-Table33[[#This Row],[Account Withdrawl Amount]], )</f>
        <v>0</v>
      </c>
      <c r="S218" s="243">
        <f>IF(Table33[[#This Row],[Category]]="Parties Food &amp; Beverages",Table33[[#This Row],[Account Deposit Amount]]-Table33[[#This Row],[Account Withdrawl Amount]], )</f>
        <v>0</v>
      </c>
      <c r="T218" s="243">
        <f>IF(Table33[[#This Row],[Category]]="Service Projects Donation",Table33[[#This Row],[Account Deposit Amount]]-Table33[[#This Row],[Account Withdrawl Amount]], )</f>
        <v>0</v>
      </c>
      <c r="U218" s="243">
        <f>IF(Table33[[#This Row],[Category]]="Cookie Debt",Table33[[#This Row],[Account Deposit Amount]]-Table33[[#This Row],[Account Withdrawl Amount]], )</f>
        <v>0</v>
      </c>
      <c r="V218" s="243">
        <f>IF(Table33[[#This Row],[Category]]="Other Expense",Table33[[#This Row],[Account Deposit Amount]]-Table33[[#This Row],[Account Withdrawl Amount]], )</f>
        <v>0</v>
      </c>
    </row>
    <row r="219" spans="1:22">
      <c r="A219" s="225"/>
      <c r="B219" s="241"/>
      <c r="C219" s="225"/>
      <c r="D219" s="225"/>
      <c r="E219" s="242"/>
      <c r="F219" s="242"/>
      <c r="G219" s="243">
        <f t="shared" si="6"/>
        <v>0</v>
      </c>
      <c r="H219" s="225"/>
      <c r="I219" s="243">
        <f>IF(Table33[[#This Row],[Category]]="Fall Product",Table33[[#This Row],[Account Deposit Amount]]-Table33[[#This Row],[Account Withdrawl Amount]], )</f>
        <v>0</v>
      </c>
      <c r="J219" s="243">
        <f>IF(Table33[[#This Row],[Category]]="Cookies",Table33[[#This Row],[Account Deposit Amount]]-Table33[[#This Row],[Account Withdrawl Amount]], )</f>
        <v>0</v>
      </c>
      <c r="K219" s="243">
        <f>IF(Table33[[#This Row],[Category]]="Additional Money Earning Activities",Table33[[#This Row],[Account Deposit Amount]]-Table33[[#This Row],[Account Withdrawl Amount]], )</f>
        <v>0</v>
      </c>
      <c r="L219" s="243">
        <f>IF(Table33[[#This Row],[Category]]="Sponsorships",Table33[[#This Row],[Account Deposit Amount]]-Table33[[#This Row],[Account Withdrawl Amount]], )</f>
        <v>0</v>
      </c>
      <c r="M219" s="243">
        <f>IF(Table33[[#This Row],[Category]]="Troop Dues",Table33[[#This Row],[Account Deposit Amount]]-Table33[[#This Row],[Account Withdrawl Amount]], )</f>
        <v>0</v>
      </c>
      <c r="N219" s="243">
        <f>IF(Table33[[#This Row],[Category]]="Other Income",Table33[[#This Row],[Account Deposit Amount]]-Table33[[#This Row],[Account Withdrawl Amount]], )</f>
        <v>0</v>
      </c>
      <c r="O219" s="243">
        <f>IF(Table33[[#This Row],[Category]]="Registration",Table33[[#This Row],[Account Deposit Amount]]-Table33[[#This Row],[Account Withdrawl Amount]], )</f>
        <v>0</v>
      </c>
      <c r="P219" s="243">
        <f>IF(Table33[[#This Row],[Category]]="Insignia",Table33[[#This Row],[Account Deposit Amount]]-Table33[[#This Row],[Account Withdrawl Amount]], )</f>
        <v>0</v>
      </c>
      <c r="Q219" s="243">
        <f>IF(Table33[[#This Row],[Category]]="Activities/Program",Table33[[#This Row],[Account Deposit Amount]]-Table33[[#This Row],[Account Withdrawl Amount]], )</f>
        <v>0</v>
      </c>
      <c r="R219" s="243">
        <f>IF(Table33[[#This Row],[Category]]="Travel",Table33[[#This Row],[Account Deposit Amount]]-Table33[[#This Row],[Account Withdrawl Amount]], )</f>
        <v>0</v>
      </c>
      <c r="S219" s="243">
        <f>IF(Table33[[#This Row],[Category]]="Parties Food &amp; Beverages",Table33[[#This Row],[Account Deposit Amount]]-Table33[[#This Row],[Account Withdrawl Amount]], )</f>
        <v>0</v>
      </c>
      <c r="T219" s="243">
        <f>IF(Table33[[#This Row],[Category]]="Service Projects Donation",Table33[[#This Row],[Account Deposit Amount]]-Table33[[#This Row],[Account Withdrawl Amount]], )</f>
        <v>0</v>
      </c>
      <c r="U219" s="243">
        <f>IF(Table33[[#This Row],[Category]]="Cookie Debt",Table33[[#This Row],[Account Deposit Amount]]-Table33[[#This Row],[Account Withdrawl Amount]], )</f>
        <v>0</v>
      </c>
      <c r="V219" s="243">
        <f>IF(Table33[[#This Row],[Category]]="Other Expense",Table33[[#This Row],[Account Deposit Amount]]-Table33[[#This Row],[Account Withdrawl Amount]], )</f>
        <v>0</v>
      </c>
    </row>
    <row r="220" spans="1:22">
      <c r="A220" s="225"/>
      <c r="B220" s="241"/>
      <c r="C220" s="225"/>
      <c r="D220" s="225"/>
      <c r="E220" s="242"/>
      <c r="F220" s="242"/>
      <c r="G220" s="243">
        <f t="shared" si="6"/>
        <v>0</v>
      </c>
      <c r="H220" s="225"/>
      <c r="I220" s="243">
        <f>IF(Table33[[#This Row],[Category]]="Fall Product",Table33[[#This Row],[Account Deposit Amount]]-Table33[[#This Row],[Account Withdrawl Amount]], )</f>
        <v>0</v>
      </c>
      <c r="J220" s="243">
        <f>IF(Table33[[#This Row],[Category]]="Cookies",Table33[[#This Row],[Account Deposit Amount]]-Table33[[#This Row],[Account Withdrawl Amount]], )</f>
        <v>0</v>
      </c>
      <c r="K220" s="243">
        <f>IF(Table33[[#This Row],[Category]]="Additional Money Earning Activities",Table33[[#This Row],[Account Deposit Amount]]-Table33[[#This Row],[Account Withdrawl Amount]], )</f>
        <v>0</v>
      </c>
      <c r="L220" s="243">
        <f>IF(Table33[[#This Row],[Category]]="Sponsorships",Table33[[#This Row],[Account Deposit Amount]]-Table33[[#This Row],[Account Withdrawl Amount]], )</f>
        <v>0</v>
      </c>
      <c r="M220" s="243">
        <f>IF(Table33[[#This Row],[Category]]="Troop Dues",Table33[[#This Row],[Account Deposit Amount]]-Table33[[#This Row],[Account Withdrawl Amount]], )</f>
        <v>0</v>
      </c>
      <c r="N220" s="243">
        <f>IF(Table33[[#This Row],[Category]]="Other Income",Table33[[#This Row],[Account Deposit Amount]]-Table33[[#This Row],[Account Withdrawl Amount]], )</f>
        <v>0</v>
      </c>
      <c r="O220" s="243">
        <f>IF(Table33[[#This Row],[Category]]="Registration",Table33[[#This Row],[Account Deposit Amount]]-Table33[[#This Row],[Account Withdrawl Amount]], )</f>
        <v>0</v>
      </c>
      <c r="P220" s="243">
        <f>IF(Table33[[#This Row],[Category]]="Insignia",Table33[[#This Row],[Account Deposit Amount]]-Table33[[#This Row],[Account Withdrawl Amount]], )</f>
        <v>0</v>
      </c>
      <c r="Q220" s="243">
        <f>IF(Table33[[#This Row],[Category]]="Activities/Program",Table33[[#This Row],[Account Deposit Amount]]-Table33[[#This Row],[Account Withdrawl Amount]], )</f>
        <v>0</v>
      </c>
      <c r="R220" s="243">
        <f>IF(Table33[[#This Row],[Category]]="Travel",Table33[[#This Row],[Account Deposit Amount]]-Table33[[#This Row],[Account Withdrawl Amount]], )</f>
        <v>0</v>
      </c>
      <c r="S220" s="243">
        <f>IF(Table33[[#This Row],[Category]]="Parties Food &amp; Beverages",Table33[[#This Row],[Account Deposit Amount]]-Table33[[#This Row],[Account Withdrawl Amount]], )</f>
        <v>0</v>
      </c>
      <c r="T220" s="243">
        <f>IF(Table33[[#This Row],[Category]]="Service Projects Donation",Table33[[#This Row],[Account Deposit Amount]]-Table33[[#This Row],[Account Withdrawl Amount]], )</f>
        <v>0</v>
      </c>
      <c r="U220" s="243">
        <f>IF(Table33[[#This Row],[Category]]="Cookie Debt",Table33[[#This Row],[Account Deposit Amount]]-Table33[[#This Row],[Account Withdrawl Amount]], )</f>
        <v>0</v>
      </c>
      <c r="V220" s="243">
        <f>IF(Table33[[#This Row],[Category]]="Other Expense",Table33[[#This Row],[Account Deposit Amount]]-Table33[[#This Row],[Account Withdrawl Amount]], )</f>
        <v>0</v>
      </c>
    </row>
    <row r="221" spans="1:22">
      <c r="A221" s="225"/>
      <c r="B221" s="241"/>
      <c r="C221" s="225"/>
      <c r="D221" s="225"/>
      <c r="E221" s="242"/>
      <c r="F221" s="242"/>
      <c r="G221" s="243">
        <f t="shared" si="6"/>
        <v>0</v>
      </c>
      <c r="H221" s="225"/>
      <c r="I221" s="243">
        <f>IF(Table33[[#This Row],[Category]]="Fall Product",Table33[[#This Row],[Account Deposit Amount]]-Table33[[#This Row],[Account Withdrawl Amount]], )</f>
        <v>0</v>
      </c>
      <c r="J221" s="243">
        <f>IF(Table33[[#This Row],[Category]]="Cookies",Table33[[#This Row],[Account Deposit Amount]]-Table33[[#This Row],[Account Withdrawl Amount]], )</f>
        <v>0</v>
      </c>
      <c r="K221" s="243">
        <f>IF(Table33[[#This Row],[Category]]="Additional Money Earning Activities",Table33[[#This Row],[Account Deposit Amount]]-Table33[[#This Row],[Account Withdrawl Amount]], )</f>
        <v>0</v>
      </c>
      <c r="L221" s="243">
        <f>IF(Table33[[#This Row],[Category]]="Sponsorships",Table33[[#This Row],[Account Deposit Amount]]-Table33[[#This Row],[Account Withdrawl Amount]], )</f>
        <v>0</v>
      </c>
      <c r="M221" s="243">
        <f>IF(Table33[[#This Row],[Category]]="Troop Dues",Table33[[#This Row],[Account Deposit Amount]]-Table33[[#This Row],[Account Withdrawl Amount]], )</f>
        <v>0</v>
      </c>
      <c r="N221" s="243">
        <f>IF(Table33[[#This Row],[Category]]="Other Income",Table33[[#This Row],[Account Deposit Amount]]-Table33[[#This Row],[Account Withdrawl Amount]], )</f>
        <v>0</v>
      </c>
      <c r="O221" s="243">
        <f>IF(Table33[[#This Row],[Category]]="Registration",Table33[[#This Row],[Account Deposit Amount]]-Table33[[#This Row],[Account Withdrawl Amount]], )</f>
        <v>0</v>
      </c>
      <c r="P221" s="243">
        <f>IF(Table33[[#This Row],[Category]]="Insignia",Table33[[#This Row],[Account Deposit Amount]]-Table33[[#This Row],[Account Withdrawl Amount]], )</f>
        <v>0</v>
      </c>
      <c r="Q221" s="243">
        <f>IF(Table33[[#This Row],[Category]]="Activities/Program",Table33[[#This Row],[Account Deposit Amount]]-Table33[[#This Row],[Account Withdrawl Amount]], )</f>
        <v>0</v>
      </c>
      <c r="R221" s="243">
        <f>IF(Table33[[#This Row],[Category]]="Travel",Table33[[#This Row],[Account Deposit Amount]]-Table33[[#This Row],[Account Withdrawl Amount]], )</f>
        <v>0</v>
      </c>
      <c r="S221" s="243">
        <f>IF(Table33[[#This Row],[Category]]="Parties Food &amp; Beverages",Table33[[#This Row],[Account Deposit Amount]]-Table33[[#This Row],[Account Withdrawl Amount]], )</f>
        <v>0</v>
      </c>
      <c r="T221" s="243">
        <f>IF(Table33[[#This Row],[Category]]="Service Projects Donation",Table33[[#This Row],[Account Deposit Amount]]-Table33[[#This Row],[Account Withdrawl Amount]], )</f>
        <v>0</v>
      </c>
      <c r="U221" s="243">
        <f>IF(Table33[[#This Row],[Category]]="Cookie Debt",Table33[[#This Row],[Account Deposit Amount]]-Table33[[#This Row],[Account Withdrawl Amount]], )</f>
        <v>0</v>
      </c>
      <c r="V221" s="243">
        <f>IF(Table33[[#This Row],[Category]]="Other Expense",Table33[[#This Row],[Account Deposit Amount]]-Table33[[#This Row],[Account Withdrawl Amount]], )</f>
        <v>0</v>
      </c>
    </row>
    <row r="222" spans="1:22">
      <c r="A222" s="225"/>
      <c r="B222" s="241"/>
      <c r="C222" s="225"/>
      <c r="D222" s="225"/>
      <c r="E222" s="242"/>
      <c r="F222" s="242"/>
      <c r="G222" s="243">
        <f t="shared" si="6"/>
        <v>0</v>
      </c>
      <c r="H222" s="225"/>
      <c r="I222" s="243">
        <f>IF(Table33[[#This Row],[Category]]="Fall Product",Table33[[#This Row],[Account Deposit Amount]]-Table33[[#This Row],[Account Withdrawl Amount]], )</f>
        <v>0</v>
      </c>
      <c r="J222" s="243">
        <f>IF(Table33[[#This Row],[Category]]="Cookies",Table33[[#This Row],[Account Deposit Amount]]-Table33[[#This Row],[Account Withdrawl Amount]], )</f>
        <v>0</v>
      </c>
      <c r="K222" s="243">
        <f>IF(Table33[[#This Row],[Category]]="Additional Money Earning Activities",Table33[[#This Row],[Account Deposit Amount]]-Table33[[#This Row],[Account Withdrawl Amount]], )</f>
        <v>0</v>
      </c>
      <c r="L222" s="243">
        <f>IF(Table33[[#This Row],[Category]]="Sponsorships",Table33[[#This Row],[Account Deposit Amount]]-Table33[[#This Row],[Account Withdrawl Amount]], )</f>
        <v>0</v>
      </c>
      <c r="M222" s="243">
        <f>IF(Table33[[#This Row],[Category]]="Troop Dues",Table33[[#This Row],[Account Deposit Amount]]-Table33[[#This Row],[Account Withdrawl Amount]], )</f>
        <v>0</v>
      </c>
      <c r="N222" s="243">
        <f>IF(Table33[[#This Row],[Category]]="Other Income",Table33[[#This Row],[Account Deposit Amount]]-Table33[[#This Row],[Account Withdrawl Amount]], )</f>
        <v>0</v>
      </c>
      <c r="O222" s="243">
        <f>IF(Table33[[#This Row],[Category]]="Registration",Table33[[#This Row],[Account Deposit Amount]]-Table33[[#This Row],[Account Withdrawl Amount]], )</f>
        <v>0</v>
      </c>
      <c r="P222" s="243">
        <f>IF(Table33[[#This Row],[Category]]="Insignia",Table33[[#This Row],[Account Deposit Amount]]-Table33[[#This Row],[Account Withdrawl Amount]], )</f>
        <v>0</v>
      </c>
      <c r="Q222" s="243">
        <f>IF(Table33[[#This Row],[Category]]="Activities/Program",Table33[[#This Row],[Account Deposit Amount]]-Table33[[#This Row],[Account Withdrawl Amount]], )</f>
        <v>0</v>
      </c>
      <c r="R222" s="243">
        <f>IF(Table33[[#This Row],[Category]]="Travel",Table33[[#This Row],[Account Deposit Amount]]-Table33[[#This Row],[Account Withdrawl Amount]], )</f>
        <v>0</v>
      </c>
      <c r="S222" s="243">
        <f>IF(Table33[[#This Row],[Category]]="Parties Food &amp; Beverages",Table33[[#This Row],[Account Deposit Amount]]-Table33[[#This Row],[Account Withdrawl Amount]], )</f>
        <v>0</v>
      </c>
      <c r="T222" s="243">
        <f>IF(Table33[[#This Row],[Category]]="Service Projects Donation",Table33[[#This Row],[Account Deposit Amount]]-Table33[[#This Row],[Account Withdrawl Amount]], )</f>
        <v>0</v>
      </c>
      <c r="U222" s="243">
        <f>IF(Table33[[#This Row],[Category]]="Cookie Debt",Table33[[#This Row],[Account Deposit Amount]]-Table33[[#This Row],[Account Withdrawl Amount]], )</f>
        <v>0</v>
      </c>
      <c r="V222" s="243">
        <f>IF(Table33[[#This Row],[Category]]="Other Expense",Table33[[#This Row],[Account Deposit Amount]]-Table33[[#This Row],[Account Withdrawl Amount]], )</f>
        <v>0</v>
      </c>
    </row>
    <row r="223" spans="1:22">
      <c r="A223" s="225"/>
      <c r="B223" s="241"/>
      <c r="C223" s="225"/>
      <c r="D223" s="225"/>
      <c r="E223" s="242"/>
      <c r="F223" s="242"/>
      <c r="G223" s="243">
        <f t="shared" si="6"/>
        <v>0</v>
      </c>
      <c r="H223" s="225"/>
      <c r="I223" s="243">
        <f>IF(Table33[[#This Row],[Category]]="Fall Product",Table33[[#This Row],[Account Deposit Amount]]-Table33[[#This Row],[Account Withdrawl Amount]], )</f>
        <v>0</v>
      </c>
      <c r="J223" s="243">
        <f>IF(Table33[[#This Row],[Category]]="Cookies",Table33[[#This Row],[Account Deposit Amount]]-Table33[[#This Row],[Account Withdrawl Amount]], )</f>
        <v>0</v>
      </c>
      <c r="K223" s="243">
        <f>IF(Table33[[#This Row],[Category]]="Additional Money Earning Activities",Table33[[#This Row],[Account Deposit Amount]]-Table33[[#This Row],[Account Withdrawl Amount]], )</f>
        <v>0</v>
      </c>
      <c r="L223" s="243">
        <f>IF(Table33[[#This Row],[Category]]="Sponsorships",Table33[[#This Row],[Account Deposit Amount]]-Table33[[#This Row],[Account Withdrawl Amount]], )</f>
        <v>0</v>
      </c>
      <c r="M223" s="243">
        <f>IF(Table33[[#This Row],[Category]]="Troop Dues",Table33[[#This Row],[Account Deposit Amount]]-Table33[[#This Row],[Account Withdrawl Amount]], )</f>
        <v>0</v>
      </c>
      <c r="N223" s="243">
        <f>IF(Table33[[#This Row],[Category]]="Other Income",Table33[[#This Row],[Account Deposit Amount]]-Table33[[#This Row],[Account Withdrawl Amount]], )</f>
        <v>0</v>
      </c>
      <c r="O223" s="243">
        <f>IF(Table33[[#This Row],[Category]]="Registration",Table33[[#This Row],[Account Deposit Amount]]-Table33[[#This Row],[Account Withdrawl Amount]], )</f>
        <v>0</v>
      </c>
      <c r="P223" s="243">
        <f>IF(Table33[[#This Row],[Category]]="Insignia",Table33[[#This Row],[Account Deposit Amount]]-Table33[[#This Row],[Account Withdrawl Amount]], )</f>
        <v>0</v>
      </c>
      <c r="Q223" s="243">
        <f>IF(Table33[[#This Row],[Category]]="Activities/Program",Table33[[#This Row],[Account Deposit Amount]]-Table33[[#This Row],[Account Withdrawl Amount]], )</f>
        <v>0</v>
      </c>
      <c r="R223" s="243">
        <f>IF(Table33[[#This Row],[Category]]="Travel",Table33[[#This Row],[Account Deposit Amount]]-Table33[[#This Row],[Account Withdrawl Amount]], )</f>
        <v>0</v>
      </c>
      <c r="S223" s="243">
        <f>IF(Table33[[#This Row],[Category]]="Parties Food &amp; Beverages",Table33[[#This Row],[Account Deposit Amount]]-Table33[[#This Row],[Account Withdrawl Amount]], )</f>
        <v>0</v>
      </c>
      <c r="T223" s="243">
        <f>IF(Table33[[#This Row],[Category]]="Service Projects Donation",Table33[[#This Row],[Account Deposit Amount]]-Table33[[#This Row],[Account Withdrawl Amount]], )</f>
        <v>0</v>
      </c>
      <c r="U223" s="243">
        <f>IF(Table33[[#This Row],[Category]]="Cookie Debt",Table33[[#This Row],[Account Deposit Amount]]-Table33[[#This Row],[Account Withdrawl Amount]], )</f>
        <v>0</v>
      </c>
      <c r="V223" s="243">
        <f>IF(Table33[[#This Row],[Category]]="Other Expense",Table33[[#This Row],[Account Deposit Amount]]-Table33[[#This Row],[Account Withdrawl Amount]], )</f>
        <v>0</v>
      </c>
    </row>
    <row r="224" spans="1:22">
      <c r="A224" s="225"/>
      <c r="B224" s="241"/>
      <c r="C224" s="225"/>
      <c r="D224" s="225"/>
      <c r="E224" s="242"/>
      <c r="F224" s="242"/>
      <c r="G224" s="243">
        <f t="shared" si="6"/>
        <v>0</v>
      </c>
      <c r="H224" s="225"/>
      <c r="I224" s="243">
        <f>IF(Table33[[#This Row],[Category]]="Fall Product",Table33[[#This Row],[Account Deposit Amount]]-Table33[[#This Row],[Account Withdrawl Amount]], )</f>
        <v>0</v>
      </c>
      <c r="J224" s="243">
        <f>IF(Table33[[#This Row],[Category]]="Cookies",Table33[[#This Row],[Account Deposit Amount]]-Table33[[#This Row],[Account Withdrawl Amount]], )</f>
        <v>0</v>
      </c>
      <c r="K224" s="243">
        <f>IF(Table33[[#This Row],[Category]]="Additional Money Earning Activities",Table33[[#This Row],[Account Deposit Amount]]-Table33[[#This Row],[Account Withdrawl Amount]], )</f>
        <v>0</v>
      </c>
      <c r="L224" s="243">
        <f>IF(Table33[[#This Row],[Category]]="Sponsorships",Table33[[#This Row],[Account Deposit Amount]]-Table33[[#This Row],[Account Withdrawl Amount]], )</f>
        <v>0</v>
      </c>
      <c r="M224" s="243">
        <f>IF(Table33[[#This Row],[Category]]="Troop Dues",Table33[[#This Row],[Account Deposit Amount]]-Table33[[#This Row],[Account Withdrawl Amount]], )</f>
        <v>0</v>
      </c>
      <c r="N224" s="243">
        <f>IF(Table33[[#This Row],[Category]]="Other Income",Table33[[#This Row],[Account Deposit Amount]]-Table33[[#This Row],[Account Withdrawl Amount]], )</f>
        <v>0</v>
      </c>
      <c r="O224" s="243">
        <f>IF(Table33[[#This Row],[Category]]="Registration",Table33[[#This Row],[Account Deposit Amount]]-Table33[[#This Row],[Account Withdrawl Amount]], )</f>
        <v>0</v>
      </c>
      <c r="P224" s="243">
        <f>IF(Table33[[#This Row],[Category]]="Insignia",Table33[[#This Row],[Account Deposit Amount]]-Table33[[#This Row],[Account Withdrawl Amount]], )</f>
        <v>0</v>
      </c>
      <c r="Q224" s="243">
        <f>IF(Table33[[#This Row],[Category]]="Activities/Program",Table33[[#This Row],[Account Deposit Amount]]-Table33[[#This Row],[Account Withdrawl Amount]], )</f>
        <v>0</v>
      </c>
      <c r="R224" s="243">
        <f>IF(Table33[[#This Row],[Category]]="Travel",Table33[[#This Row],[Account Deposit Amount]]-Table33[[#This Row],[Account Withdrawl Amount]], )</f>
        <v>0</v>
      </c>
      <c r="S224" s="243">
        <f>IF(Table33[[#This Row],[Category]]="Parties Food &amp; Beverages",Table33[[#This Row],[Account Deposit Amount]]-Table33[[#This Row],[Account Withdrawl Amount]], )</f>
        <v>0</v>
      </c>
      <c r="T224" s="243">
        <f>IF(Table33[[#This Row],[Category]]="Service Projects Donation",Table33[[#This Row],[Account Deposit Amount]]-Table33[[#This Row],[Account Withdrawl Amount]], )</f>
        <v>0</v>
      </c>
      <c r="U224" s="243">
        <f>IF(Table33[[#This Row],[Category]]="Cookie Debt",Table33[[#This Row],[Account Deposit Amount]]-Table33[[#This Row],[Account Withdrawl Amount]], )</f>
        <v>0</v>
      </c>
      <c r="V224" s="243">
        <f>IF(Table33[[#This Row],[Category]]="Other Expense",Table33[[#This Row],[Account Deposit Amount]]-Table33[[#This Row],[Account Withdrawl Amount]], )</f>
        <v>0</v>
      </c>
    </row>
    <row r="225" spans="1:22">
      <c r="A225" s="225"/>
      <c r="B225" s="241"/>
      <c r="C225" s="225"/>
      <c r="D225" s="225"/>
      <c r="E225" s="242"/>
      <c r="F225" s="242"/>
      <c r="G225" s="243">
        <f t="shared" si="6"/>
        <v>0</v>
      </c>
      <c r="H225" s="225"/>
      <c r="I225" s="243">
        <f>IF(Table33[[#This Row],[Category]]="Fall Product",Table33[[#This Row],[Account Deposit Amount]]-Table33[[#This Row],[Account Withdrawl Amount]], )</f>
        <v>0</v>
      </c>
      <c r="J225" s="243">
        <f>IF(Table33[[#This Row],[Category]]="Cookies",Table33[[#This Row],[Account Deposit Amount]]-Table33[[#This Row],[Account Withdrawl Amount]], )</f>
        <v>0</v>
      </c>
      <c r="K225" s="243">
        <f>IF(Table33[[#This Row],[Category]]="Additional Money Earning Activities",Table33[[#This Row],[Account Deposit Amount]]-Table33[[#This Row],[Account Withdrawl Amount]], )</f>
        <v>0</v>
      </c>
      <c r="L225" s="243">
        <f>IF(Table33[[#This Row],[Category]]="Sponsorships",Table33[[#This Row],[Account Deposit Amount]]-Table33[[#This Row],[Account Withdrawl Amount]], )</f>
        <v>0</v>
      </c>
      <c r="M225" s="243">
        <f>IF(Table33[[#This Row],[Category]]="Troop Dues",Table33[[#This Row],[Account Deposit Amount]]-Table33[[#This Row],[Account Withdrawl Amount]], )</f>
        <v>0</v>
      </c>
      <c r="N225" s="243">
        <f>IF(Table33[[#This Row],[Category]]="Other Income",Table33[[#This Row],[Account Deposit Amount]]-Table33[[#This Row],[Account Withdrawl Amount]], )</f>
        <v>0</v>
      </c>
      <c r="O225" s="243">
        <f>IF(Table33[[#This Row],[Category]]="Registration",Table33[[#This Row],[Account Deposit Amount]]-Table33[[#This Row],[Account Withdrawl Amount]], )</f>
        <v>0</v>
      </c>
      <c r="P225" s="243">
        <f>IF(Table33[[#This Row],[Category]]="Insignia",Table33[[#This Row],[Account Deposit Amount]]-Table33[[#This Row],[Account Withdrawl Amount]], )</f>
        <v>0</v>
      </c>
      <c r="Q225" s="243">
        <f>IF(Table33[[#This Row],[Category]]="Activities/Program",Table33[[#This Row],[Account Deposit Amount]]-Table33[[#This Row],[Account Withdrawl Amount]], )</f>
        <v>0</v>
      </c>
      <c r="R225" s="243">
        <f>IF(Table33[[#This Row],[Category]]="Travel",Table33[[#This Row],[Account Deposit Amount]]-Table33[[#This Row],[Account Withdrawl Amount]], )</f>
        <v>0</v>
      </c>
      <c r="S225" s="243">
        <f>IF(Table33[[#This Row],[Category]]="Parties Food &amp; Beverages",Table33[[#This Row],[Account Deposit Amount]]-Table33[[#This Row],[Account Withdrawl Amount]], )</f>
        <v>0</v>
      </c>
      <c r="T225" s="243">
        <f>IF(Table33[[#This Row],[Category]]="Service Projects Donation",Table33[[#This Row],[Account Deposit Amount]]-Table33[[#This Row],[Account Withdrawl Amount]], )</f>
        <v>0</v>
      </c>
      <c r="U225" s="243">
        <f>IF(Table33[[#This Row],[Category]]="Cookie Debt",Table33[[#This Row],[Account Deposit Amount]]-Table33[[#This Row],[Account Withdrawl Amount]], )</f>
        <v>0</v>
      </c>
      <c r="V225" s="243">
        <f>IF(Table33[[#This Row],[Category]]="Other Expense",Table33[[#This Row],[Account Deposit Amount]]-Table33[[#This Row],[Account Withdrawl Amount]], )</f>
        <v>0</v>
      </c>
    </row>
    <row r="226" spans="1:22">
      <c r="A226" s="225"/>
      <c r="B226" s="241"/>
      <c r="C226" s="225"/>
      <c r="D226" s="225"/>
      <c r="E226" s="242"/>
      <c r="F226" s="242"/>
      <c r="G226" s="243">
        <f t="shared" si="6"/>
        <v>0</v>
      </c>
      <c r="H226" s="225"/>
      <c r="I226" s="243">
        <f>IF(Table33[[#This Row],[Category]]="Fall Product",Table33[[#This Row],[Account Deposit Amount]]-Table33[[#This Row],[Account Withdrawl Amount]], )</f>
        <v>0</v>
      </c>
      <c r="J226" s="243">
        <f>IF(Table33[[#This Row],[Category]]="Cookies",Table33[[#This Row],[Account Deposit Amount]]-Table33[[#This Row],[Account Withdrawl Amount]], )</f>
        <v>0</v>
      </c>
      <c r="K226" s="243">
        <f>IF(Table33[[#This Row],[Category]]="Additional Money Earning Activities",Table33[[#This Row],[Account Deposit Amount]]-Table33[[#This Row],[Account Withdrawl Amount]], )</f>
        <v>0</v>
      </c>
      <c r="L226" s="243">
        <f>IF(Table33[[#This Row],[Category]]="Sponsorships",Table33[[#This Row],[Account Deposit Amount]]-Table33[[#This Row],[Account Withdrawl Amount]], )</f>
        <v>0</v>
      </c>
      <c r="M226" s="243">
        <f>IF(Table33[[#This Row],[Category]]="Troop Dues",Table33[[#This Row],[Account Deposit Amount]]-Table33[[#This Row],[Account Withdrawl Amount]], )</f>
        <v>0</v>
      </c>
      <c r="N226" s="243">
        <f>IF(Table33[[#This Row],[Category]]="Other Income",Table33[[#This Row],[Account Deposit Amount]]-Table33[[#This Row],[Account Withdrawl Amount]], )</f>
        <v>0</v>
      </c>
      <c r="O226" s="243">
        <f>IF(Table33[[#This Row],[Category]]="Registration",Table33[[#This Row],[Account Deposit Amount]]-Table33[[#This Row],[Account Withdrawl Amount]], )</f>
        <v>0</v>
      </c>
      <c r="P226" s="243">
        <f>IF(Table33[[#This Row],[Category]]="Insignia",Table33[[#This Row],[Account Deposit Amount]]-Table33[[#This Row],[Account Withdrawl Amount]], )</f>
        <v>0</v>
      </c>
      <c r="Q226" s="243">
        <f>IF(Table33[[#This Row],[Category]]="Activities/Program",Table33[[#This Row],[Account Deposit Amount]]-Table33[[#This Row],[Account Withdrawl Amount]], )</f>
        <v>0</v>
      </c>
      <c r="R226" s="243">
        <f>IF(Table33[[#This Row],[Category]]="Travel",Table33[[#This Row],[Account Deposit Amount]]-Table33[[#This Row],[Account Withdrawl Amount]], )</f>
        <v>0</v>
      </c>
      <c r="S226" s="243">
        <f>IF(Table33[[#This Row],[Category]]="Parties Food &amp; Beverages",Table33[[#This Row],[Account Deposit Amount]]-Table33[[#This Row],[Account Withdrawl Amount]], )</f>
        <v>0</v>
      </c>
      <c r="T226" s="243">
        <f>IF(Table33[[#This Row],[Category]]="Service Projects Donation",Table33[[#This Row],[Account Deposit Amount]]-Table33[[#This Row],[Account Withdrawl Amount]], )</f>
        <v>0</v>
      </c>
      <c r="U226" s="243">
        <f>IF(Table33[[#This Row],[Category]]="Cookie Debt",Table33[[#This Row],[Account Deposit Amount]]-Table33[[#This Row],[Account Withdrawl Amount]], )</f>
        <v>0</v>
      </c>
      <c r="V226" s="243">
        <f>IF(Table33[[#This Row],[Category]]="Other Expense",Table33[[#This Row],[Account Deposit Amount]]-Table33[[#This Row],[Account Withdrawl Amount]], )</f>
        <v>0</v>
      </c>
    </row>
    <row r="227" spans="1:22">
      <c r="A227" s="225"/>
      <c r="B227" s="241"/>
      <c r="C227" s="225"/>
      <c r="D227" s="225"/>
      <c r="E227" s="242"/>
      <c r="F227" s="242"/>
      <c r="G227" s="243">
        <f t="shared" si="6"/>
        <v>0</v>
      </c>
      <c r="H227" s="225"/>
      <c r="I227" s="243">
        <f>IF(Table33[[#This Row],[Category]]="Fall Product",Table33[[#This Row],[Account Deposit Amount]]-Table33[[#This Row],[Account Withdrawl Amount]], )</f>
        <v>0</v>
      </c>
      <c r="J227" s="243">
        <f>IF(Table33[[#This Row],[Category]]="Cookies",Table33[[#This Row],[Account Deposit Amount]]-Table33[[#This Row],[Account Withdrawl Amount]], )</f>
        <v>0</v>
      </c>
      <c r="K227" s="243">
        <f>IF(Table33[[#This Row],[Category]]="Additional Money Earning Activities",Table33[[#This Row],[Account Deposit Amount]]-Table33[[#This Row],[Account Withdrawl Amount]], )</f>
        <v>0</v>
      </c>
      <c r="L227" s="243">
        <f>IF(Table33[[#This Row],[Category]]="Sponsorships",Table33[[#This Row],[Account Deposit Amount]]-Table33[[#This Row],[Account Withdrawl Amount]], )</f>
        <v>0</v>
      </c>
      <c r="M227" s="243">
        <f>IF(Table33[[#This Row],[Category]]="Troop Dues",Table33[[#This Row],[Account Deposit Amount]]-Table33[[#This Row],[Account Withdrawl Amount]], )</f>
        <v>0</v>
      </c>
      <c r="N227" s="243">
        <f>IF(Table33[[#This Row],[Category]]="Other Income",Table33[[#This Row],[Account Deposit Amount]]-Table33[[#This Row],[Account Withdrawl Amount]], )</f>
        <v>0</v>
      </c>
      <c r="O227" s="243">
        <f>IF(Table33[[#This Row],[Category]]="Registration",Table33[[#This Row],[Account Deposit Amount]]-Table33[[#This Row],[Account Withdrawl Amount]], )</f>
        <v>0</v>
      </c>
      <c r="P227" s="243">
        <f>IF(Table33[[#This Row],[Category]]="Insignia",Table33[[#This Row],[Account Deposit Amount]]-Table33[[#This Row],[Account Withdrawl Amount]], )</f>
        <v>0</v>
      </c>
      <c r="Q227" s="243">
        <f>IF(Table33[[#This Row],[Category]]="Activities/Program",Table33[[#This Row],[Account Deposit Amount]]-Table33[[#This Row],[Account Withdrawl Amount]], )</f>
        <v>0</v>
      </c>
      <c r="R227" s="243">
        <f>IF(Table33[[#This Row],[Category]]="Travel",Table33[[#This Row],[Account Deposit Amount]]-Table33[[#This Row],[Account Withdrawl Amount]], )</f>
        <v>0</v>
      </c>
      <c r="S227" s="243">
        <f>IF(Table33[[#This Row],[Category]]="Parties Food &amp; Beverages",Table33[[#This Row],[Account Deposit Amount]]-Table33[[#This Row],[Account Withdrawl Amount]], )</f>
        <v>0</v>
      </c>
      <c r="T227" s="243">
        <f>IF(Table33[[#This Row],[Category]]="Service Projects Donation",Table33[[#This Row],[Account Deposit Amount]]-Table33[[#This Row],[Account Withdrawl Amount]], )</f>
        <v>0</v>
      </c>
      <c r="U227" s="243">
        <f>IF(Table33[[#This Row],[Category]]="Cookie Debt",Table33[[#This Row],[Account Deposit Amount]]-Table33[[#This Row],[Account Withdrawl Amount]], )</f>
        <v>0</v>
      </c>
      <c r="V227" s="243">
        <f>IF(Table33[[#This Row],[Category]]="Other Expense",Table33[[#This Row],[Account Deposit Amount]]-Table33[[#This Row],[Account Withdrawl Amount]], )</f>
        <v>0</v>
      </c>
    </row>
    <row r="228" spans="1:22">
      <c r="A228" s="225"/>
      <c r="B228" s="241"/>
      <c r="C228" s="225"/>
      <c r="D228" s="225"/>
      <c r="E228" s="242"/>
      <c r="F228" s="242"/>
      <c r="G228" s="243">
        <f t="shared" si="6"/>
        <v>0</v>
      </c>
      <c r="H228" s="225"/>
      <c r="I228" s="243">
        <f>IF(Table33[[#This Row],[Category]]="Fall Product",Table33[[#This Row],[Account Deposit Amount]]-Table33[[#This Row],[Account Withdrawl Amount]], )</f>
        <v>0</v>
      </c>
      <c r="J228" s="243">
        <f>IF(Table33[[#This Row],[Category]]="Cookies",Table33[[#This Row],[Account Deposit Amount]]-Table33[[#This Row],[Account Withdrawl Amount]], )</f>
        <v>0</v>
      </c>
      <c r="K228" s="243">
        <f>IF(Table33[[#This Row],[Category]]="Additional Money Earning Activities",Table33[[#This Row],[Account Deposit Amount]]-Table33[[#This Row],[Account Withdrawl Amount]], )</f>
        <v>0</v>
      </c>
      <c r="L228" s="243">
        <f>IF(Table33[[#This Row],[Category]]="Sponsorships",Table33[[#This Row],[Account Deposit Amount]]-Table33[[#This Row],[Account Withdrawl Amount]], )</f>
        <v>0</v>
      </c>
      <c r="M228" s="243">
        <f>IF(Table33[[#This Row],[Category]]="Troop Dues",Table33[[#This Row],[Account Deposit Amount]]-Table33[[#This Row],[Account Withdrawl Amount]], )</f>
        <v>0</v>
      </c>
      <c r="N228" s="243">
        <f>IF(Table33[[#This Row],[Category]]="Other Income",Table33[[#This Row],[Account Deposit Amount]]-Table33[[#This Row],[Account Withdrawl Amount]], )</f>
        <v>0</v>
      </c>
      <c r="O228" s="243">
        <f>IF(Table33[[#This Row],[Category]]="Registration",Table33[[#This Row],[Account Deposit Amount]]-Table33[[#This Row],[Account Withdrawl Amount]], )</f>
        <v>0</v>
      </c>
      <c r="P228" s="243">
        <f>IF(Table33[[#This Row],[Category]]="Insignia",Table33[[#This Row],[Account Deposit Amount]]-Table33[[#This Row],[Account Withdrawl Amount]], )</f>
        <v>0</v>
      </c>
      <c r="Q228" s="243">
        <f>IF(Table33[[#This Row],[Category]]="Activities/Program",Table33[[#This Row],[Account Deposit Amount]]-Table33[[#This Row],[Account Withdrawl Amount]], )</f>
        <v>0</v>
      </c>
      <c r="R228" s="243">
        <f>IF(Table33[[#This Row],[Category]]="Travel",Table33[[#This Row],[Account Deposit Amount]]-Table33[[#This Row],[Account Withdrawl Amount]], )</f>
        <v>0</v>
      </c>
      <c r="S228" s="243">
        <f>IF(Table33[[#This Row],[Category]]="Parties Food &amp; Beverages",Table33[[#This Row],[Account Deposit Amount]]-Table33[[#This Row],[Account Withdrawl Amount]], )</f>
        <v>0</v>
      </c>
      <c r="T228" s="243">
        <f>IF(Table33[[#This Row],[Category]]="Service Projects Donation",Table33[[#This Row],[Account Deposit Amount]]-Table33[[#This Row],[Account Withdrawl Amount]], )</f>
        <v>0</v>
      </c>
      <c r="U228" s="243">
        <f>IF(Table33[[#This Row],[Category]]="Cookie Debt",Table33[[#This Row],[Account Deposit Amount]]-Table33[[#This Row],[Account Withdrawl Amount]], )</f>
        <v>0</v>
      </c>
      <c r="V228" s="243">
        <f>IF(Table33[[#This Row],[Category]]="Other Expense",Table33[[#This Row],[Account Deposit Amount]]-Table33[[#This Row],[Account Withdrawl Amount]], )</f>
        <v>0</v>
      </c>
    </row>
    <row r="229" spans="1:22">
      <c r="A229" s="225"/>
      <c r="B229" s="241"/>
      <c r="C229" s="225"/>
      <c r="D229" s="225"/>
      <c r="E229" s="242"/>
      <c r="F229" s="242"/>
      <c r="G229" s="243">
        <f t="shared" ref="G229:G292" si="7">G228+E229-F229</f>
        <v>0</v>
      </c>
      <c r="H229" s="225"/>
      <c r="I229" s="243">
        <f>IF(Table33[[#This Row],[Category]]="Fall Product",Table33[[#This Row],[Account Deposit Amount]]-Table33[[#This Row],[Account Withdrawl Amount]], )</f>
        <v>0</v>
      </c>
      <c r="J229" s="243">
        <f>IF(Table33[[#This Row],[Category]]="Cookies",Table33[[#This Row],[Account Deposit Amount]]-Table33[[#This Row],[Account Withdrawl Amount]], )</f>
        <v>0</v>
      </c>
      <c r="K229" s="243">
        <f>IF(Table33[[#This Row],[Category]]="Additional Money Earning Activities",Table33[[#This Row],[Account Deposit Amount]]-Table33[[#This Row],[Account Withdrawl Amount]], )</f>
        <v>0</v>
      </c>
      <c r="L229" s="243">
        <f>IF(Table33[[#This Row],[Category]]="Sponsorships",Table33[[#This Row],[Account Deposit Amount]]-Table33[[#This Row],[Account Withdrawl Amount]], )</f>
        <v>0</v>
      </c>
      <c r="M229" s="243">
        <f>IF(Table33[[#This Row],[Category]]="Troop Dues",Table33[[#This Row],[Account Deposit Amount]]-Table33[[#This Row],[Account Withdrawl Amount]], )</f>
        <v>0</v>
      </c>
      <c r="N229" s="243">
        <f>IF(Table33[[#This Row],[Category]]="Other Income",Table33[[#This Row],[Account Deposit Amount]]-Table33[[#This Row],[Account Withdrawl Amount]], )</f>
        <v>0</v>
      </c>
      <c r="O229" s="243">
        <f>IF(Table33[[#This Row],[Category]]="Registration",Table33[[#This Row],[Account Deposit Amount]]-Table33[[#This Row],[Account Withdrawl Amount]], )</f>
        <v>0</v>
      </c>
      <c r="P229" s="243">
        <f>IF(Table33[[#This Row],[Category]]="Insignia",Table33[[#This Row],[Account Deposit Amount]]-Table33[[#This Row],[Account Withdrawl Amount]], )</f>
        <v>0</v>
      </c>
      <c r="Q229" s="243">
        <f>IF(Table33[[#This Row],[Category]]="Activities/Program",Table33[[#This Row],[Account Deposit Amount]]-Table33[[#This Row],[Account Withdrawl Amount]], )</f>
        <v>0</v>
      </c>
      <c r="R229" s="243">
        <f>IF(Table33[[#This Row],[Category]]="Travel",Table33[[#This Row],[Account Deposit Amount]]-Table33[[#This Row],[Account Withdrawl Amount]], )</f>
        <v>0</v>
      </c>
      <c r="S229" s="243">
        <f>IF(Table33[[#This Row],[Category]]="Parties Food &amp; Beverages",Table33[[#This Row],[Account Deposit Amount]]-Table33[[#This Row],[Account Withdrawl Amount]], )</f>
        <v>0</v>
      </c>
      <c r="T229" s="243">
        <f>IF(Table33[[#This Row],[Category]]="Service Projects Donation",Table33[[#This Row],[Account Deposit Amount]]-Table33[[#This Row],[Account Withdrawl Amount]], )</f>
        <v>0</v>
      </c>
      <c r="U229" s="243">
        <f>IF(Table33[[#This Row],[Category]]="Cookie Debt",Table33[[#This Row],[Account Deposit Amount]]-Table33[[#This Row],[Account Withdrawl Amount]], )</f>
        <v>0</v>
      </c>
      <c r="V229" s="243">
        <f>IF(Table33[[#This Row],[Category]]="Other Expense",Table33[[#This Row],[Account Deposit Amount]]-Table33[[#This Row],[Account Withdrawl Amount]], )</f>
        <v>0</v>
      </c>
    </row>
    <row r="230" spans="1:22">
      <c r="A230" s="225"/>
      <c r="B230" s="241"/>
      <c r="C230" s="225"/>
      <c r="D230" s="225"/>
      <c r="E230" s="242"/>
      <c r="F230" s="242"/>
      <c r="G230" s="243">
        <f t="shared" si="7"/>
        <v>0</v>
      </c>
      <c r="H230" s="225"/>
      <c r="I230" s="243">
        <f>IF(Table33[[#This Row],[Category]]="Fall Product",Table33[[#This Row],[Account Deposit Amount]]-Table33[[#This Row],[Account Withdrawl Amount]], )</f>
        <v>0</v>
      </c>
      <c r="J230" s="243">
        <f>IF(Table33[[#This Row],[Category]]="Cookies",Table33[[#This Row],[Account Deposit Amount]]-Table33[[#This Row],[Account Withdrawl Amount]], )</f>
        <v>0</v>
      </c>
      <c r="K230" s="243">
        <f>IF(Table33[[#This Row],[Category]]="Additional Money Earning Activities",Table33[[#This Row],[Account Deposit Amount]]-Table33[[#This Row],[Account Withdrawl Amount]], )</f>
        <v>0</v>
      </c>
      <c r="L230" s="243">
        <f>IF(Table33[[#This Row],[Category]]="Sponsorships",Table33[[#This Row],[Account Deposit Amount]]-Table33[[#This Row],[Account Withdrawl Amount]], )</f>
        <v>0</v>
      </c>
      <c r="M230" s="243">
        <f>IF(Table33[[#This Row],[Category]]="Troop Dues",Table33[[#This Row],[Account Deposit Amount]]-Table33[[#This Row],[Account Withdrawl Amount]], )</f>
        <v>0</v>
      </c>
      <c r="N230" s="243">
        <f>IF(Table33[[#This Row],[Category]]="Other Income",Table33[[#This Row],[Account Deposit Amount]]-Table33[[#This Row],[Account Withdrawl Amount]], )</f>
        <v>0</v>
      </c>
      <c r="O230" s="243">
        <f>IF(Table33[[#This Row],[Category]]="Registration",Table33[[#This Row],[Account Deposit Amount]]-Table33[[#This Row],[Account Withdrawl Amount]], )</f>
        <v>0</v>
      </c>
      <c r="P230" s="243">
        <f>IF(Table33[[#This Row],[Category]]="Insignia",Table33[[#This Row],[Account Deposit Amount]]-Table33[[#This Row],[Account Withdrawl Amount]], )</f>
        <v>0</v>
      </c>
      <c r="Q230" s="243">
        <f>IF(Table33[[#This Row],[Category]]="Activities/Program",Table33[[#This Row],[Account Deposit Amount]]-Table33[[#This Row],[Account Withdrawl Amount]], )</f>
        <v>0</v>
      </c>
      <c r="R230" s="243">
        <f>IF(Table33[[#This Row],[Category]]="Travel",Table33[[#This Row],[Account Deposit Amount]]-Table33[[#This Row],[Account Withdrawl Amount]], )</f>
        <v>0</v>
      </c>
      <c r="S230" s="243">
        <f>IF(Table33[[#This Row],[Category]]="Parties Food &amp; Beverages",Table33[[#This Row],[Account Deposit Amount]]-Table33[[#This Row],[Account Withdrawl Amount]], )</f>
        <v>0</v>
      </c>
      <c r="T230" s="243">
        <f>IF(Table33[[#This Row],[Category]]="Service Projects Donation",Table33[[#This Row],[Account Deposit Amount]]-Table33[[#This Row],[Account Withdrawl Amount]], )</f>
        <v>0</v>
      </c>
      <c r="U230" s="243">
        <f>IF(Table33[[#This Row],[Category]]="Cookie Debt",Table33[[#This Row],[Account Deposit Amount]]-Table33[[#This Row],[Account Withdrawl Amount]], )</f>
        <v>0</v>
      </c>
      <c r="V230" s="243">
        <f>IF(Table33[[#This Row],[Category]]="Other Expense",Table33[[#This Row],[Account Deposit Amount]]-Table33[[#This Row],[Account Withdrawl Amount]], )</f>
        <v>0</v>
      </c>
    </row>
    <row r="231" spans="1:22">
      <c r="A231" s="225"/>
      <c r="B231" s="241"/>
      <c r="C231" s="225"/>
      <c r="D231" s="225"/>
      <c r="E231" s="242"/>
      <c r="F231" s="242"/>
      <c r="G231" s="243">
        <f t="shared" si="7"/>
        <v>0</v>
      </c>
      <c r="H231" s="225"/>
      <c r="I231" s="243">
        <f>IF(Table33[[#This Row],[Category]]="Fall Product",Table33[[#This Row],[Account Deposit Amount]]-Table33[[#This Row],[Account Withdrawl Amount]], )</f>
        <v>0</v>
      </c>
      <c r="J231" s="243">
        <f>IF(Table33[[#This Row],[Category]]="Cookies",Table33[[#This Row],[Account Deposit Amount]]-Table33[[#This Row],[Account Withdrawl Amount]], )</f>
        <v>0</v>
      </c>
      <c r="K231" s="243">
        <f>IF(Table33[[#This Row],[Category]]="Additional Money Earning Activities",Table33[[#This Row],[Account Deposit Amount]]-Table33[[#This Row],[Account Withdrawl Amount]], )</f>
        <v>0</v>
      </c>
      <c r="L231" s="243">
        <f>IF(Table33[[#This Row],[Category]]="Sponsorships",Table33[[#This Row],[Account Deposit Amount]]-Table33[[#This Row],[Account Withdrawl Amount]], )</f>
        <v>0</v>
      </c>
      <c r="M231" s="243">
        <f>IF(Table33[[#This Row],[Category]]="Troop Dues",Table33[[#This Row],[Account Deposit Amount]]-Table33[[#This Row],[Account Withdrawl Amount]], )</f>
        <v>0</v>
      </c>
      <c r="N231" s="243">
        <f>IF(Table33[[#This Row],[Category]]="Other Income",Table33[[#This Row],[Account Deposit Amount]]-Table33[[#This Row],[Account Withdrawl Amount]], )</f>
        <v>0</v>
      </c>
      <c r="O231" s="243">
        <f>IF(Table33[[#This Row],[Category]]="Registration",Table33[[#This Row],[Account Deposit Amount]]-Table33[[#This Row],[Account Withdrawl Amount]], )</f>
        <v>0</v>
      </c>
      <c r="P231" s="243">
        <f>IF(Table33[[#This Row],[Category]]="Insignia",Table33[[#This Row],[Account Deposit Amount]]-Table33[[#This Row],[Account Withdrawl Amount]], )</f>
        <v>0</v>
      </c>
      <c r="Q231" s="243">
        <f>IF(Table33[[#This Row],[Category]]="Activities/Program",Table33[[#This Row],[Account Deposit Amount]]-Table33[[#This Row],[Account Withdrawl Amount]], )</f>
        <v>0</v>
      </c>
      <c r="R231" s="243">
        <f>IF(Table33[[#This Row],[Category]]="Travel",Table33[[#This Row],[Account Deposit Amount]]-Table33[[#This Row],[Account Withdrawl Amount]], )</f>
        <v>0</v>
      </c>
      <c r="S231" s="243">
        <f>IF(Table33[[#This Row],[Category]]="Parties Food &amp; Beverages",Table33[[#This Row],[Account Deposit Amount]]-Table33[[#This Row],[Account Withdrawl Amount]], )</f>
        <v>0</v>
      </c>
      <c r="T231" s="243">
        <f>IF(Table33[[#This Row],[Category]]="Service Projects Donation",Table33[[#This Row],[Account Deposit Amount]]-Table33[[#This Row],[Account Withdrawl Amount]], )</f>
        <v>0</v>
      </c>
      <c r="U231" s="243">
        <f>IF(Table33[[#This Row],[Category]]="Cookie Debt",Table33[[#This Row],[Account Deposit Amount]]-Table33[[#This Row],[Account Withdrawl Amount]], )</f>
        <v>0</v>
      </c>
      <c r="V231" s="243">
        <f>IF(Table33[[#This Row],[Category]]="Other Expense",Table33[[#This Row],[Account Deposit Amount]]-Table33[[#This Row],[Account Withdrawl Amount]], )</f>
        <v>0</v>
      </c>
    </row>
    <row r="232" spans="1:22">
      <c r="A232" s="225"/>
      <c r="B232" s="241"/>
      <c r="C232" s="225"/>
      <c r="D232" s="225"/>
      <c r="E232" s="242"/>
      <c r="F232" s="242"/>
      <c r="G232" s="243">
        <f t="shared" si="7"/>
        <v>0</v>
      </c>
      <c r="H232" s="225"/>
      <c r="I232" s="243">
        <f>IF(Table33[[#This Row],[Category]]="Fall Product",Table33[[#This Row],[Account Deposit Amount]]-Table33[[#This Row],[Account Withdrawl Amount]], )</f>
        <v>0</v>
      </c>
      <c r="J232" s="243">
        <f>IF(Table33[[#This Row],[Category]]="Cookies",Table33[[#This Row],[Account Deposit Amount]]-Table33[[#This Row],[Account Withdrawl Amount]], )</f>
        <v>0</v>
      </c>
      <c r="K232" s="243">
        <f>IF(Table33[[#This Row],[Category]]="Additional Money Earning Activities",Table33[[#This Row],[Account Deposit Amount]]-Table33[[#This Row],[Account Withdrawl Amount]], )</f>
        <v>0</v>
      </c>
      <c r="L232" s="243">
        <f>IF(Table33[[#This Row],[Category]]="Sponsorships",Table33[[#This Row],[Account Deposit Amount]]-Table33[[#This Row],[Account Withdrawl Amount]], )</f>
        <v>0</v>
      </c>
      <c r="M232" s="243">
        <f>IF(Table33[[#This Row],[Category]]="Troop Dues",Table33[[#This Row],[Account Deposit Amount]]-Table33[[#This Row],[Account Withdrawl Amount]], )</f>
        <v>0</v>
      </c>
      <c r="N232" s="243">
        <f>IF(Table33[[#This Row],[Category]]="Other Income",Table33[[#This Row],[Account Deposit Amount]]-Table33[[#This Row],[Account Withdrawl Amount]], )</f>
        <v>0</v>
      </c>
      <c r="O232" s="243">
        <f>IF(Table33[[#This Row],[Category]]="Registration",Table33[[#This Row],[Account Deposit Amount]]-Table33[[#This Row],[Account Withdrawl Amount]], )</f>
        <v>0</v>
      </c>
      <c r="P232" s="243">
        <f>IF(Table33[[#This Row],[Category]]="Insignia",Table33[[#This Row],[Account Deposit Amount]]-Table33[[#This Row],[Account Withdrawl Amount]], )</f>
        <v>0</v>
      </c>
      <c r="Q232" s="243">
        <f>IF(Table33[[#This Row],[Category]]="Activities/Program",Table33[[#This Row],[Account Deposit Amount]]-Table33[[#This Row],[Account Withdrawl Amount]], )</f>
        <v>0</v>
      </c>
      <c r="R232" s="243">
        <f>IF(Table33[[#This Row],[Category]]="Travel",Table33[[#This Row],[Account Deposit Amount]]-Table33[[#This Row],[Account Withdrawl Amount]], )</f>
        <v>0</v>
      </c>
      <c r="S232" s="243">
        <f>IF(Table33[[#This Row],[Category]]="Parties Food &amp; Beverages",Table33[[#This Row],[Account Deposit Amount]]-Table33[[#This Row],[Account Withdrawl Amount]], )</f>
        <v>0</v>
      </c>
      <c r="T232" s="243">
        <f>IF(Table33[[#This Row],[Category]]="Service Projects Donation",Table33[[#This Row],[Account Deposit Amount]]-Table33[[#This Row],[Account Withdrawl Amount]], )</f>
        <v>0</v>
      </c>
      <c r="U232" s="243">
        <f>IF(Table33[[#This Row],[Category]]="Cookie Debt",Table33[[#This Row],[Account Deposit Amount]]-Table33[[#This Row],[Account Withdrawl Amount]], )</f>
        <v>0</v>
      </c>
      <c r="V232" s="243">
        <f>IF(Table33[[#This Row],[Category]]="Other Expense",Table33[[#This Row],[Account Deposit Amount]]-Table33[[#This Row],[Account Withdrawl Amount]], )</f>
        <v>0</v>
      </c>
    </row>
    <row r="233" spans="1:22">
      <c r="A233" s="225"/>
      <c r="B233" s="241"/>
      <c r="C233" s="225"/>
      <c r="D233" s="225"/>
      <c r="E233" s="242"/>
      <c r="F233" s="242"/>
      <c r="G233" s="243">
        <f t="shared" si="7"/>
        <v>0</v>
      </c>
      <c r="H233" s="225"/>
      <c r="I233" s="243">
        <f>IF(Table33[[#This Row],[Category]]="Fall Product",Table33[[#This Row],[Account Deposit Amount]]-Table33[[#This Row],[Account Withdrawl Amount]], )</f>
        <v>0</v>
      </c>
      <c r="J233" s="243">
        <f>IF(Table33[[#This Row],[Category]]="Cookies",Table33[[#This Row],[Account Deposit Amount]]-Table33[[#This Row],[Account Withdrawl Amount]], )</f>
        <v>0</v>
      </c>
      <c r="K233" s="243">
        <f>IF(Table33[[#This Row],[Category]]="Additional Money Earning Activities",Table33[[#This Row],[Account Deposit Amount]]-Table33[[#This Row],[Account Withdrawl Amount]], )</f>
        <v>0</v>
      </c>
      <c r="L233" s="243">
        <f>IF(Table33[[#This Row],[Category]]="Sponsorships",Table33[[#This Row],[Account Deposit Amount]]-Table33[[#This Row],[Account Withdrawl Amount]], )</f>
        <v>0</v>
      </c>
      <c r="M233" s="243">
        <f>IF(Table33[[#This Row],[Category]]="Troop Dues",Table33[[#This Row],[Account Deposit Amount]]-Table33[[#This Row],[Account Withdrawl Amount]], )</f>
        <v>0</v>
      </c>
      <c r="N233" s="243">
        <f>IF(Table33[[#This Row],[Category]]="Other Income",Table33[[#This Row],[Account Deposit Amount]]-Table33[[#This Row],[Account Withdrawl Amount]], )</f>
        <v>0</v>
      </c>
      <c r="O233" s="243">
        <f>IF(Table33[[#This Row],[Category]]="Registration",Table33[[#This Row],[Account Deposit Amount]]-Table33[[#This Row],[Account Withdrawl Amount]], )</f>
        <v>0</v>
      </c>
      <c r="P233" s="243">
        <f>IF(Table33[[#This Row],[Category]]="Insignia",Table33[[#This Row],[Account Deposit Amount]]-Table33[[#This Row],[Account Withdrawl Amount]], )</f>
        <v>0</v>
      </c>
      <c r="Q233" s="243">
        <f>IF(Table33[[#This Row],[Category]]="Activities/Program",Table33[[#This Row],[Account Deposit Amount]]-Table33[[#This Row],[Account Withdrawl Amount]], )</f>
        <v>0</v>
      </c>
      <c r="R233" s="243">
        <f>IF(Table33[[#This Row],[Category]]="Travel",Table33[[#This Row],[Account Deposit Amount]]-Table33[[#This Row],[Account Withdrawl Amount]], )</f>
        <v>0</v>
      </c>
      <c r="S233" s="243">
        <f>IF(Table33[[#This Row],[Category]]="Parties Food &amp; Beverages",Table33[[#This Row],[Account Deposit Amount]]-Table33[[#This Row],[Account Withdrawl Amount]], )</f>
        <v>0</v>
      </c>
      <c r="T233" s="243">
        <f>IF(Table33[[#This Row],[Category]]="Service Projects Donation",Table33[[#This Row],[Account Deposit Amount]]-Table33[[#This Row],[Account Withdrawl Amount]], )</f>
        <v>0</v>
      </c>
      <c r="U233" s="243">
        <f>IF(Table33[[#This Row],[Category]]="Cookie Debt",Table33[[#This Row],[Account Deposit Amount]]-Table33[[#This Row],[Account Withdrawl Amount]], )</f>
        <v>0</v>
      </c>
      <c r="V233" s="243">
        <f>IF(Table33[[#This Row],[Category]]="Other Expense",Table33[[#This Row],[Account Deposit Amount]]-Table33[[#This Row],[Account Withdrawl Amount]], )</f>
        <v>0</v>
      </c>
    </row>
    <row r="234" spans="1:22">
      <c r="A234" s="225"/>
      <c r="B234" s="241"/>
      <c r="C234" s="225"/>
      <c r="D234" s="225"/>
      <c r="E234" s="242"/>
      <c r="F234" s="242"/>
      <c r="G234" s="243">
        <f t="shared" si="7"/>
        <v>0</v>
      </c>
      <c r="H234" s="225"/>
      <c r="I234" s="243">
        <f>IF(Table33[[#This Row],[Category]]="Fall Product",Table33[[#This Row],[Account Deposit Amount]]-Table33[[#This Row],[Account Withdrawl Amount]], )</f>
        <v>0</v>
      </c>
      <c r="J234" s="243">
        <f>IF(Table33[[#This Row],[Category]]="Cookies",Table33[[#This Row],[Account Deposit Amount]]-Table33[[#This Row],[Account Withdrawl Amount]], )</f>
        <v>0</v>
      </c>
      <c r="K234" s="243">
        <f>IF(Table33[[#This Row],[Category]]="Additional Money Earning Activities",Table33[[#This Row],[Account Deposit Amount]]-Table33[[#This Row],[Account Withdrawl Amount]], )</f>
        <v>0</v>
      </c>
      <c r="L234" s="243">
        <f>IF(Table33[[#This Row],[Category]]="Sponsorships",Table33[[#This Row],[Account Deposit Amount]]-Table33[[#This Row],[Account Withdrawl Amount]], )</f>
        <v>0</v>
      </c>
      <c r="M234" s="243">
        <f>IF(Table33[[#This Row],[Category]]="Troop Dues",Table33[[#This Row],[Account Deposit Amount]]-Table33[[#This Row],[Account Withdrawl Amount]], )</f>
        <v>0</v>
      </c>
      <c r="N234" s="243">
        <f>IF(Table33[[#This Row],[Category]]="Other Income",Table33[[#This Row],[Account Deposit Amount]]-Table33[[#This Row],[Account Withdrawl Amount]], )</f>
        <v>0</v>
      </c>
      <c r="O234" s="243">
        <f>IF(Table33[[#This Row],[Category]]="Registration",Table33[[#This Row],[Account Deposit Amount]]-Table33[[#This Row],[Account Withdrawl Amount]], )</f>
        <v>0</v>
      </c>
      <c r="P234" s="243">
        <f>IF(Table33[[#This Row],[Category]]="Insignia",Table33[[#This Row],[Account Deposit Amount]]-Table33[[#This Row],[Account Withdrawl Amount]], )</f>
        <v>0</v>
      </c>
      <c r="Q234" s="243">
        <f>IF(Table33[[#This Row],[Category]]="Activities/Program",Table33[[#This Row],[Account Deposit Amount]]-Table33[[#This Row],[Account Withdrawl Amount]], )</f>
        <v>0</v>
      </c>
      <c r="R234" s="243">
        <f>IF(Table33[[#This Row],[Category]]="Travel",Table33[[#This Row],[Account Deposit Amount]]-Table33[[#This Row],[Account Withdrawl Amount]], )</f>
        <v>0</v>
      </c>
      <c r="S234" s="243">
        <f>IF(Table33[[#This Row],[Category]]="Parties Food &amp; Beverages",Table33[[#This Row],[Account Deposit Amount]]-Table33[[#This Row],[Account Withdrawl Amount]], )</f>
        <v>0</v>
      </c>
      <c r="T234" s="243">
        <f>IF(Table33[[#This Row],[Category]]="Service Projects Donation",Table33[[#This Row],[Account Deposit Amount]]-Table33[[#This Row],[Account Withdrawl Amount]], )</f>
        <v>0</v>
      </c>
      <c r="U234" s="243">
        <f>IF(Table33[[#This Row],[Category]]="Cookie Debt",Table33[[#This Row],[Account Deposit Amount]]-Table33[[#This Row],[Account Withdrawl Amount]], )</f>
        <v>0</v>
      </c>
      <c r="V234" s="243">
        <f>IF(Table33[[#This Row],[Category]]="Other Expense",Table33[[#This Row],[Account Deposit Amount]]-Table33[[#This Row],[Account Withdrawl Amount]], )</f>
        <v>0</v>
      </c>
    </row>
    <row r="235" spans="1:22">
      <c r="A235" s="225"/>
      <c r="B235" s="241"/>
      <c r="C235" s="225"/>
      <c r="D235" s="225"/>
      <c r="E235" s="242"/>
      <c r="F235" s="242"/>
      <c r="G235" s="243">
        <f t="shared" si="7"/>
        <v>0</v>
      </c>
      <c r="H235" s="225"/>
      <c r="I235" s="243">
        <f>IF(Table33[[#This Row],[Category]]="Fall Product",Table33[[#This Row],[Account Deposit Amount]]-Table33[[#This Row],[Account Withdrawl Amount]], )</f>
        <v>0</v>
      </c>
      <c r="J235" s="243">
        <f>IF(Table33[[#This Row],[Category]]="Cookies",Table33[[#This Row],[Account Deposit Amount]]-Table33[[#This Row],[Account Withdrawl Amount]], )</f>
        <v>0</v>
      </c>
      <c r="K235" s="243">
        <f>IF(Table33[[#This Row],[Category]]="Additional Money Earning Activities",Table33[[#This Row],[Account Deposit Amount]]-Table33[[#This Row],[Account Withdrawl Amount]], )</f>
        <v>0</v>
      </c>
      <c r="L235" s="243">
        <f>IF(Table33[[#This Row],[Category]]="Sponsorships",Table33[[#This Row],[Account Deposit Amount]]-Table33[[#This Row],[Account Withdrawl Amount]], )</f>
        <v>0</v>
      </c>
      <c r="M235" s="243">
        <f>IF(Table33[[#This Row],[Category]]="Troop Dues",Table33[[#This Row],[Account Deposit Amount]]-Table33[[#This Row],[Account Withdrawl Amount]], )</f>
        <v>0</v>
      </c>
      <c r="N235" s="243">
        <f>IF(Table33[[#This Row],[Category]]="Other Income",Table33[[#This Row],[Account Deposit Amount]]-Table33[[#This Row],[Account Withdrawl Amount]], )</f>
        <v>0</v>
      </c>
      <c r="O235" s="243">
        <f>IF(Table33[[#This Row],[Category]]="Registration",Table33[[#This Row],[Account Deposit Amount]]-Table33[[#This Row],[Account Withdrawl Amount]], )</f>
        <v>0</v>
      </c>
      <c r="P235" s="243">
        <f>IF(Table33[[#This Row],[Category]]="Insignia",Table33[[#This Row],[Account Deposit Amount]]-Table33[[#This Row],[Account Withdrawl Amount]], )</f>
        <v>0</v>
      </c>
      <c r="Q235" s="243">
        <f>IF(Table33[[#This Row],[Category]]="Activities/Program",Table33[[#This Row],[Account Deposit Amount]]-Table33[[#This Row],[Account Withdrawl Amount]], )</f>
        <v>0</v>
      </c>
      <c r="R235" s="243">
        <f>IF(Table33[[#This Row],[Category]]="Travel",Table33[[#This Row],[Account Deposit Amount]]-Table33[[#This Row],[Account Withdrawl Amount]], )</f>
        <v>0</v>
      </c>
      <c r="S235" s="243">
        <f>IF(Table33[[#This Row],[Category]]="Parties Food &amp; Beverages",Table33[[#This Row],[Account Deposit Amount]]-Table33[[#This Row],[Account Withdrawl Amount]], )</f>
        <v>0</v>
      </c>
      <c r="T235" s="243">
        <f>IF(Table33[[#This Row],[Category]]="Service Projects Donation",Table33[[#This Row],[Account Deposit Amount]]-Table33[[#This Row],[Account Withdrawl Amount]], )</f>
        <v>0</v>
      </c>
      <c r="U235" s="243">
        <f>IF(Table33[[#This Row],[Category]]="Cookie Debt",Table33[[#This Row],[Account Deposit Amount]]-Table33[[#This Row],[Account Withdrawl Amount]], )</f>
        <v>0</v>
      </c>
      <c r="V235" s="243">
        <f>IF(Table33[[#This Row],[Category]]="Other Expense",Table33[[#This Row],[Account Deposit Amount]]-Table33[[#This Row],[Account Withdrawl Amount]], )</f>
        <v>0</v>
      </c>
    </row>
    <row r="236" spans="1:22">
      <c r="A236" s="225"/>
      <c r="B236" s="241"/>
      <c r="C236" s="225"/>
      <c r="D236" s="225"/>
      <c r="E236" s="242"/>
      <c r="F236" s="242"/>
      <c r="G236" s="243">
        <f t="shared" si="7"/>
        <v>0</v>
      </c>
      <c r="H236" s="225"/>
      <c r="I236" s="243">
        <f>IF(Table33[[#This Row],[Category]]="Fall Product",Table33[[#This Row],[Account Deposit Amount]]-Table33[[#This Row],[Account Withdrawl Amount]], )</f>
        <v>0</v>
      </c>
      <c r="J236" s="243">
        <f>IF(Table33[[#This Row],[Category]]="Cookies",Table33[[#This Row],[Account Deposit Amount]]-Table33[[#This Row],[Account Withdrawl Amount]], )</f>
        <v>0</v>
      </c>
      <c r="K236" s="243">
        <f>IF(Table33[[#This Row],[Category]]="Additional Money Earning Activities",Table33[[#This Row],[Account Deposit Amount]]-Table33[[#This Row],[Account Withdrawl Amount]], )</f>
        <v>0</v>
      </c>
      <c r="L236" s="243">
        <f>IF(Table33[[#This Row],[Category]]="Sponsorships",Table33[[#This Row],[Account Deposit Amount]]-Table33[[#This Row],[Account Withdrawl Amount]], )</f>
        <v>0</v>
      </c>
      <c r="M236" s="243">
        <f>IF(Table33[[#This Row],[Category]]="Troop Dues",Table33[[#This Row],[Account Deposit Amount]]-Table33[[#This Row],[Account Withdrawl Amount]], )</f>
        <v>0</v>
      </c>
      <c r="N236" s="243">
        <f>IF(Table33[[#This Row],[Category]]="Other Income",Table33[[#This Row],[Account Deposit Amount]]-Table33[[#This Row],[Account Withdrawl Amount]], )</f>
        <v>0</v>
      </c>
      <c r="O236" s="243">
        <f>IF(Table33[[#This Row],[Category]]="Registration",Table33[[#This Row],[Account Deposit Amount]]-Table33[[#This Row],[Account Withdrawl Amount]], )</f>
        <v>0</v>
      </c>
      <c r="P236" s="243">
        <f>IF(Table33[[#This Row],[Category]]="Insignia",Table33[[#This Row],[Account Deposit Amount]]-Table33[[#This Row],[Account Withdrawl Amount]], )</f>
        <v>0</v>
      </c>
      <c r="Q236" s="243">
        <f>IF(Table33[[#This Row],[Category]]="Activities/Program",Table33[[#This Row],[Account Deposit Amount]]-Table33[[#This Row],[Account Withdrawl Amount]], )</f>
        <v>0</v>
      </c>
      <c r="R236" s="243">
        <f>IF(Table33[[#This Row],[Category]]="Travel",Table33[[#This Row],[Account Deposit Amount]]-Table33[[#This Row],[Account Withdrawl Amount]], )</f>
        <v>0</v>
      </c>
      <c r="S236" s="243">
        <f>IF(Table33[[#This Row],[Category]]="Parties Food &amp; Beverages",Table33[[#This Row],[Account Deposit Amount]]-Table33[[#This Row],[Account Withdrawl Amount]], )</f>
        <v>0</v>
      </c>
      <c r="T236" s="243">
        <f>IF(Table33[[#This Row],[Category]]="Service Projects Donation",Table33[[#This Row],[Account Deposit Amount]]-Table33[[#This Row],[Account Withdrawl Amount]], )</f>
        <v>0</v>
      </c>
      <c r="U236" s="243">
        <f>IF(Table33[[#This Row],[Category]]="Cookie Debt",Table33[[#This Row],[Account Deposit Amount]]-Table33[[#This Row],[Account Withdrawl Amount]], )</f>
        <v>0</v>
      </c>
      <c r="V236" s="243">
        <f>IF(Table33[[#This Row],[Category]]="Other Expense",Table33[[#This Row],[Account Deposit Amount]]-Table33[[#This Row],[Account Withdrawl Amount]], )</f>
        <v>0</v>
      </c>
    </row>
    <row r="237" spans="1:22">
      <c r="A237" s="225"/>
      <c r="B237" s="241"/>
      <c r="C237" s="225"/>
      <c r="D237" s="225"/>
      <c r="E237" s="242"/>
      <c r="F237" s="242"/>
      <c r="G237" s="243">
        <f t="shared" si="7"/>
        <v>0</v>
      </c>
      <c r="H237" s="225"/>
      <c r="I237" s="243">
        <f>IF(Table33[[#This Row],[Category]]="Fall Product",Table33[[#This Row],[Account Deposit Amount]]-Table33[[#This Row],[Account Withdrawl Amount]], )</f>
        <v>0</v>
      </c>
      <c r="J237" s="243">
        <f>IF(Table33[[#This Row],[Category]]="Cookies",Table33[[#This Row],[Account Deposit Amount]]-Table33[[#This Row],[Account Withdrawl Amount]], )</f>
        <v>0</v>
      </c>
      <c r="K237" s="243">
        <f>IF(Table33[[#This Row],[Category]]="Additional Money Earning Activities",Table33[[#This Row],[Account Deposit Amount]]-Table33[[#This Row],[Account Withdrawl Amount]], )</f>
        <v>0</v>
      </c>
      <c r="L237" s="243">
        <f>IF(Table33[[#This Row],[Category]]="Sponsorships",Table33[[#This Row],[Account Deposit Amount]]-Table33[[#This Row],[Account Withdrawl Amount]], )</f>
        <v>0</v>
      </c>
      <c r="M237" s="243">
        <f>IF(Table33[[#This Row],[Category]]="Troop Dues",Table33[[#This Row],[Account Deposit Amount]]-Table33[[#This Row],[Account Withdrawl Amount]], )</f>
        <v>0</v>
      </c>
      <c r="N237" s="243">
        <f>IF(Table33[[#This Row],[Category]]="Other Income",Table33[[#This Row],[Account Deposit Amount]]-Table33[[#This Row],[Account Withdrawl Amount]], )</f>
        <v>0</v>
      </c>
      <c r="O237" s="243">
        <f>IF(Table33[[#This Row],[Category]]="Registration",Table33[[#This Row],[Account Deposit Amount]]-Table33[[#This Row],[Account Withdrawl Amount]], )</f>
        <v>0</v>
      </c>
      <c r="P237" s="243">
        <f>IF(Table33[[#This Row],[Category]]="Insignia",Table33[[#This Row],[Account Deposit Amount]]-Table33[[#This Row],[Account Withdrawl Amount]], )</f>
        <v>0</v>
      </c>
      <c r="Q237" s="243">
        <f>IF(Table33[[#This Row],[Category]]="Activities/Program",Table33[[#This Row],[Account Deposit Amount]]-Table33[[#This Row],[Account Withdrawl Amount]], )</f>
        <v>0</v>
      </c>
      <c r="R237" s="243">
        <f>IF(Table33[[#This Row],[Category]]="Travel",Table33[[#This Row],[Account Deposit Amount]]-Table33[[#This Row],[Account Withdrawl Amount]], )</f>
        <v>0</v>
      </c>
      <c r="S237" s="243">
        <f>IF(Table33[[#This Row],[Category]]="Parties Food &amp; Beverages",Table33[[#This Row],[Account Deposit Amount]]-Table33[[#This Row],[Account Withdrawl Amount]], )</f>
        <v>0</v>
      </c>
      <c r="T237" s="243">
        <f>IF(Table33[[#This Row],[Category]]="Service Projects Donation",Table33[[#This Row],[Account Deposit Amount]]-Table33[[#This Row],[Account Withdrawl Amount]], )</f>
        <v>0</v>
      </c>
      <c r="U237" s="243">
        <f>IF(Table33[[#This Row],[Category]]="Cookie Debt",Table33[[#This Row],[Account Deposit Amount]]-Table33[[#This Row],[Account Withdrawl Amount]], )</f>
        <v>0</v>
      </c>
      <c r="V237" s="243">
        <f>IF(Table33[[#This Row],[Category]]="Other Expense",Table33[[#This Row],[Account Deposit Amount]]-Table33[[#This Row],[Account Withdrawl Amount]], )</f>
        <v>0</v>
      </c>
    </row>
    <row r="238" spans="1:22">
      <c r="A238" s="225"/>
      <c r="B238" s="241"/>
      <c r="C238" s="225"/>
      <c r="D238" s="225"/>
      <c r="E238" s="242"/>
      <c r="F238" s="242"/>
      <c r="G238" s="243">
        <f t="shared" si="7"/>
        <v>0</v>
      </c>
      <c r="H238" s="225"/>
      <c r="I238" s="243">
        <f>IF(Table33[[#This Row],[Category]]="Fall Product",Table33[[#This Row],[Account Deposit Amount]]-Table33[[#This Row],[Account Withdrawl Amount]], )</f>
        <v>0</v>
      </c>
      <c r="J238" s="243">
        <f>IF(Table33[[#This Row],[Category]]="Cookies",Table33[[#This Row],[Account Deposit Amount]]-Table33[[#This Row],[Account Withdrawl Amount]], )</f>
        <v>0</v>
      </c>
      <c r="K238" s="243">
        <f>IF(Table33[[#This Row],[Category]]="Additional Money Earning Activities",Table33[[#This Row],[Account Deposit Amount]]-Table33[[#This Row],[Account Withdrawl Amount]], )</f>
        <v>0</v>
      </c>
      <c r="L238" s="243">
        <f>IF(Table33[[#This Row],[Category]]="Sponsorships",Table33[[#This Row],[Account Deposit Amount]]-Table33[[#This Row],[Account Withdrawl Amount]], )</f>
        <v>0</v>
      </c>
      <c r="M238" s="243">
        <f>IF(Table33[[#This Row],[Category]]="Troop Dues",Table33[[#This Row],[Account Deposit Amount]]-Table33[[#This Row],[Account Withdrawl Amount]], )</f>
        <v>0</v>
      </c>
      <c r="N238" s="243">
        <f>IF(Table33[[#This Row],[Category]]="Other Income",Table33[[#This Row],[Account Deposit Amount]]-Table33[[#This Row],[Account Withdrawl Amount]], )</f>
        <v>0</v>
      </c>
      <c r="O238" s="243">
        <f>IF(Table33[[#This Row],[Category]]="Registration",Table33[[#This Row],[Account Deposit Amount]]-Table33[[#This Row],[Account Withdrawl Amount]], )</f>
        <v>0</v>
      </c>
      <c r="P238" s="243">
        <f>IF(Table33[[#This Row],[Category]]="Insignia",Table33[[#This Row],[Account Deposit Amount]]-Table33[[#This Row],[Account Withdrawl Amount]], )</f>
        <v>0</v>
      </c>
      <c r="Q238" s="243">
        <f>IF(Table33[[#This Row],[Category]]="Activities/Program",Table33[[#This Row],[Account Deposit Amount]]-Table33[[#This Row],[Account Withdrawl Amount]], )</f>
        <v>0</v>
      </c>
      <c r="R238" s="243">
        <f>IF(Table33[[#This Row],[Category]]="Travel",Table33[[#This Row],[Account Deposit Amount]]-Table33[[#This Row],[Account Withdrawl Amount]], )</f>
        <v>0</v>
      </c>
      <c r="S238" s="243">
        <f>IF(Table33[[#This Row],[Category]]="Parties Food &amp; Beverages",Table33[[#This Row],[Account Deposit Amount]]-Table33[[#This Row],[Account Withdrawl Amount]], )</f>
        <v>0</v>
      </c>
      <c r="T238" s="243">
        <f>IF(Table33[[#This Row],[Category]]="Service Projects Donation",Table33[[#This Row],[Account Deposit Amount]]-Table33[[#This Row],[Account Withdrawl Amount]], )</f>
        <v>0</v>
      </c>
      <c r="U238" s="243">
        <f>IF(Table33[[#This Row],[Category]]="Cookie Debt",Table33[[#This Row],[Account Deposit Amount]]-Table33[[#This Row],[Account Withdrawl Amount]], )</f>
        <v>0</v>
      </c>
      <c r="V238" s="243">
        <f>IF(Table33[[#This Row],[Category]]="Other Expense",Table33[[#This Row],[Account Deposit Amount]]-Table33[[#This Row],[Account Withdrawl Amount]], )</f>
        <v>0</v>
      </c>
    </row>
    <row r="239" spans="1:22">
      <c r="A239" s="225"/>
      <c r="B239" s="241"/>
      <c r="C239" s="225"/>
      <c r="D239" s="225"/>
      <c r="E239" s="242"/>
      <c r="F239" s="242"/>
      <c r="G239" s="243">
        <f t="shared" si="7"/>
        <v>0</v>
      </c>
      <c r="H239" s="225"/>
      <c r="I239" s="243">
        <f>IF(Table33[[#This Row],[Category]]="Fall Product",Table33[[#This Row],[Account Deposit Amount]]-Table33[[#This Row],[Account Withdrawl Amount]], )</f>
        <v>0</v>
      </c>
      <c r="J239" s="243">
        <f>IF(Table33[[#This Row],[Category]]="Cookies",Table33[[#This Row],[Account Deposit Amount]]-Table33[[#This Row],[Account Withdrawl Amount]], )</f>
        <v>0</v>
      </c>
      <c r="K239" s="243">
        <f>IF(Table33[[#This Row],[Category]]="Additional Money Earning Activities",Table33[[#This Row],[Account Deposit Amount]]-Table33[[#This Row],[Account Withdrawl Amount]], )</f>
        <v>0</v>
      </c>
      <c r="L239" s="243">
        <f>IF(Table33[[#This Row],[Category]]="Sponsorships",Table33[[#This Row],[Account Deposit Amount]]-Table33[[#This Row],[Account Withdrawl Amount]], )</f>
        <v>0</v>
      </c>
      <c r="M239" s="243">
        <f>IF(Table33[[#This Row],[Category]]="Troop Dues",Table33[[#This Row],[Account Deposit Amount]]-Table33[[#This Row],[Account Withdrawl Amount]], )</f>
        <v>0</v>
      </c>
      <c r="N239" s="243">
        <f>IF(Table33[[#This Row],[Category]]="Other Income",Table33[[#This Row],[Account Deposit Amount]]-Table33[[#This Row],[Account Withdrawl Amount]], )</f>
        <v>0</v>
      </c>
      <c r="O239" s="243">
        <f>IF(Table33[[#This Row],[Category]]="Registration",Table33[[#This Row],[Account Deposit Amount]]-Table33[[#This Row],[Account Withdrawl Amount]], )</f>
        <v>0</v>
      </c>
      <c r="P239" s="243">
        <f>IF(Table33[[#This Row],[Category]]="Insignia",Table33[[#This Row],[Account Deposit Amount]]-Table33[[#This Row],[Account Withdrawl Amount]], )</f>
        <v>0</v>
      </c>
      <c r="Q239" s="243">
        <f>IF(Table33[[#This Row],[Category]]="Activities/Program",Table33[[#This Row],[Account Deposit Amount]]-Table33[[#This Row],[Account Withdrawl Amount]], )</f>
        <v>0</v>
      </c>
      <c r="R239" s="243">
        <f>IF(Table33[[#This Row],[Category]]="Travel",Table33[[#This Row],[Account Deposit Amount]]-Table33[[#This Row],[Account Withdrawl Amount]], )</f>
        <v>0</v>
      </c>
      <c r="S239" s="243">
        <f>IF(Table33[[#This Row],[Category]]="Parties Food &amp; Beverages",Table33[[#This Row],[Account Deposit Amount]]-Table33[[#This Row],[Account Withdrawl Amount]], )</f>
        <v>0</v>
      </c>
      <c r="T239" s="243">
        <f>IF(Table33[[#This Row],[Category]]="Service Projects Donation",Table33[[#This Row],[Account Deposit Amount]]-Table33[[#This Row],[Account Withdrawl Amount]], )</f>
        <v>0</v>
      </c>
      <c r="U239" s="243">
        <f>IF(Table33[[#This Row],[Category]]="Cookie Debt",Table33[[#This Row],[Account Deposit Amount]]-Table33[[#This Row],[Account Withdrawl Amount]], )</f>
        <v>0</v>
      </c>
      <c r="V239" s="243">
        <f>IF(Table33[[#This Row],[Category]]="Other Expense",Table33[[#This Row],[Account Deposit Amount]]-Table33[[#This Row],[Account Withdrawl Amount]], )</f>
        <v>0</v>
      </c>
    </row>
    <row r="240" spans="1:22">
      <c r="A240" s="225"/>
      <c r="B240" s="241"/>
      <c r="C240" s="225"/>
      <c r="D240" s="225"/>
      <c r="E240" s="242"/>
      <c r="F240" s="242"/>
      <c r="G240" s="243">
        <f t="shared" si="7"/>
        <v>0</v>
      </c>
      <c r="H240" s="225"/>
      <c r="I240" s="243">
        <f>IF(Table33[[#This Row],[Category]]="Fall Product",Table33[[#This Row],[Account Deposit Amount]]-Table33[[#This Row],[Account Withdrawl Amount]], )</f>
        <v>0</v>
      </c>
      <c r="J240" s="243">
        <f>IF(Table33[[#This Row],[Category]]="Cookies",Table33[[#This Row],[Account Deposit Amount]]-Table33[[#This Row],[Account Withdrawl Amount]], )</f>
        <v>0</v>
      </c>
      <c r="K240" s="243">
        <f>IF(Table33[[#This Row],[Category]]="Additional Money Earning Activities",Table33[[#This Row],[Account Deposit Amount]]-Table33[[#This Row],[Account Withdrawl Amount]], )</f>
        <v>0</v>
      </c>
      <c r="L240" s="243">
        <f>IF(Table33[[#This Row],[Category]]="Sponsorships",Table33[[#This Row],[Account Deposit Amount]]-Table33[[#This Row],[Account Withdrawl Amount]], )</f>
        <v>0</v>
      </c>
      <c r="M240" s="243">
        <f>IF(Table33[[#This Row],[Category]]="Troop Dues",Table33[[#This Row],[Account Deposit Amount]]-Table33[[#This Row],[Account Withdrawl Amount]], )</f>
        <v>0</v>
      </c>
      <c r="N240" s="243">
        <f>IF(Table33[[#This Row],[Category]]="Other Income",Table33[[#This Row],[Account Deposit Amount]]-Table33[[#This Row],[Account Withdrawl Amount]], )</f>
        <v>0</v>
      </c>
      <c r="O240" s="243">
        <f>IF(Table33[[#This Row],[Category]]="Registration",Table33[[#This Row],[Account Deposit Amount]]-Table33[[#This Row],[Account Withdrawl Amount]], )</f>
        <v>0</v>
      </c>
      <c r="P240" s="243">
        <f>IF(Table33[[#This Row],[Category]]="Insignia",Table33[[#This Row],[Account Deposit Amount]]-Table33[[#This Row],[Account Withdrawl Amount]], )</f>
        <v>0</v>
      </c>
      <c r="Q240" s="243">
        <f>IF(Table33[[#This Row],[Category]]="Activities/Program",Table33[[#This Row],[Account Deposit Amount]]-Table33[[#This Row],[Account Withdrawl Amount]], )</f>
        <v>0</v>
      </c>
      <c r="R240" s="243">
        <f>IF(Table33[[#This Row],[Category]]="Travel",Table33[[#This Row],[Account Deposit Amount]]-Table33[[#This Row],[Account Withdrawl Amount]], )</f>
        <v>0</v>
      </c>
      <c r="S240" s="243">
        <f>IF(Table33[[#This Row],[Category]]="Parties Food &amp; Beverages",Table33[[#This Row],[Account Deposit Amount]]-Table33[[#This Row],[Account Withdrawl Amount]], )</f>
        <v>0</v>
      </c>
      <c r="T240" s="243">
        <f>IF(Table33[[#This Row],[Category]]="Service Projects Donation",Table33[[#This Row],[Account Deposit Amount]]-Table33[[#This Row],[Account Withdrawl Amount]], )</f>
        <v>0</v>
      </c>
      <c r="U240" s="243">
        <f>IF(Table33[[#This Row],[Category]]="Cookie Debt",Table33[[#This Row],[Account Deposit Amount]]-Table33[[#This Row],[Account Withdrawl Amount]], )</f>
        <v>0</v>
      </c>
      <c r="V240" s="243">
        <f>IF(Table33[[#This Row],[Category]]="Other Expense",Table33[[#This Row],[Account Deposit Amount]]-Table33[[#This Row],[Account Withdrawl Amount]], )</f>
        <v>0</v>
      </c>
    </row>
    <row r="241" spans="1:22">
      <c r="A241" s="225"/>
      <c r="B241" s="241"/>
      <c r="C241" s="225"/>
      <c r="D241" s="225"/>
      <c r="E241" s="242"/>
      <c r="F241" s="242"/>
      <c r="G241" s="243">
        <f t="shared" si="7"/>
        <v>0</v>
      </c>
      <c r="H241" s="225"/>
      <c r="I241" s="243">
        <f>IF(Table33[[#This Row],[Category]]="Fall Product",Table33[[#This Row],[Account Deposit Amount]]-Table33[[#This Row],[Account Withdrawl Amount]], )</f>
        <v>0</v>
      </c>
      <c r="J241" s="243">
        <f>IF(Table33[[#This Row],[Category]]="Cookies",Table33[[#This Row],[Account Deposit Amount]]-Table33[[#This Row],[Account Withdrawl Amount]], )</f>
        <v>0</v>
      </c>
      <c r="K241" s="243">
        <f>IF(Table33[[#This Row],[Category]]="Additional Money Earning Activities",Table33[[#This Row],[Account Deposit Amount]]-Table33[[#This Row],[Account Withdrawl Amount]], )</f>
        <v>0</v>
      </c>
      <c r="L241" s="243">
        <f>IF(Table33[[#This Row],[Category]]="Sponsorships",Table33[[#This Row],[Account Deposit Amount]]-Table33[[#This Row],[Account Withdrawl Amount]], )</f>
        <v>0</v>
      </c>
      <c r="M241" s="243">
        <f>IF(Table33[[#This Row],[Category]]="Troop Dues",Table33[[#This Row],[Account Deposit Amount]]-Table33[[#This Row],[Account Withdrawl Amount]], )</f>
        <v>0</v>
      </c>
      <c r="N241" s="243">
        <f>IF(Table33[[#This Row],[Category]]="Other Income",Table33[[#This Row],[Account Deposit Amount]]-Table33[[#This Row],[Account Withdrawl Amount]], )</f>
        <v>0</v>
      </c>
      <c r="O241" s="243">
        <f>IF(Table33[[#This Row],[Category]]="Registration",Table33[[#This Row],[Account Deposit Amount]]-Table33[[#This Row],[Account Withdrawl Amount]], )</f>
        <v>0</v>
      </c>
      <c r="P241" s="243">
        <f>IF(Table33[[#This Row],[Category]]="Insignia",Table33[[#This Row],[Account Deposit Amount]]-Table33[[#This Row],[Account Withdrawl Amount]], )</f>
        <v>0</v>
      </c>
      <c r="Q241" s="243">
        <f>IF(Table33[[#This Row],[Category]]="Activities/Program",Table33[[#This Row],[Account Deposit Amount]]-Table33[[#This Row],[Account Withdrawl Amount]], )</f>
        <v>0</v>
      </c>
      <c r="R241" s="243">
        <f>IF(Table33[[#This Row],[Category]]="Travel",Table33[[#This Row],[Account Deposit Amount]]-Table33[[#This Row],[Account Withdrawl Amount]], )</f>
        <v>0</v>
      </c>
      <c r="S241" s="243">
        <f>IF(Table33[[#This Row],[Category]]="Parties Food &amp; Beverages",Table33[[#This Row],[Account Deposit Amount]]-Table33[[#This Row],[Account Withdrawl Amount]], )</f>
        <v>0</v>
      </c>
      <c r="T241" s="243">
        <f>IF(Table33[[#This Row],[Category]]="Service Projects Donation",Table33[[#This Row],[Account Deposit Amount]]-Table33[[#This Row],[Account Withdrawl Amount]], )</f>
        <v>0</v>
      </c>
      <c r="U241" s="243">
        <f>IF(Table33[[#This Row],[Category]]="Cookie Debt",Table33[[#This Row],[Account Deposit Amount]]-Table33[[#This Row],[Account Withdrawl Amount]], )</f>
        <v>0</v>
      </c>
      <c r="V241" s="243">
        <f>IF(Table33[[#This Row],[Category]]="Other Expense",Table33[[#This Row],[Account Deposit Amount]]-Table33[[#This Row],[Account Withdrawl Amount]], )</f>
        <v>0</v>
      </c>
    </row>
    <row r="242" spans="1:22">
      <c r="A242" s="225"/>
      <c r="B242" s="241"/>
      <c r="C242" s="225"/>
      <c r="D242" s="225"/>
      <c r="E242" s="242"/>
      <c r="F242" s="242"/>
      <c r="G242" s="243">
        <f t="shared" si="7"/>
        <v>0</v>
      </c>
      <c r="H242" s="225"/>
      <c r="I242" s="243">
        <f>IF(Table33[[#This Row],[Category]]="Fall Product",Table33[[#This Row],[Account Deposit Amount]]-Table33[[#This Row],[Account Withdrawl Amount]], )</f>
        <v>0</v>
      </c>
      <c r="J242" s="243">
        <f>IF(Table33[[#This Row],[Category]]="Cookies",Table33[[#This Row],[Account Deposit Amount]]-Table33[[#This Row],[Account Withdrawl Amount]], )</f>
        <v>0</v>
      </c>
      <c r="K242" s="243">
        <f>IF(Table33[[#This Row],[Category]]="Additional Money Earning Activities",Table33[[#This Row],[Account Deposit Amount]]-Table33[[#This Row],[Account Withdrawl Amount]], )</f>
        <v>0</v>
      </c>
      <c r="L242" s="243">
        <f>IF(Table33[[#This Row],[Category]]="Sponsorships",Table33[[#This Row],[Account Deposit Amount]]-Table33[[#This Row],[Account Withdrawl Amount]], )</f>
        <v>0</v>
      </c>
      <c r="M242" s="243">
        <f>IF(Table33[[#This Row],[Category]]="Troop Dues",Table33[[#This Row],[Account Deposit Amount]]-Table33[[#This Row],[Account Withdrawl Amount]], )</f>
        <v>0</v>
      </c>
      <c r="N242" s="243">
        <f>IF(Table33[[#This Row],[Category]]="Other Income",Table33[[#This Row],[Account Deposit Amount]]-Table33[[#This Row],[Account Withdrawl Amount]], )</f>
        <v>0</v>
      </c>
      <c r="O242" s="243">
        <f>IF(Table33[[#This Row],[Category]]="Registration",Table33[[#This Row],[Account Deposit Amount]]-Table33[[#This Row],[Account Withdrawl Amount]], )</f>
        <v>0</v>
      </c>
      <c r="P242" s="243">
        <f>IF(Table33[[#This Row],[Category]]="Insignia",Table33[[#This Row],[Account Deposit Amount]]-Table33[[#This Row],[Account Withdrawl Amount]], )</f>
        <v>0</v>
      </c>
      <c r="Q242" s="243">
        <f>IF(Table33[[#This Row],[Category]]="Activities/Program",Table33[[#This Row],[Account Deposit Amount]]-Table33[[#This Row],[Account Withdrawl Amount]], )</f>
        <v>0</v>
      </c>
      <c r="R242" s="243">
        <f>IF(Table33[[#This Row],[Category]]="Travel",Table33[[#This Row],[Account Deposit Amount]]-Table33[[#This Row],[Account Withdrawl Amount]], )</f>
        <v>0</v>
      </c>
      <c r="S242" s="243">
        <f>IF(Table33[[#This Row],[Category]]="Parties Food &amp; Beverages",Table33[[#This Row],[Account Deposit Amount]]-Table33[[#This Row],[Account Withdrawl Amount]], )</f>
        <v>0</v>
      </c>
      <c r="T242" s="243">
        <f>IF(Table33[[#This Row],[Category]]="Service Projects Donation",Table33[[#This Row],[Account Deposit Amount]]-Table33[[#This Row],[Account Withdrawl Amount]], )</f>
        <v>0</v>
      </c>
      <c r="U242" s="243">
        <f>IF(Table33[[#This Row],[Category]]="Cookie Debt",Table33[[#This Row],[Account Deposit Amount]]-Table33[[#This Row],[Account Withdrawl Amount]], )</f>
        <v>0</v>
      </c>
      <c r="V242" s="243">
        <f>IF(Table33[[#This Row],[Category]]="Other Expense",Table33[[#This Row],[Account Deposit Amount]]-Table33[[#This Row],[Account Withdrawl Amount]], )</f>
        <v>0</v>
      </c>
    </row>
    <row r="243" spans="1:22">
      <c r="A243" s="225"/>
      <c r="B243" s="241"/>
      <c r="C243" s="225"/>
      <c r="D243" s="225"/>
      <c r="E243" s="242"/>
      <c r="F243" s="242"/>
      <c r="G243" s="243">
        <f t="shared" si="7"/>
        <v>0</v>
      </c>
      <c r="H243" s="225"/>
      <c r="I243" s="243">
        <f>IF(Table33[[#This Row],[Category]]="Fall Product",Table33[[#This Row],[Account Deposit Amount]]-Table33[[#This Row],[Account Withdrawl Amount]], )</f>
        <v>0</v>
      </c>
      <c r="J243" s="243">
        <f>IF(Table33[[#This Row],[Category]]="Cookies",Table33[[#This Row],[Account Deposit Amount]]-Table33[[#This Row],[Account Withdrawl Amount]], )</f>
        <v>0</v>
      </c>
      <c r="K243" s="243">
        <f>IF(Table33[[#This Row],[Category]]="Additional Money Earning Activities",Table33[[#This Row],[Account Deposit Amount]]-Table33[[#This Row],[Account Withdrawl Amount]], )</f>
        <v>0</v>
      </c>
      <c r="L243" s="243">
        <f>IF(Table33[[#This Row],[Category]]="Sponsorships",Table33[[#This Row],[Account Deposit Amount]]-Table33[[#This Row],[Account Withdrawl Amount]], )</f>
        <v>0</v>
      </c>
      <c r="M243" s="243">
        <f>IF(Table33[[#This Row],[Category]]="Troop Dues",Table33[[#This Row],[Account Deposit Amount]]-Table33[[#This Row],[Account Withdrawl Amount]], )</f>
        <v>0</v>
      </c>
      <c r="N243" s="243">
        <f>IF(Table33[[#This Row],[Category]]="Other Income",Table33[[#This Row],[Account Deposit Amount]]-Table33[[#This Row],[Account Withdrawl Amount]], )</f>
        <v>0</v>
      </c>
      <c r="O243" s="243">
        <f>IF(Table33[[#This Row],[Category]]="Registration",Table33[[#This Row],[Account Deposit Amount]]-Table33[[#This Row],[Account Withdrawl Amount]], )</f>
        <v>0</v>
      </c>
      <c r="P243" s="243">
        <f>IF(Table33[[#This Row],[Category]]="Insignia",Table33[[#This Row],[Account Deposit Amount]]-Table33[[#This Row],[Account Withdrawl Amount]], )</f>
        <v>0</v>
      </c>
      <c r="Q243" s="243">
        <f>IF(Table33[[#This Row],[Category]]="Activities/Program",Table33[[#This Row],[Account Deposit Amount]]-Table33[[#This Row],[Account Withdrawl Amount]], )</f>
        <v>0</v>
      </c>
      <c r="R243" s="243">
        <f>IF(Table33[[#This Row],[Category]]="Travel",Table33[[#This Row],[Account Deposit Amount]]-Table33[[#This Row],[Account Withdrawl Amount]], )</f>
        <v>0</v>
      </c>
      <c r="S243" s="243">
        <f>IF(Table33[[#This Row],[Category]]="Parties Food &amp; Beverages",Table33[[#This Row],[Account Deposit Amount]]-Table33[[#This Row],[Account Withdrawl Amount]], )</f>
        <v>0</v>
      </c>
      <c r="T243" s="243">
        <f>IF(Table33[[#This Row],[Category]]="Service Projects Donation",Table33[[#This Row],[Account Deposit Amount]]-Table33[[#This Row],[Account Withdrawl Amount]], )</f>
        <v>0</v>
      </c>
      <c r="U243" s="243">
        <f>IF(Table33[[#This Row],[Category]]="Cookie Debt",Table33[[#This Row],[Account Deposit Amount]]-Table33[[#This Row],[Account Withdrawl Amount]], )</f>
        <v>0</v>
      </c>
      <c r="V243" s="243">
        <f>IF(Table33[[#This Row],[Category]]="Other Expense",Table33[[#This Row],[Account Deposit Amount]]-Table33[[#This Row],[Account Withdrawl Amount]], )</f>
        <v>0</v>
      </c>
    </row>
    <row r="244" spans="1:22">
      <c r="A244" s="225"/>
      <c r="B244" s="241"/>
      <c r="C244" s="225"/>
      <c r="D244" s="225"/>
      <c r="E244" s="242"/>
      <c r="F244" s="242"/>
      <c r="G244" s="243">
        <f t="shared" si="7"/>
        <v>0</v>
      </c>
      <c r="H244" s="225"/>
      <c r="I244" s="243">
        <f>IF(Table33[[#This Row],[Category]]="Fall Product",Table33[[#This Row],[Account Deposit Amount]]-Table33[[#This Row],[Account Withdrawl Amount]], )</f>
        <v>0</v>
      </c>
      <c r="J244" s="243">
        <f>IF(Table33[[#This Row],[Category]]="Cookies",Table33[[#This Row],[Account Deposit Amount]]-Table33[[#This Row],[Account Withdrawl Amount]], )</f>
        <v>0</v>
      </c>
      <c r="K244" s="243">
        <f>IF(Table33[[#This Row],[Category]]="Additional Money Earning Activities",Table33[[#This Row],[Account Deposit Amount]]-Table33[[#This Row],[Account Withdrawl Amount]], )</f>
        <v>0</v>
      </c>
      <c r="L244" s="243">
        <f>IF(Table33[[#This Row],[Category]]="Sponsorships",Table33[[#This Row],[Account Deposit Amount]]-Table33[[#This Row],[Account Withdrawl Amount]], )</f>
        <v>0</v>
      </c>
      <c r="M244" s="243">
        <f>IF(Table33[[#This Row],[Category]]="Troop Dues",Table33[[#This Row],[Account Deposit Amount]]-Table33[[#This Row],[Account Withdrawl Amount]], )</f>
        <v>0</v>
      </c>
      <c r="N244" s="243">
        <f>IF(Table33[[#This Row],[Category]]="Other Income",Table33[[#This Row],[Account Deposit Amount]]-Table33[[#This Row],[Account Withdrawl Amount]], )</f>
        <v>0</v>
      </c>
      <c r="O244" s="243">
        <f>IF(Table33[[#This Row],[Category]]="Registration",Table33[[#This Row],[Account Deposit Amount]]-Table33[[#This Row],[Account Withdrawl Amount]], )</f>
        <v>0</v>
      </c>
      <c r="P244" s="243">
        <f>IF(Table33[[#This Row],[Category]]="Insignia",Table33[[#This Row],[Account Deposit Amount]]-Table33[[#This Row],[Account Withdrawl Amount]], )</f>
        <v>0</v>
      </c>
      <c r="Q244" s="243">
        <f>IF(Table33[[#This Row],[Category]]="Activities/Program",Table33[[#This Row],[Account Deposit Amount]]-Table33[[#This Row],[Account Withdrawl Amount]], )</f>
        <v>0</v>
      </c>
      <c r="R244" s="243">
        <f>IF(Table33[[#This Row],[Category]]="Travel",Table33[[#This Row],[Account Deposit Amount]]-Table33[[#This Row],[Account Withdrawl Amount]], )</f>
        <v>0</v>
      </c>
      <c r="S244" s="243">
        <f>IF(Table33[[#This Row],[Category]]="Parties Food &amp; Beverages",Table33[[#This Row],[Account Deposit Amount]]-Table33[[#This Row],[Account Withdrawl Amount]], )</f>
        <v>0</v>
      </c>
      <c r="T244" s="243">
        <f>IF(Table33[[#This Row],[Category]]="Service Projects Donation",Table33[[#This Row],[Account Deposit Amount]]-Table33[[#This Row],[Account Withdrawl Amount]], )</f>
        <v>0</v>
      </c>
      <c r="U244" s="243">
        <f>IF(Table33[[#This Row],[Category]]="Cookie Debt",Table33[[#This Row],[Account Deposit Amount]]-Table33[[#This Row],[Account Withdrawl Amount]], )</f>
        <v>0</v>
      </c>
      <c r="V244" s="243">
        <f>IF(Table33[[#This Row],[Category]]="Other Expense",Table33[[#This Row],[Account Deposit Amount]]-Table33[[#This Row],[Account Withdrawl Amount]], )</f>
        <v>0</v>
      </c>
    </row>
    <row r="245" spans="1:22">
      <c r="A245" s="225"/>
      <c r="B245" s="241"/>
      <c r="C245" s="225"/>
      <c r="D245" s="225"/>
      <c r="E245" s="242"/>
      <c r="F245" s="242"/>
      <c r="G245" s="243">
        <f t="shared" si="7"/>
        <v>0</v>
      </c>
      <c r="H245" s="225"/>
      <c r="I245" s="243">
        <f>IF(Table33[[#This Row],[Category]]="Fall Product",Table33[[#This Row],[Account Deposit Amount]]-Table33[[#This Row],[Account Withdrawl Amount]], )</f>
        <v>0</v>
      </c>
      <c r="J245" s="243">
        <f>IF(Table33[[#This Row],[Category]]="Cookies",Table33[[#This Row],[Account Deposit Amount]]-Table33[[#This Row],[Account Withdrawl Amount]], )</f>
        <v>0</v>
      </c>
      <c r="K245" s="243">
        <f>IF(Table33[[#This Row],[Category]]="Additional Money Earning Activities",Table33[[#This Row],[Account Deposit Amount]]-Table33[[#This Row],[Account Withdrawl Amount]], )</f>
        <v>0</v>
      </c>
      <c r="L245" s="243">
        <f>IF(Table33[[#This Row],[Category]]="Sponsorships",Table33[[#This Row],[Account Deposit Amount]]-Table33[[#This Row],[Account Withdrawl Amount]], )</f>
        <v>0</v>
      </c>
      <c r="M245" s="243">
        <f>IF(Table33[[#This Row],[Category]]="Troop Dues",Table33[[#This Row],[Account Deposit Amount]]-Table33[[#This Row],[Account Withdrawl Amount]], )</f>
        <v>0</v>
      </c>
      <c r="N245" s="243">
        <f>IF(Table33[[#This Row],[Category]]="Other Income",Table33[[#This Row],[Account Deposit Amount]]-Table33[[#This Row],[Account Withdrawl Amount]], )</f>
        <v>0</v>
      </c>
      <c r="O245" s="243">
        <f>IF(Table33[[#This Row],[Category]]="Registration",Table33[[#This Row],[Account Deposit Amount]]-Table33[[#This Row],[Account Withdrawl Amount]], )</f>
        <v>0</v>
      </c>
      <c r="P245" s="243">
        <f>IF(Table33[[#This Row],[Category]]="Insignia",Table33[[#This Row],[Account Deposit Amount]]-Table33[[#This Row],[Account Withdrawl Amount]], )</f>
        <v>0</v>
      </c>
      <c r="Q245" s="243">
        <f>IF(Table33[[#This Row],[Category]]="Activities/Program",Table33[[#This Row],[Account Deposit Amount]]-Table33[[#This Row],[Account Withdrawl Amount]], )</f>
        <v>0</v>
      </c>
      <c r="R245" s="243">
        <f>IF(Table33[[#This Row],[Category]]="Travel",Table33[[#This Row],[Account Deposit Amount]]-Table33[[#This Row],[Account Withdrawl Amount]], )</f>
        <v>0</v>
      </c>
      <c r="S245" s="243">
        <f>IF(Table33[[#This Row],[Category]]="Parties Food &amp; Beverages",Table33[[#This Row],[Account Deposit Amount]]-Table33[[#This Row],[Account Withdrawl Amount]], )</f>
        <v>0</v>
      </c>
      <c r="T245" s="243">
        <f>IF(Table33[[#This Row],[Category]]="Service Projects Donation",Table33[[#This Row],[Account Deposit Amount]]-Table33[[#This Row],[Account Withdrawl Amount]], )</f>
        <v>0</v>
      </c>
      <c r="U245" s="243">
        <f>IF(Table33[[#This Row],[Category]]="Cookie Debt",Table33[[#This Row],[Account Deposit Amount]]-Table33[[#This Row],[Account Withdrawl Amount]], )</f>
        <v>0</v>
      </c>
      <c r="V245" s="243">
        <f>IF(Table33[[#This Row],[Category]]="Other Expense",Table33[[#This Row],[Account Deposit Amount]]-Table33[[#This Row],[Account Withdrawl Amount]], )</f>
        <v>0</v>
      </c>
    </row>
    <row r="246" spans="1:22">
      <c r="A246" s="225"/>
      <c r="B246" s="241"/>
      <c r="C246" s="225"/>
      <c r="D246" s="225"/>
      <c r="E246" s="242"/>
      <c r="F246" s="242"/>
      <c r="G246" s="243">
        <f t="shared" si="7"/>
        <v>0</v>
      </c>
      <c r="H246" s="225"/>
      <c r="I246" s="243">
        <f>IF(Table33[[#This Row],[Category]]="Fall Product",Table33[[#This Row],[Account Deposit Amount]]-Table33[[#This Row],[Account Withdrawl Amount]], )</f>
        <v>0</v>
      </c>
      <c r="J246" s="243">
        <f>IF(Table33[[#This Row],[Category]]="Cookies",Table33[[#This Row],[Account Deposit Amount]]-Table33[[#This Row],[Account Withdrawl Amount]], )</f>
        <v>0</v>
      </c>
      <c r="K246" s="243">
        <f>IF(Table33[[#This Row],[Category]]="Additional Money Earning Activities",Table33[[#This Row],[Account Deposit Amount]]-Table33[[#This Row],[Account Withdrawl Amount]], )</f>
        <v>0</v>
      </c>
      <c r="L246" s="243">
        <f>IF(Table33[[#This Row],[Category]]="Sponsorships",Table33[[#This Row],[Account Deposit Amount]]-Table33[[#This Row],[Account Withdrawl Amount]], )</f>
        <v>0</v>
      </c>
      <c r="M246" s="243">
        <f>IF(Table33[[#This Row],[Category]]="Troop Dues",Table33[[#This Row],[Account Deposit Amount]]-Table33[[#This Row],[Account Withdrawl Amount]], )</f>
        <v>0</v>
      </c>
      <c r="N246" s="243">
        <f>IF(Table33[[#This Row],[Category]]="Other Income",Table33[[#This Row],[Account Deposit Amount]]-Table33[[#This Row],[Account Withdrawl Amount]], )</f>
        <v>0</v>
      </c>
      <c r="O246" s="243">
        <f>IF(Table33[[#This Row],[Category]]="Registration",Table33[[#This Row],[Account Deposit Amount]]-Table33[[#This Row],[Account Withdrawl Amount]], )</f>
        <v>0</v>
      </c>
      <c r="P246" s="243">
        <f>IF(Table33[[#This Row],[Category]]="Insignia",Table33[[#This Row],[Account Deposit Amount]]-Table33[[#This Row],[Account Withdrawl Amount]], )</f>
        <v>0</v>
      </c>
      <c r="Q246" s="243">
        <f>IF(Table33[[#This Row],[Category]]="Activities/Program",Table33[[#This Row],[Account Deposit Amount]]-Table33[[#This Row],[Account Withdrawl Amount]], )</f>
        <v>0</v>
      </c>
      <c r="R246" s="243">
        <f>IF(Table33[[#This Row],[Category]]="Travel",Table33[[#This Row],[Account Deposit Amount]]-Table33[[#This Row],[Account Withdrawl Amount]], )</f>
        <v>0</v>
      </c>
      <c r="S246" s="243">
        <f>IF(Table33[[#This Row],[Category]]="Parties Food &amp; Beverages",Table33[[#This Row],[Account Deposit Amount]]-Table33[[#This Row],[Account Withdrawl Amount]], )</f>
        <v>0</v>
      </c>
      <c r="T246" s="243">
        <f>IF(Table33[[#This Row],[Category]]="Service Projects Donation",Table33[[#This Row],[Account Deposit Amount]]-Table33[[#This Row],[Account Withdrawl Amount]], )</f>
        <v>0</v>
      </c>
      <c r="U246" s="243">
        <f>IF(Table33[[#This Row],[Category]]="Cookie Debt",Table33[[#This Row],[Account Deposit Amount]]-Table33[[#This Row],[Account Withdrawl Amount]], )</f>
        <v>0</v>
      </c>
      <c r="V246" s="243">
        <f>IF(Table33[[#This Row],[Category]]="Other Expense",Table33[[#This Row],[Account Deposit Amount]]-Table33[[#This Row],[Account Withdrawl Amount]], )</f>
        <v>0</v>
      </c>
    </row>
    <row r="247" spans="1:22">
      <c r="A247" s="225"/>
      <c r="B247" s="241"/>
      <c r="C247" s="225"/>
      <c r="D247" s="225"/>
      <c r="E247" s="242"/>
      <c r="F247" s="242"/>
      <c r="G247" s="243">
        <f t="shared" si="7"/>
        <v>0</v>
      </c>
      <c r="H247" s="225"/>
      <c r="I247" s="243">
        <f>IF(Table33[[#This Row],[Category]]="Fall Product",Table33[[#This Row],[Account Deposit Amount]]-Table33[[#This Row],[Account Withdrawl Amount]], )</f>
        <v>0</v>
      </c>
      <c r="J247" s="243">
        <f>IF(Table33[[#This Row],[Category]]="Cookies",Table33[[#This Row],[Account Deposit Amount]]-Table33[[#This Row],[Account Withdrawl Amount]], )</f>
        <v>0</v>
      </c>
      <c r="K247" s="243">
        <f>IF(Table33[[#This Row],[Category]]="Additional Money Earning Activities",Table33[[#This Row],[Account Deposit Amount]]-Table33[[#This Row],[Account Withdrawl Amount]], )</f>
        <v>0</v>
      </c>
      <c r="L247" s="243">
        <f>IF(Table33[[#This Row],[Category]]="Sponsorships",Table33[[#This Row],[Account Deposit Amount]]-Table33[[#This Row],[Account Withdrawl Amount]], )</f>
        <v>0</v>
      </c>
      <c r="M247" s="243">
        <f>IF(Table33[[#This Row],[Category]]="Troop Dues",Table33[[#This Row],[Account Deposit Amount]]-Table33[[#This Row],[Account Withdrawl Amount]], )</f>
        <v>0</v>
      </c>
      <c r="N247" s="243">
        <f>IF(Table33[[#This Row],[Category]]="Other Income",Table33[[#This Row],[Account Deposit Amount]]-Table33[[#This Row],[Account Withdrawl Amount]], )</f>
        <v>0</v>
      </c>
      <c r="O247" s="243">
        <f>IF(Table33[[#This Row],[Category]]="Registration",Table33[[#This Row],[Account Deposit Amount]]-Table33[[#This Row],[Account Withdrawl Amount]], )</f>
        <v>0</v>
      </c>
      <c r="P247" s="243">
        <f>IF(Table33[[#This Row],[Category]]="Insignia",Table33[[#This Row],[Account Deposit Amount]]-Table33[[#This Row],[Account Withdrawl Amount]], )</f>
        <v>0</v>
      </c>
      <c r="Q247" s="243">
        <f>IF(Table33[[#This Row],[Category]]="Activities/Program",Table33[[#This Row],[Account Deposit Amount]]-Table33[[#This Row],[Account Withdrawl Amount]], )</f>
        <v>0</v>
      </c>
      <c r="R247" s="243">
        <f>IF(Table33[[#This Row],[Category]]="Travel",Table33[[#This Row],[Account Deposit Amount]]-Table33[[#This Row],[Account Withdrawl Amount]], )</f>
        <v>0</v>
      </c>
      <c r="S247" s="243">
        <f>IF(Table33[[#This Row],[Category]]="Parties Food &amp; Beverages",Table33[[#This Row],[Account Deposit Amount]]-Table33[[#This Row],[Account Withdrawl Amount]], )</f>
        <v>0</v>
      </c>
      <c r="T247" s="243">
        <f>IF(Table33[[#This Row],[Category]]="Service Projects Donation",Table33[[#This Row],[Account Deposit Amount]]-Table33[[#This Row],[Account Withdrawl Amount]], )</f>
        <v>0</v>
      </c>
      <c r="U247" s="243">
        <f>IF(Table33[[#This Row],[Category]]="Cookie Debt",Table33[[#This Row],[Account Deposit Amount]]-Table33[[#This Row],[Account Withdrawl Amount]], )</f>
        <v>0</v>
      </c>
      <c r="V247" s="243">
        <f>IF(Table33[[#This Row],[Category]]="Other Expense",Table33[[#This Row],[Account Deposit Amount]]-Table33[[#This Row],[Account Withdrawl Amount]], )</f>
        <v>0</v>
      </c>
    </row>
    <row r="248" spans="1:22">
      <c r="A248" s="225"/>
      <c r="B248" s="241"/>
      <c r="C248" s="225"/>
      <c r="D248" s="225"/>
      <c r="E248" s="242"/>
      <c r="F248" s="242"/>
      <c r="G248" s="243">
        <f t="shared" si="7"/>
        <v>0</v>
      </c>
      <c r="H248" s="225"/>
      <c r="I248" s="243">
        <f>IF(Table33[[#This Row],[Category]]="Fall Product",Table33[[#This Row],[Account Deposit Amount]]-Table33[[#This Row],[Account Withdrawl Amount]], )</f>
        <v>0</v>
      </c>
      <c r="J248" s="243">
        <f>IF(Table33[[#This Row],[Category]]="Cookies",Table33[[#This Row],[Account Deposit Amount]]-Table33[[#This Row],[Account Withdrawl Amount]], )</f>
        <v>0</v>
      </c>
      <c r="K248" s="243">
        <f>IF(Table33[[#This Row],[Category]]="Additional Money Earning Activities",Table33[[#This Row],[Account Deposit Amount]]-Table33[[#This Row],[Account Withdrawl Amount]], )</f>
        <v>0</v>
      </c>
      <c r="L248" s="243">
        <f>IF(Table33[[#This Row],[Category]]="Sponsorships",Table33[[#This Row],[Account Deposit Amount]]-Table33[[#This Row],[Account Withdrawl Amount]], )</f>
        <v>0</v>
      </c>
      <c r="M248" s="243">
        <f>IF(Table33[[#This Row],[Category]]="Troop Dues",Table33[[#This Row],[Account Deposit Amount]]-Table33[[#This Row],[Account Withdrawl Amount]], )</f>
        <v>0</v>
      </c>
      <c r="N248" s="243">
        <f>IF(Table33[[#This Row],[Category]]="Other Income",Table33[[#This Row],[Account Deposit Amount]]-Table33[[#This Row],[Account Withdrawl Amount]], )</f>
        <v>0</v>
      </c>
      <c r="O248" s="243">
        <f>IF(Table33[[#This Row],[Category]]="Registration",Table33[[#This Row],[Account Deposit Amount]]-Table33[[#This Row],[Account Withdrawl Amount]], )</f>
        <v>0</v>
      </c>
      <c r="P248" s="243">
        <f>IF(Table33[[#This Row],[Category]]="Insignia",Table33[[#This Row],[Account Deposit Amount]]-Table33[[#This Row],[Account Withdrawl Amount]], )</f>
        <v>0</v>
      </c>
      <c r="Q248" s="243">
        <f>IF(Table33[[#This Row],[Category]]="Activities/Program",Table33[[#This Row],[Account Deposit Amount]]-Table33[[#This Row],[Account Withdrawl Amount]], )</f>
        <v>0</v>
      </c>
      <c r="R248" s="243">
        <f>IF(Table33[[#This Row],[Category]]="Travel",Table33[[#This Row],[Account Deposit Amount]]-Table33[[#This Row],[Account Withdrawl Amount]], )</f>
        <v>0</v>
      </c>
      <c r="S248" s="243">
        <f>IF(Table33[[#This Row],[Category]]="Parties Food &amp; Beverages",Table33[[#This Row],[Account Deposit Amount]]-Table33[[#This Row],[Account Withdrawl Amount]], )</f>
        <v>0</v>
      </c>
      <c r="T248" s="243">
        <f>IF(Table33[[#This Row],[Category]]="Service Projects Donation",Table33[[#This Row],[Account Deposit Amount]]-Table33[[#This Row],[Account Withdrawl Amount]], )</f>
        <v>0</v>
      </c>
      <c r="U248" s="243">
        <f>IF(Table33[[#This Row],[Category]]="Cookie Debt",Table33[[#This Row],[Account Deposit Amount]]-Table33[[#This Row],[Account Withdrawl Amount]], )</f>
        <v>0</v>
      </c>
      <c r="V248" s="243">
        <f>IF(Table33[[#This Row],[Category]]="Other Expense",Table33[[#This Row],[Account Deposit Amount]]-Table33[[#This Row],[Account Withdrawl Amount]], )</f>
        <v>0</v>
      </c>
    </row>
    <row r="249" spans="1:22">
      <c r="A249" s="225"/>
      <c r="B249" s="241"/>
      <c r="C249" s="225"/>
      <c r="D249" s="225"/>
      <c r="E249" s="242"/>
      <c r="F249" s="242"/>
      <c r="G249" s="243">
        <f t="shared" si="7"/>
        <v>0</v>
      </c>
      <c r="H249" s="225"/>
      <c r="I249" s="243">
        <f>IF(Table33[[#This Row],[Category]]="Fall Product",Table33[[#This Row],[Account Deposit Amount]]-Table33[[#This Row],[Account Withdrawl Amount]], )</f>
        <v>0</v>
      </c>
      <c r="J249" s="243">
        <f>IF(Table33[[#This Row],[Category]]="Cookies",Table33[[#This Row],[Account Deposit Amount]]-Table33[[#This Row],[Account Withdrawl Amount]], )</f>
        <v>0</v>
      </c>
      <c r="K249" s="243">
        <f>IF(Table33[[#This Row],[Category]]="Additional Money Earning Activities",Table33[[#This Row],[Account Deposit Amount]]-Table33[[#This Row],[Account Withdrawl Amount]], )</f>
        <v>0</v>
      </c>
      <c r="L249" s="243">
        <f>IF(Table33[[#This Row],[Category]]="Sponsorships",Table33[[#This Row],[Account Deposit Amount]]-Table33[[#This Row],[Account Withdrawl Amount]], )</f>
        <v>0</v>
      </c>
      <c r="M249" s="243">
        <f>IF(Table33[[#This Row],[Category]]="Troop Dues",Table33[[#This Row],[Account Deposit Amount]]-Table33[[#This Row],[Account Withdrawl Amount]], )</f>
        <v>0</v>
      </c>
      <c r="N249" s="243">
        <f>IF(Table33[[#This Row],[Category]]="Other Income",Table33[[#This Row],[Account Deposit Amount]]-Table33[[#This Row],[Account Withdrawl Amount]], )</f>
        <v>0</v>
      </c>
      <c r="O249" s="243">
        <f>IF(Table33[[#This Row],[Category]]="Registration",Table33[[#This Row],[Account Deposit Amount]]-Table33[[#This Row],[Account Withdrawl Amount]], )</f>
        <v>0</v>
      </c>
      <c r="P249" s="243">
        <f>IF(Table33[[#This Row],[Category]]="Insignia",Table33[[#This Row],[Account Deposit Amount]]-Table33[[#This Row],[Account Withdrawl Amount]], )</f>
        <v>0</v>
      </c>
      <c r="Q249" s="243">
        <f>IF(Table33[[#This Row],[Category]]="Activities/Program",Table33[[#This Row],[Account Deposit Amount]]-Table33[[#This Row],[Account Withdrawl Amount]], )</f>
        <v>0</v>
      </c>
      <c r="R249" s="243">
        <f>IF(Table33[[#This Row],[Category]]="Travel",Table33[[#This Row],[Account Deposit Amount]]-Table33[[#This Row],[Account Withdrawl Amount]], )</f>
        <v>0</v>
      </c>
      <c r="S249" s="243">
        <f>IF(Table33[[#This Row],[Category]]="Parties Food &amp; Beverages",Table33[[#This Row],[Account Deposit Amount]]-Table33[[#This Row],[Account Withdrawl Amount]], )</f>
        <v>0</v>
      </c>
      <c r="T249" s="243">
        <f>IF(Table33[[#This Row],[Category]]="Service Projects Donation",Table33[[#This Row],[Account Deposit Amount]]-Table33[[#This Row],[Account Withdrawl Amount]], )</f>
        <v>0</v>
      </c>
      <c r="U249" s="243">
        <f>IF(Table33[[#This Row],[Category]]="Cookie Debt",Table33[[#This Row],[Account Deposit Amount]]-Table33[[#This Row],[Account Withdrawl Amount]], )</f>
        <v>0</v>
      </c>
      <c r="V249" s="243">
        <f>IF(Table33[[#This Row],[Category]]="Other Expense",Table33[[#This Row],[Account Deposit Amount]]-Table33[[#This Row],[Account Withdrawl Amount]], )</f>
        <v>0</v>
      </c>
    </row>
    <row r="250" spans="1:22">
      <c r="A250" s="225"/>
      <c r="B250" s="241"/>
      <c r="C250" s="225"/>
      <c r="D250" s="225"/>
      <c r="E250" s="242"/>
      <c r="F250" s="242"/>
      <c r="G250" s="243">
        <f t="shared" si="7"/>
        <v>0</v>
      </c>
      <c r="H250" s="225"/>
      <c r="I250" s="243">
        <f>IF(Table33[[#This Row],[Category]]="Fall Product",Table33[[#This Row],[Account Deposit Amount]]-Table33[[#This Row],[Account Withdrawl Amount]], )</f>
        <v>0</v>
      </c>
      <c r="J250" s="243">
        <f>IF(Table33[[#This Row],[Category]]="Cookies",Table33[[#This Row],[Account Deposit Amount]]-Table33[[#This Row],[Account Withdrawl Amount]], )</f>
        <v>0</v>
      </c>
      <c r="K250" s="243">
        <f>IF(Table33[[#This Row],[Category]]="Additional Money Earning Activities",Table33[[#This Row],[Account Deposit Amount]]-Table33[[#This Row],[Account Withdrawl Amount]], )</f>
        <v>0</v>
      </c>
      <c r="L250" s="243">
        <f>IF(Table33[[#This Row],[Category]]="Sponsorships",Table33[[#This Row],[Account Deposit Amount]]-Table33[[#This Row],[Account Withdrawl Amount]], )</f>
        <v>0</v>
      </c>
      <c r="M250" s="243">
        <f>IF(Table33[[#This Row],[Category]]="Troop Dues",Table33[[#This Row],[Account Deposit Amount]]-Table33[[#This Row],[Account Withdrawl Amount]], )</f>
        <v>0</v>
      </c>
      <c r="N250" s="243">
        <f>IF(Table33[[#This Row],[Category]]="Other Income",Table33[[#This Row],[Account Deposit Amount]]-Table33[[#This Row],[Account Withdrawl Amount]], )</f>
        <v>0</v>
      </c>
      <c r="O250" s="243">
        <f>IF(Table33[[#This Row],[Category]]="Registration",Table33[[#This Row],[Account Deposit Amount]]-Table33[[#This Row],[Account Withdrawl Amount]], )</f>
        <v>0</v>
      </c>
      <c r="P250" s="243">
        <f>IF(Table33[[#This Row],[Category]]="Insignia",Table33[[#This Row],[Account Deposit Amount]]-Table33[[#This Row],[Account Withdrawl Amount]], )</f>
        <v>0</v>
      </c>
      <c r="Q250" s="243">
        <f>IF(Table33[[#This Row],[Category]]="Activities/Program",Table33[[#This Row],[Account Deposit Amount]]-Table33[[#This Row],[Account Withdrawl Amount]], )</f>
        <v>0</v>
      </c>
      <c r="R250" s="243">
        <f>IF(Table33[[#This Row],[Category]]="Travel",Table33[[#This Row],[Account Deposit Amount]]-Table33[[#This Row],[Account Withdrawl Amount]], )</f>
        <v>0</v>
      </c>
      <c r="S250" s="243">
        <f>IF(Table33[[#This Row],[Category]]="Parties Food &amp; Beverages",Table33[[#This Row],[Account Deposit Amount]]-Table33[[#This Row],[Account Withdrawl Amount]], )</f>
        <v>0</v>
      </c>
      <c r="T250" s="243">
        <f>IF(Table33[[#This Row],[Category]]="Service Projects Donation",Table33[[#This Row],[Account Deposit Amount]]-Table33[[#This Row],[Account Withdrawl Amount]], )</f>
        <v>0</v>
      </c>
      <c r="U250" s="243">
        <f>IF(Table33[[#This Row],[Category]]="Cookie Debt",Table33[[#This Row],[Account Deposit Amount]]-Table33[[#This Row],[Account Withdrawl Amount]], )</f>
        <v>0</v>
      </c>
      <c r="V250" s="243">
        <f>IF(Table33[[#This Row],[Category]]="Other Expense",Table33[[#This Row],[Account Deposit Amount]]-Table33[[#This Row],[Account Withdrawl Amount]], )</f>
        <v>0</v>
      </c>
    </row>
    <row r="251" spans="1:22">
      <c r="A251" s="225"/>
      <c r="B251" s="241"/>
      <c r="C251" s="225"/>
      <c r="D251" s="225"/>
      <c r="E251" s="242"/>
      <c r="F251" s="242"/>
      <c r="G251" s="243">
        <f t="shared" si="7"/>
        <v>0</v>
      </c>
      <c r="H251" s="225"/>
      <c r="I251" s="243">
        <f>IF(Table33[[#This Row],[Category]]="Fall Product",Table33[[#This Row],[Account Deposit Amount]]-Table33[[#This Row],[Account Withdrawl Amount]], )</f>
        <v>0</v>
      </c>
      <c r="J251" s="243">
        <f>IF(Table33[[#This Row],[Category]]="Cookies",Table33[[#This Row],[Account Deposit Amount]]-Table33[[#This Row],[Account Withdrawl Amount]], )</f>
        <v>0</v>
      </c>
      <c r="K251" s="243">
        <f>IF(Table33[[#This Row],[Category]]="Additional Money Earning Activities",Table33[[#This Row],[Account Deposit Amount]]-Table33[[#This Row],[Account Withdrawl Amount]], )</f>
        <v>0</v>
      </c>
      <c r="L251" s="243">
        <f>IF(Table33[[#This Row],[Category]]="Sponsorships",Table33[[#This Row],[Account Deposit Amount]]-Table33[[#This Row],[Account Withdrawl Amount]], )</f>
        <v>0</v>
      </c>
      <c r="M251" s="243">
        <f>IF(Table33[[#This Row],[Category]]="Troop Dues",Table33[[#This Row],[Account Deposit Amount]]-Table33[[#This Row],[Account Withdrawl Amount]], )</f>
        <v>0</v>
      </c>
      <c r="N251" s="243">
        <f>IF(Table33[[#This Row],[Category]]="Other Income",Table33[[#This Row],[Account Deposit Amount]]-Table33[[#This Row],[Account Withdrawl Amount]], )</f>
        <v>0</v>
      </c>
      <c r="O251" s="243">
        <f>IF(Table33[[#This Row],[Category]]="Registration",Table33[[#This Row],[Account Deposit Amount]]-Table33[[#This Row],[Account Withdrawl Amount]], )</f>
        <v>0</v>
      </c>
      <c r="P251" s="243">
        <f>IF(Table33[[#This Row],[Category]]="Insignia",Table33[[#This Row],[Account Deposit Amount]]-Table33[[#This Row],[Account Withdrawl Amount]], )</f>
        <v>0</v>
      </c>
      <c r="Q251" s="243">
        <f>IF(Table33[[#This Row],[Category]]="Activities/Program",Table33[[#This Row],[Account Deposit Amount]]-Table33[[#This Row],[Account Withdrawl Amount]], )</f>
        <v>0</v>
      </c>
      <c r="R251" s="243">
        <f>IF(Table33[[#This Row],[Category]]="Travel",Table33[[#This Row],[Account Deposit Amount]]-Table33[[#This Row],[Account Withdrawl Amount]], )</f>
        <v>0</v>
      </c>
      <c r="S251" s="243">
        <f>IF(Table33[[#This Row],[Category]]="Parties Food &amp; Beverages",Table33[[#This Row],[Account Deposit Amount]]-Table33[[#This Row],[Account Withdrawl Amount]], )</f>
        <v>0</v>
      </c>
      <c r="T251" s="243">
        <f>IF(Table33[[#This Row],[Category]]="Service Projects Donation",Table33[[#This Row],[Account Deposit Amount]]-Table33[[#This Row],[Account Withdrawl Amount]], )</f>
        <v>0</v>
      </c>
      <c r="U251" s="243">
        <f>IF(Table33[[#This Row],[Category]]="Cookie Debt",Table33[[#This Row],[Account Deposit Amount]]-Table33[[#This Row],[Account Withdrawl Amount]], )</f>
        <v>0</v>
      </c>
      <c r="V251" s="243">
        <f>IF(Table33[[#This Row],[Category]]="Other Expense",Table33[[#This Row],[Account Deposit Amount]]-Table33[[#This Row],[Account Withdrawl Amount]], )</f>
        <v>0</v>
      </c>
    </row>
    <row r="252" spans="1:22">
      <c r="A252" s="225"/>
      <c r="B252" s="241"/>
      <c r="C252" s="225"/>
      <c r="D252" s="225"/>
      <c r="E252" s="242"/>
      <c r="F252" s="242"/>
      <c r="G252" s="243">
        <f t="shared" si="7"/>
        <v>0</v>
      </c>
      <c r="H252" s="225"/>
      <c r="I252" s="243">
        <f>IF(Table33[[#This Row],[Category]]="Fall Product",Table33[[#This Row],[Account Deposit Amount]]-Table33[[#This Row],[Account Withdrawl Amount]], )</f>
        <v>0</v>
      </c>
      <c r="J252" s="243">
        <f>IF(Table33[[#This Row],[Category]]="Cookies",Table33[[#This Row],[Account Deposit Amount]]-Table33[[#This Row],[Account Withdrawl Amount]], )</f>
        <v>0</v>
      </c>
      <c r="K252" s="243">
        <f>IF(Table33[[#This Row],[Category]]="Additional Money Earning Activities",Table33[[#This Row],[Account Deposit Amount]]-Table33[[#This Row],[Account Withdrawl Amount]], )</f>
        <v>0</v>
      </c>
      <c r="L252" s="243">
        <f>IF(Table33[[#This Row],[Category]]="Sponsorships",Table33[[#This Row],[Account Deposit Amount]]-Table33[[#This Row],[Account Withdrawl Amount]], )</f>
        <v>0</v>
      </c>
      <c r="M252" s="243">
        <f>IF(Table33[[#This Row],[Category]]="Troop Dues",Table33[[#This Row],[Account Deposit Amount]]-Table33[[#This Row],[Account Withdrawl Amount]], )</f>
        <v>0</v>
      </c>
      <c r="N252" s="243">
        <f>IF(Table33[[#This Row],[Category]]="Other Income",Table33[[#This Row],[Account Deposit Amount]]-Table33[[#This Row],[Account Withdrawl Amount]], )</f>
        <v>0</v>
      </c>
      <c r="O252" s="243">
        <f>IF(Table33[[#This Row],[Category]]="Registration",Table33[[#This Row],[Account Deposit Amount]]-Table33[[#This Row],[Account Withdrawl Amount]], )</f>
        <v>0</v>
      </c>
      <c r="P252" s="243">
        <f>IF(Table33[[#This Row],[Category]]="Insignia",Table33[[#This Row],[Account Deposit Amount]]-Table33[[#This Row],[Account Withdrawl Amount]], )</f>
        <v>0</v>
      </c>
      <c r="Q252" s="243">
        <f>IF(Table33[[#This Row],[Category]]="Activities/Program",Table33[[#This Row],[Account Deposit Amount]]-Table33[[#This Row],[Account Withdrawl Amount]], )</f>
        <v>0</v>
      </c>
      <c r="R252" s="243">
        <f>IF(Table33[[#This Row],[Category]]="Travel",Table33[[#This Row],[Account Deposit Amount]]-Table33[[#This Row],[Account Withdrawl Amount]], )</f>
        <v>0</v>
      </c>
      <c r="S252" s="243">
        <f>IF(Table33[[#This Row],[Category]]="Parties Food &amp; Beverages",Table33[[#This Row],[Account Deposit Amount]]-Table33[[#This Row],[Account Withdrawl Amount]], )</f>
        <v>0</v>
      </c>
      <c r="T252" s="243">
        <f>IF(Table33[[#This Row],[Category]]="Service Projects Donation",Table33[[#This Row],[Account Deposit Amount]]-Table33[[#This Row],[Account Withdrawl Amount]], )</f>
        <v>0</v>
      </c>
      <c r="U252" s="243">
        <f>IF(Table33[[#This Row],[Category]]="Cookie Debt",Table33[[#This Row],[Account Deposit Amount]]-Table33[[#This Row],[Account Withdrawl Amount]], )</f>
        <v>0</v>
      </c>
      <c r="V252" s="243">
        <f>IF(Table33[[#This Row],[Category]]="Other Expense",Table33[[#This Row],[Account Deposit Amount]]-Table33[[#This Row],[Account Withdrawl Amount]], )</f>
        <v>0</v>
      </c>
    </row>
    <row r="253" spans="1:22">
      <c r="A253" s="225"/>
      <c r="B253" s="241"/>
      <c r="C253" s="225"/>
      <c r="D253" s="225"/>
      <c r="E253" s="242"/>
      <c r="F253" s="242"/>
      <c r="G253" s="243">
        <f t="shared" si="7"/>
        <v>0</v>
      </c>
      <c r="H253" s="225"/>
      <c r="I253" s="243">
        <f>IF(Table33[[#This Row],[Category]]="Fall Product",Table33[[#This Row],[Account Deposit Amount]]-Table33[[#This Row],[Account Withdrawl Amount]], )</f>
        <v>0</v>
      </c>
      <c r="J253" s="243">
        <f>IF(Table33[[#This Row],[Category]]="Cookies",Table33[[#This Row],[Account Deposit Amount]]-Table33[[#This Row],[Account Withdrawl Amount]], )</f>
        <v>0</v>
      </c>
      <c r="K253" s="243">
        <f>IF(Table33[[#This Row],[Category]]="Additional Money Earning Activities",Table33[[#This Row],[Account Deposit Amount]]-Table33[[#This Row],[Account Withdrawl Amount]], )</f>
        <v>0</v>
      </c>
      <c r="L253" s="243">
        <f>IF(Table33[[#This Row],[Category]]="Sponsorships",Table33[[#This Row],[Account Deposit Amount]]-Table33[[#This Row],[Account Withdrawl Amount]], )</f>
        <v>0</v>
      </c>
      <c r="M253" s="243">
        <f>IF(Table33[[#This Row],[Category]]="Troop Dues",Table33[[#This Row],[Account Deposit Amount]]-Table33[[#This Row],[Account Withdrawl Amount]], )</f>
        <v>0</v>
      </c>
      <c r="N253" s="243">
        <f>IF(Table33[[#This Row],[Category]]="Other Income",Table33[[#This Row],[Account Deposit Amount]]-Table33[[#This Row],[Account Withdrawl Amount]], )</f>
        <v>0</v>
      </c>
      <c r="O253" s="243">
        <f>IF(Table33[[#This Row],[Category]]="Registration",Table33[[#This Row],[Account Deposit Amount]]-Table33[[#This Row],[Account Withdrawl Amount]], )</f>
        <v>0</v>
      </c>
      <c r="P253" s="243">
        <f>IF(Table33[[#This Row],[Category]]="Insignia",Table33[[#This Row],[Account Deposit Amount]]-Table33[[#This Row],[Account Withdrawl Amount]], )</f>
        <v>0</v>
      </c>
      <c r="Q253" s="243">
        <f>IF(Table33[[#This Row],[Category]]="Activities/Program",Table33[[#This Row],[Account Deposit Amount]]-Table33[[#This Row],[Account Withdrawl Amount]], )</f>
        <v>0</v>
      </c>
      <c r="R253" s="243">
        <f>IF(Table33[[#This Row],[Category]]="Travel",Table33[[#This Row],[Account Deposit Amount]]-Table33[[#This Row],[Account Withdrawl Amount]], )</f>
        <v>0</v>
      </c>
      <c r="S253" s="243">
        <f>IF(Table33[[#This Row],[Category]]="Parties Food &amp; Beverages",Table33[[#This Row],[Account Deposit Amount]]-Table33[[#This Row],[Account Withdrawl Amount]], )</f>
        <v>0</v>
      </c>
      <c r="T253" s="243">
        <f>IF(Table33[[#This Row],[Category]]="Service Projects Donation",Table33[[#This Row],[Account Deposit Amount]]-Table33[[#This Row],[Account Withdrawl Amount]], )</f>
        <v>0</v>
      </c>
      <c r="U253" s="243">
        <f>IF(Table33[[#This Row],[Category]]="Cookie Debt",Table33[[#This Row],[Account Deposit Amount]]-Table33[[#This Row],[Account Withdrawl Amount]], )</f>
        <v>0</v>
      </c>
      <c r="V253" s="243">
        <f>IF(Table33[[#This Row],[Category]]="Other Expense",Table33[[#This Row],[Account Deposit Amount]]-Table33[[#This Row],[Account Withdrawl Amount]], )</f>
        <v>0</v>
      </c>
    </row>
    <row r="254" spans="1:22">
      <c r="A254" s="225"/>
      <c r="B254" s="241"/>
      <c r="C254" s="225"/>
      <c r="D254" s="225"/>
      <c r="E254" s="242"/>
      <c r="F254" s="242"/>
      <c r="G254" s="243">
        <f t="shared" si="7"/>
        <v>0</v>
      </c>
      <c r="H254" s="225"/>
      <c r="I254" s="243">
        <f>IF(Table33[[#This Row],[Category]]="Fall Product",Table33[[#This Row],[Account Deposit Amount]]-Table33[[#This Row],[Account Withdrawl Amount]], )</f>
        <v>0</v>
      </c>
      <c r="J254" s="243">
        <f>IF(Table33[[#This Row],[Category]]="Cookies",Table33[[#This Row],[Account Deposit Amount]]-Table33[[#This Row],[Account Withdrawl Amount]], )</f>
        <v>0</v>
      </c>
      <c r="K254" s="243">
        <f>IF(Table33[[#This Row],[Category]]="Additional Money Earning Activities",Table33[[#This Row],[Account Deposit Amount]]-Table33[[#This Row],[Account Withdrawl Amount]], )</f>
        <v>0</v>
      </c>
      <c r="L254" s="243">
        <f>IF(Table33[[#This Row],[Category]]="Sponsorships",Table33[[#This Row],[Account Deposit Amount]]-Table33[[#This Row],[Account Withdrawl Amount]], )</f>
        <v>0</v>
      </c>
      <c r="M254" s="243">
        <f>IF(Table33[[#This Row],[Category]]="Troop Dues",Table33[[#This Row],[Account Deposit Amount]]-Table33[[#This Row],[Account Withdrawl Amount]], )</f>
        <v>0</v>
      </c>
      <c r="N254" s="243">
        <f>IF(Table33[[#This Row],[Category]]="Other Income",Table33[[#This Row],[Account Deposit Amount]]-Table33[[#This Row],[Account Withdrawl Amount]], )</f>
        <v>0</v>
      </c>
      <c r="O254" s="243">
        <f>IF(Table33[[#This Row],[Category]]="Registration",Table33[[#This Row],[Account Deposit Amount]]-Table33[[#This Row],[Account Withdrawl Amount]], )</f>
        <v>0</v>
      </c>
      <c r="P254" s="243">
        <f>IF(Table33[[#This Row],[Category]]="Insignia",Table33[[#This Row],[Account Deposit Amount]]-Table33[[#This Row],[Account Withdrawl Amount]], )</f>
        <v>0</v>
      </c>
      <c r="Q254" s="243">
        <f>IF(Table33[[#This Row],[Category]]="Activities/Program",Table33[[#This Row],[Account Deposit Amount]]-Table33[[#This Row],[Account Withdrawl Amount]], )</f>
        <v>0</v>
      </c>
      <c r="R254" s="243">
        <f>IF(Table33[[#This Row],[Category]]="Travel",Table33[[#This Row],[Account Deposit Amount]]-Table33[[#This Row],[Account Withdrawl Amount]], )</f>
        <v>0</v>
      </c>
      <c r="S254" s="243">
        <f>IF(Table33[[#This Row],[Category]]="Parties Food &amp; Beverages",Table33[[#This Row],[Account Deposit Amount]]-Table33[[#This Row],[Account Withdrawl Amount]], )</f>
        <v>0</v>
      </c>
      <c r="T254" s="243">
        <f>IF(Table33[[#This Row],[Category]]="Service Projects Donation",Table33[[#This Row],[Account Deposit Amount]]-Table33[[#This Row],[Account Withdrawl Amount]], )</f>
        <v>0</v>
      </c>
      <c r="U254" s="243">
        <f>IF(Table33[[#This Row],[Category]]="Cookie Debt",Table33[[#This Row],[Account Deposit Amount]]-Table33[[#This Row],[Account Withdrawl Amount]], )</f>
        <v>0</v>
      </c>
      <c r="V254" s="243">
        <f>IF(Table33[[#This Row],[Category]]="Other Expense",Table33[[#This Row],[Account Deposit Amount]]-Table33[[#This Row],[Account Withdrawl Amount]], )</f>
        <v>0</v>
      </c>
    </row>
    <row r="255" spans="1:22">
      <c r="A255" s="225"/>
      <c r="B255" s="241"/>
      <c r="C255" s="225"/>
      <c r="D255" s="225"/>
      <c r="E255" s="242"/>
      <c r="F255" s="242"/>
      <c r="G255" s="243">
        <f t="shared" si="7"/>
        <v>0</v>
      </c>
      <c r="H255" s="225"/>
      <c r="I255" s="243">
        <f>IF(Table33[[#This Row],[Category]]="Fall Product",Table33[[#This Row],[Account Deposit Amount]]-Table33[[#This Row],[Account Withdrawl Amount]], )</f>
        <v>0</v>
      </c>
      <c r="J255" s="243">
        <f>IF(Table33[[#This Row],[Category]]="Cookies",Table33[[#This Row],[Account Deposit Amount]]-Table33[[#This Row],[Account Withdrawl Amount]], )</f>
        <v>0</v>
      </c>
      <c r="K255" s="243">
        <f>IF(Table33[[#This Row],[Category]]="Additional Money Earning Activities",Table33[[#This Row],[Account Deposit Amount]]-Table33[[#This Row],[Account Withdrawl Amount]], )</f>
        <v>0</v>
      </c>
      <c r="L255" s="243">
        <f>IF(Table33[[#This Row],[Category]]="Sponsorships",Table33[[#This Row],[Account Deposit Amount]]-Table33[[#This Row],[Account Withdrawl Amount]], )</f>
        <v>0</v>
      </c>
      <c r="M255" s="243">
        <f>IF(Table33[[#This Row],[Category]]="Troop Dues",Table33[[#This Row],[Account Deposit Amount]]-Table33[[#This Row],[Account Withdrawl Amount]], )</f>
        <v>0</v>
      </c>
      <c r="N255" s="243">
        <f>IF(Table33[[#This Row],[Category]]="Other Income",Table33[[#This Row],[Account Deposit Amount]]-Table33[[#This Row],[Account Withdrawl Amount]], )</f>
        <v>0</v>
      </c>
      <c r="O255" s="243">
        <f>IF(Table33[[#This Row],[Category]]="Registration",Table33[[#This Row],[Account Deposit Amount]]-Table33[[#This Row],[Account Withdrawl Amount]], )</f>
        <v>0</v>
      </c>
      <c r="P255" s="243">
        <f>IF(Table33[[#This Row],[Category]]="Insignia",Table33[[#This Row],[Account Deposit Amount]]-Table33[[#This Row],[Account Withdrawl Amount]], )</f>
        <v>0</v>
      </c>
      <c r="Q255" s="243">
        <f>IF(Table33[[#This Row],[Category]]="Activities/Program",Table33[[#This Row],[Account Deposit Amount]]-Table33[[#This Row],[Account Withdrawl Amount]], )</f>
        <v>0</v>
      </c>
      <c r="R255" s="243">
        <f>IF(Table33[[#This Row],[Category]]="Travel",Table33[[#This Row],[Account Deposit Amount]]-Table33[[#This Row],[Account Withdrawl Amount]], )</f>
        <v>0</v>
      </c>
      <c r="S255" s="243">
        <f>IF(Table33[[#This Row],[Category]]="Parties Food &amp; Beverages",Table33[[#This Row],[Account Deposit Amount]]-Table33[[#This Row],[Account Withdrawl Amount]], )</f>
        <v>0</v>
      </c>
      <c r="T255" s="243">
        <f>IF(Table33[[#This Row],[Category]]="Service Projects Donation",Table33[[#This Row],[Account Deposit Amount]]-Table33[[#This Row],[Account Withdrawl Amount]], )</f>
        <v>0</v>
      </c>
      <c r="U255" s="243">
        <f>IF(Table33[[#This Row],[Category]]="Cookie Debt",Table33[[#This Row],[Account Deposit Amount]]-Table33[[#This Row],[Account Withdrawl Amount]], )</f>
        <v>0</v>
      </c>
      <c r="V255" s="243">
        <f>IF(Table33[[#This Row],[Category]]="Other Expense",Table33[[#This Row],[Account Deposit Amount]]-Table33[[#This Row],[Account Withdrawl Amount]], )</f>
        <v>0</v>
      </c>
    </row>
    <row r="256" spans="1:22">
      <c r="A256" s="225"/>
      <c r="B256" s="241"/>
      <c r="C256" s="225"/>
      <c r="D256" s="225"/>
      <c r="E256" s="242"/>
      <c r="F256" s="242"/>
      <c r="G256" s="243">
        <f t="shared" si="7"/>
        <v>0</v>
      </c>
      <c r="H256" s="225"/>
      <c r="I256" s="243">
        <f>IF(Table33[[#This Row],[Category]]="Fall Product",Table33[[#This Row],[Account Deposit Amount]]-Table33[[#This Row],[Account Withdrawl Amount]], )</f>
        <v>0</v>
      </c>
      <c r="J256" s="243">
        <f>IF(Table33[[#This Row],[Category]]="Cookies",Table33[[#This Row],[Account Deposit Amount]]-Table33[[#This Row],[Account Withdrawl Amount]], )</f>
        <v>0</v>
      </c>
      <c r="K256" s="243">
        <f>IF(Table33[[#This Row],[Category]]="Additional Money Earning Activities",Table33[[#This Row],[Account Deposit Amount]]-Table33[[#This Row],[Account Withdrawl Amount]], )</f>
        <v>0</v>
      </c>
      <c r="L256" s="243">
        <f>IF(Table33[[#This Row],[Category]]="Sponsorships",Table33[[#This Row],[Account Deposit Amount]]-Table33[[#This Row],[Account Withdrawl Amount]], )</f>
        <v>0</v>
      </c>
      <c r="M256" s="243">
        <f>IF(Table33[[#This Row],[Category]]="Troop Dues",Table33[[#This Row],[Account Deposit Amount]]-Table33[[#This Row],[Account Withdrawl Amount]], )</f>
        <v>0</v>
      </c>
      <c r="N256" s="243">
        <f>IF(Table33[[#This Row],[Category]]="Other Income",Table33[[#This Row],[Account Deposit Amount]]-Table33[[#This Row],[Account Withdrawl Amount]], )</f>
        <v>0</v>
      </c>
      <c r="O256" s="243">
        <f>IF(Table33[[#This Row],[Category]]="Registration",Table33[[#This Row],[Account Deposit Amount]]-Table33[[#This Row],[Account Withdrawl Amount]], )</f>
        <v>0</v>
      </c>
      <c r="P256" s="243">
        <f>IF(Table33[[#This Row],[Category]]="Insignia",Table33[[#This Row],[Account Deposit Amount]]-Table33[[#This Row],[Account Withdrawl Amount]], )</f>
        <v>0</v>
      </c>
      <c r="Q256" s="243">
        <f>IF(Table33[[#This Row],[Category]]="Activities/Program",Table33[[#This Row],[Account Deposit Amount]]-Table33[[#This Row],[Account Withdrawl Amount]], )</f>
        <v>0</v>
      </c>
      <c r="R256" s="243">
        <f>IF(Table33[[#This Row],[Category]]="Travel",Table33[[#This Row],[Account Deposit Amount]]-Table33[[#This Row],[Account Withdrawl Amount]], )</f>
        <v>0</v>
      </c>
      <c r="S256" s="243">
        <f>IF(Table33[[#This Row],[Category]]="Parties Food &amp; Beverages",Table33[[#This Row],[Account Deposit Amount]]-Table33[[#This Row],[Account Withdrawl Amount]], )</f>
        <v>0</v>
      </c>
      <c r="T256" s="243">
        <f>IF(Table33[[#This Row],[Category]]="Service Projects Donation",Table33[[#This Row],[Account Deposit Amount]]-Table33[[#This Row],[Account Withdrawl Amount]], )</f>
        <v>0</v>
      </c>
      <c r="U256" s="243">
        <f>IF(Table33[[#This Row],[Category]]="Cookie Debt",Table33[[#This Row],[Account Deposit Amount]]-Table33[[#This Row],[Account Withdrawl Amount]], )</f>
        <v>0</v>
      </c>
      <c r="V256" s="243">
        <f>IF(Table33[[#This Row],[Category]]="Other Expense",Table33[[#This Row],[Account Deposit Amount]]-Table33[[#This Row],[Account Withdrawl Amount]], )</f>
        <v>0</v>
      </c>
    </row>
    <row r="257" spans="1:22">
      <c r="A257" s="225"/>
      <c r="B257" s="241"/>
      <c r="C257" s="225"/>
      <c r="D257" s="225"/>
      <c r="E257" s="242"/>
      <c r="F257" s="242"/>
      <c r="G257" s="243">
        <f t="shared" si="7"/>
        <v>0</v>
      </c>
      <c r="H257" s="225"/>
      <c r="I257" s="243">
        <f>IF(Table33[[#This Row],[Category]]="Fall Product",Table33[[#This Row],[Account Deposit Amount]]-Table33[[#This Row],[Account Withdrawl Amount]], )</f>
        <v>0</v>
      </c>
      <c r="J257" s="243">
        <f>IF(Table33[[#This Row],[Category]]="Cookies",Table33[[#This Row],[Account Deposit Amount]]-Table33[[#This Row],[Account Withdrawl Amount]], )</f>
        <v>0</v>
      </c>
      <c r="K257" s="243">
        <f>IF(Table33[[#This Row],[Category]]="Additional Money Earning Activities",Table33[[#This Row],[Account Deposit Amount]]-Table33[[#This Row],[Account Withdrawl Amount]], )</f>
        <v>0</v>
      </c>
      <c r="L257" s="243">
        <f>IF(Table33[[#This Row],[Category]]="Sponsorships",Table33[[#This Row],[Account Deposit Amount]]-Table33[[#This Row],[Account Withdrawl Amount]], )</f>
        <v>0</v>
      </c>
      <c r="M257" s="243">
        <f>IF(Table33[[#This Row],[Category]]="Troop Dues",Table33[[#This Row],[Account Deposit Amount]]-Table33[[#This Row],[Account Withdrawl Amount]], )</f>
        <v>0</v>
      </c>
      <c r="N257" s="243">
        <f>IF(Table33[[#This Row],[Category]]="Other Income",Table33[[#This Row],[Account Deposit Amount]]-Table33[[#This Row],[Account Withdrawl Amount]], )</f>
        <v>0</v>
      </c>
      <c r="O257" s="243">
        <f>IF(Table33[[#This Row],[Category]]="Registration",Table33[[#This Row],[Account Deposit Amount]]-Table33[[#This Row],[Account Withdrawl Amount]], )</f>
        <v>0</v>
      </c>
      <c r="P257" s="243">
        <f>IF(Table33[[#This Row],[Category]]="Insignia",Table33[[#This Row],[Account Deposit Amount]]-Table33[[#This Row],[Account Withdrawl Amount]], )</f>
        <v>0</v>
      </c>
      <c r="Q257" s="243">
        <f>IF(Table33[[#This Row],[Category]]="Activities/Program",Table33[[#This Row],[Account Deposit Amount]]-Table33[[#This Row],[Account Withdrawl Amount]], )</f>
        <v>0</v>
      </c>
      <c r="R257" s="243">
        <f>IF(Table33[[#This Row],[Category]]="Travel",Table33[[#This Row],[Account Deposit Amount]]-Table33[[#This Row],[Account Withdrawl Amount]], )</f>
        <v>0</v>
      </c>
      <c r="S257" s="243">
        <f>IF(Table33[[#This Row],[Category]]="Parties Food &amp; Beverages",Table33[[#This Row],[Account Deposit Amount]]-Table33[[#This Row],[Account Withdrawl Amount]], )</f>
        <v>0</v>
      </c>
      <c r="T257" s="243">
        <f>IF(Table33[[#This Row],[Category]]="Service Projects Donation",Table33[[#This Row],[Account Deposit Amount]]-Table33[[#This Row],[Account Withdrawl Amount]], )</f>
        <v>0</v>
      </c>
      <c r="U257" s="243">
        <f>IF(Table33[[#This Row],[Category]]="Cookie Debt",Table33[[#This Row],[Account Deposit Amount]]-Table33[[#This Row],[Account Withdrawl Amount]], )</f>
        <v>0</v>
      </c>
      <c r="V257" s="243">
        <f>IF(Table33[[#This Row],[Category]]="Other Expense",Table33[[#This Row],[Account Deposit Amount]]-Table33[[#This Row],[Account Withdrawl Amount]], )</f>
        <v>0</v>
      </c>
    </row>
    <row r="258" spans="1:22">
      <c r="A258" s="225"/>
      <c r="B258" s="241"/>
      <c r="C258" s="225"/>
      <c r="D258" s="225"/>
      <c r="E258" s="242"/>
      <c r="F258" s="242"/>
      <c r="G258" s="243">
        <f t="shared" si="7"/>
        <v>0</v>
      </c>
      <c r="H258" s="225"/>
      <c r="I258" s="243">
        <f>IF(Table33[[#This Row],[Category]]="Fall Product",Table33[[#This Row],[Account Deposit Amount]]-Table33[[#This Row],[Account Withdrawl Amount]], )</f>
        <v>0</v>
      </c>
      <c r="J258" s="243">
        <f>IF(Table33[[#This Row],[Category]]="Cookies",Table33[[#This Row],[Account Deposit Amount]]-Table33[[#This Row],[Account Withdrawl Amount]], )</f>
        <v>0</v>
      </c>
      <c r="K258" s="243">
        <f>IF(Table33[[#This Row],[Category]]="Additional Money Earning Activities",Table33[[#This Row],[Account Deposit Amount]]-Table33[[#This Row],[Account Withdrawl Amount]], )</f>
        <v>0</v>
      </c>
      <c r="L258" s="243">
        <f>IF(Table33[[#This Row],[Category]]="Sponsorships",Table33[[#This Row],[Account Deposit Amount]]-Table33[[#This Row],[Account Withdrawl Amount]], )</f>
        <v>0</v>
      </c>
      <c r="M258" s="243">
        <f>IF(Table33[[#This Row],[Category]]="Troop Dues",Table33[[#This Row],[Account Deposit Amount]]-Table33[[#This Row],[Account Withdrawl Amount]], )</f>
        <v>0</v>
      </c>
      <c r="N258" s="243">
        <f>IF(Table33[[#This Row],[Category]]="Other Income",Table33[[#This Row],[Account Deposit Amount]]-Table33[[#This Row],[Account Withdrawl Amount]], )</f>
        <v>0</v>
      </c>
      <c r="O258" s="243">
        <f>IF(Table33[[#This Row],[Category]]="Registration",Table33[[#This Row],[Account Deposit Amount]]-Table33[[#This Row],[Account Withdrawl Amount]], )</f>
        <v>0</v>
      </c>
      <c r="P258" s="243">
        <f>IF(Table33[[#This Row],[Category]]="Insignia",Table33[[#This Row],[Account Deposit Amount]]-Table33[[#This Row],[Account Withdrawl Amount]], )</f>
        <v>0</v>
      </c>
      <c r="Q258" s="243">
        <f>IF(Table33[[#This Row],[Category]]="Activities/Program",Table33[[#This Row],[Account Deposit Amount]]-Table33[[#This Row],[Account Withdrawl Amount]], )</f>
        <v>0</v>
      </c>
      <c r="R258" s="243">
        <f>IF(Table33[[#This Row],[Category]]="Travel",Table33[[#This Row],[Account Deposit Amount]]-Table33[[#This Row],[Account Withdrawl Amount]], )</f>
        <v>0</v>
      </c>
      <c r="S258" s="243">
        <f>IF(Table33[[#This Row],[Category]]="Parties Food &amp; Beverages",Table33[[#This Row],[Account Deposit Amount]]-Table33[[#This Row],[Account Withdrawl Amount]], )</f>
        <v>0</v>
      </c>
      <c r="T258" s="243">
        <f>IF(Table33[[#This Row],[Category]]="Service Projects Donation",Table33[[#This Row],[Account Deposit Amount]]-Table33[[#This Row],[Account Withdrawl Amount]], )</f>
        <v>0</v>
      </c>
      <c r="U258" s="243">
        <f>IF(Table33[[#This Row],[Category]]="Cookie Debt",Table33[[#This Row],[Account Deposit Amount]]-Table33[[#This Row],[Account Withdrawl Amount]], )</f>
        <v>0</v>
      </c>
      <c r="V258" s="243">
        <f>IF(Table33[[#This Row],[Category]]="Other Expense",Table33[[#This Row],[Account Deposit Amount]]-Table33[[#This Row],[Account Withdrawl Amount]], )</f>
        <v>0</v>
      </c>
    </row>
    <row r="259" spans="1:22">
      <c r="A259" s="225"/>
      <c r="B259" s="241"/>
      <c r="C259" s="225"/>
      <c r="D259" s="225"/>
      <c r="E259" s="242"/>
      <c r="F259" s="242"/>
      <c r="G259" s="243">
        <f t="shared" si="7"/>
        <v>0</v>
      </c>
      <c r="H259" s="225"/>
      <c r="I259" s="243">
        <f>IF(Table33[[#This Row],[Category]]="Fall Product",Table33[[#This Row],[Account Deposit Amount]]-Table33[[#This Row],[Account Withdrawl Amount]], )</f>
        <v>0</v>
      </c>
      <c r="J259" s="243">
        <f>IF(Table33[[#This Row],[Category]]="Cookies",Table33[[#This Row],[Account Deposit Amount]]-Table33[[#This Row],[Account Withdrawl Amount]], )</f>
        <v>0</v>
      </c>
      <c r="K259" s="243">
        <f>IF(Table33[[#This Row],[Category]]="Additional Money Earning Activities",Table33[[#This Row],[Account Deposit Amount]]-Table33[[#This Row],[Account Withdrawl Amount]], )</f>
        <v>0</v>
      </c>
      <c r="L259" s="243">
        <f>IF(Table33[[#This Row],[Category]]="Sponsorships",Table33[[#This Row],[Account Deposit Amount]]-Table33[[#This Row],[Account Withdrawl Amount]], )</f>
        <v>0</v>
      </c>
      <c r="M259" s="243">
        <f>IF(Table33[[#This Row],[Category]]="Troop Dues",Table33[[#This Row],[Account Deposit Amount]]-Table33[[#This Row],[Account Withdrawl Amount]], )</f>
        <v>0</v>
      </c>
      <c r="N259" s="243">
        <f>IF(Table33[[#This Row],[Category]]="Other Income",Table33[[#This Row],[Account Deposit Amount]]-Table33[[#This Row],[Account Withdrawl Amount]], )</f>
        <v>0</v>
      </c>
      <c r="O259" s="243">
        <f>IF(Table33[[#This Row],[Category]]="Registration",Table33[[#This Row],[Account Deposit Amount]]-Table33[[#This Row],[Account Withdrawl Amount]], )</f>
        <v>0</v>
      </c>
      <c r="P259" s="243">
        <f>IF(Table33[[#This Row],[Category]]="Insignia",Table33[[#This Row],[Account Deposit Amount]]-Table33[[#This Row],[Account Withdrawl Amount]], )</f>
        <v>0</v>
      </c>
      <c r="Q259" s="243">
        <f>IF(Table33[[#This Row],[Category]]="Activities/Program",Table33[[#This Row],[Account Deposit Amount]]-Table33[[#This Row],[Account Withdrawl Amount]], )</f>
        <v>0</v>
      </c>
      <c r="R259" s="243">
        <f>IF(Table33[[#This Row],[Category]]="Travel",Table33[[#This Row],[Account Deposit Amount]]-Table33[[#This Row],[Account Withdrawl Amount]], )</f>
        <v>0</v>
      </c>
      <c r="S259" s="243">
        <f>IF(Table33[[#This Row],[Category]]="Parties Food &amp; Beverages",Table33[[#This Row],[Account Deposit Amount]]-Table33[[#This Row],[Account Withdrawl Amount]], )</f>
        <v>0</v>
      </c>
      <c r="T259" s="243">
        <f>IF(Table33[[#This Row],[Category]]="Service Projects Donation",Table33[[#This Row],[Account Deposit Amount]]-Table33[[#This Row],[Account Withdrawl Amount]], )</f>
        <v>0</v>
      </c>
      <c r="U259" s="243">
        <f>IF(Table33[[#This Row],[Category]]="Cookie Debt",Table33[[#This Row],[Account Deposit Amount]]-Table33[[#This Row],[Account Withdrawl Amount]], )</f>
        <v>0</v>
      </c>
      <c r="V259" s="243">
        <f>IF(Table33[[#This Row],[Category]]="Other Expense",Table33[[#This Row],[Account Deposit Amount]]-Table33[[#This Row],[Account Withdrawl Amount]], )</f>
        <v>0</v>
      </c>
    </row>
    <row r="260" spans="1:22">
      <c r="A260" s="225"/>
      <c r="B260" s="241"/>
      <c r="C260" s="225"/>
      <c r="D260" s="225"/>
      <c r="E260" s="242"/>
      <c r="F260" s="242"/>
      <c r="G260" s="243">
        <f t="shared" si="7"/>
        <v>0</v>
      </c>
      <c r="H260" s="225"/>
      <c r="I260" s="243">
        <f>IF(Table33[[#This Row],[Category]]="Fall Product",Table33[[#This Row],[Account Deposit Amount]]-Table33[[#This Row],[Account Withdrawl Amount]], )</f>
        <v>0</v>
      </c>
      <c r="J260" s="243">
        <f>IF(Table33[[#This Row],[Category]]="Cookies",Table33[[#This Row],[Account Deposit Amount]]-Table33[[#This Row],[Account Withdrawl Amount]], )</f>
        <v>0</v>
      </c>
      <c r="K260" s="243">
        <f>IF(Table33[[#This Row],[Category]]="Additional Money Earning Activities",Table33[[#This Row],[Account Deposit Amount]]-Table33[[#This Row],[Account Withdrawl Amount]], )</f>
        <v>0</v>
      </c>
      <c r="L260" s="243">
        <f>IF(Table33[[#This Row],[Category]]="Sponsorships",Table33[[#This Row],[Account Deposit Amount]]-Table33[[#This Row],[Account Withdrawl Amount]], )</f>
        <v>0</v>
      </c>
      <c r="M260" s="243">
        <f>IF(Table33[[#This Row],[Category]]="Troop Dues",Table33[[#This Row],[Account Deposit Amount]]-Table33[[#This Row],[Account Withdrawl Amount]], )</f>
        <v>0</v>
      </c>
      <c r="N260" s="243">
        <f>IF(Table33[[#This Row],[Category]]="Other Income",Table33[[#This Row],[Account Deposit Amount]]-Table33[[#This Row],[Account Withdrawl Amount]], )</f>
        <v>0</v>
      </c>
      <c r="O260" s="243">
        <f>IF(Table33[[#This Row],[Category]]="Registration",Table33[[#This Row],[Account Deposit Amount]]-Table33[[#This Row],[Account Withdrawl Amount]], )</f>
        <v>0</v>
      </c>
      <c r="P260" s="243">
        <f>IF(Table33[[#This Row],[Category]]="Insignia",Table33[[#This Row],[Account Deposit Amount]]-Table33[[#This Row],[Account Withdrawl Amount]], )</f>
        <v>0</v>
      </c>
      <c r="Q260" s="243">
        <f>IF(Table33[[#This Row],[Category]]="Activities/Program",Table33[[#This Row],[Account Deposit Amount]]-Table33[[#This Row],[Account Withdrawl Amount]], )</f>
        <v>0</v>
      </c>
      <c r="R260" s="243">
        <f>IF(Table33[[#This Row],[Category]]="Travel",Table33[[#This Row],[Account Deposit Amount]]-Table33[[#This Row],[Account Withdrawl Amount]], )</f>
        <v>0</v>
      </c>
      <c r="S260" s="243">
        <f>IF(Table33[[#This Row],[Category]]="Parties Food &amp; Beverages",Table33[[#This Row],[Account Deposit Amount]]-Table33[[#This Row],[Account Withdrawl Amount]], )</f>
        <v>0</v>
      </c>
      <c r="T260" s="243">
        <f>IF(Table33[[#This Row],[Category]]="Service Projects Donation",Table33[[#This Row],[Account Deposit Amount]]-Table33[[#This Row],[Account Withdrawl Amount]], )</f>
        <v>0</v>
      </c>
      <c r="U260" s="243">
        <f>IF(Table33[[#This Row],[Category]]="Cookie Debt",Table33[[#This Row],[Account Deposit Amount]]-Table33[[#This Row],[Account Withdrawl Amount]], )</f>
        <v>0</v>
      </c>
      <c r="V260" s="243">
        <f>IF(Table33[[#This Row],[Category]]="Other Expense",Table33[[#This Row],[Account Deposit Amount]]-Table33[[#This Row],[Account Withdrawl Amount]], )</f>
        <v>0</v>
      </c>
    </row>
    <row r="261" spans="1:22">
      <c r="A261" s="225"/>
      <c r="B261" s="241"/>
      <c r="C261" s="225"/>
      <c r="D261" s="225"/>
      <c r="E261" s="242"/>
      <c r="F261" s="242"/>
      <c r="G261" s="243">
        <f t="shared" si="7"/>
        <v>0</v>
      </c>
      <c r="H261" s="225"/>
      <c r="I261" s="243">
        <f>IF(Table33[[#This Row],[Category]]="Fall Product",Table33[[#This Row],[Account Deposit Amount]]-Table33[[#This Row],[Account Withdrawl Amount]], )</f>
        <v>0</v>
      </c>
      <c r="J261" s="243">
        <f>IF(Table33[[#This Row],[Category]]="Cookies",Table33[[#This Row],[Account Deposit Amount]]-Table33[[#This Row],[Account Withdrawl Amount]], )</f>
        <v>0</v>
      </c>
      <c r="K261" s="243">
        <f>IF(Table33[[#This Row],[Category]]="Additional Money Earning Activities",Table33[[#This Row],[Account Deposit Amount]]-Table33[[#This Row],[Account Withdrawl Amount]], )</f>
        <v>0</v>
      </c>
      <c r="L261" s="243">
        <f>IF(Table33[[#This Row],[Category]]="Sponsorships",Table33[[#This Row],[Account Deposit Amount]]-Table33[[#This Row],[Account Withdrawl Amount]], )</f>
        <v>0</v>
      </c>
      <c r="M261" s="243">
        <f>IF(Table33[[#This Row],[Category]]="Troop Dues",Table33[[#This Row],[Account Deposit Amount]]-Table33[[#This Row],[Account Withdrawl Amount]], )</f>
        <v>0</v>
      </c>
      <c r="N261" s="243">
        <f>IF(Table33[[#This Row],[Category]]="Other Income",Table33[[#This Row],[Account Deposit Amount]]-Table33[[#This Row],[Account Withdrawl Amount]], )</f>
        <v>0</v>
      </c>
      <c r="O261" s="243">
        <f>IF(Table33[[#This Row],[Category]]="Registration",Table33[[#This Row],[Account Deposit Amount]]-Table33[[#This Row],[Account Withdrawl Amount]], )</f>
        <v>0</v>
      </c>
      <c r="P261" s="243">
        <f>IF(Table33[[#This Row],[Category]]="Insignia",Table33[[#This Row],[Account Deposit Amount]]-Table33[[#This Row],[Account Withdrawl Amount]], )</f>
        <v>0</v>
      </c>
      <c r="Q261" s="243">
        <f>IF(Table33[[#This Row],[Category]]="Activities/Program",Table33[[#This Row],[Account Deposit Amount]]-Table33[[#This Row],[Account Withdrawl Amount]], )</f>
        <v>0</v>
      </c>
      <c r="R261" s="243">
        <f>IF(Table33[[#This Row],[Category]]="Travel",Table33[[#This Row],[Account Deposit Amount]]-Table33[[#This Row],[Account Withdrawl Amount]], )</f>
        <v>0</v>
      </c>
      <c r="S261" s="243">
        <f>IF(Table33[[#This Row],[Category]]="Parties Food &amp; Beverages",Table33[[#This Row],[Account Deposit Amount]]-Table33[[#This Row],[Account Withdrawl Amount]], )</f>
        <v>0</v>
      </c>
      <c r="T261" s="243">
        <f>IF(Table33[[#This Row],[Category]]="Service Projects Donation",Table33[[#This Row],[Account Deposit Amount]]-Table33[[#This Row],[Account Withdrawl Amount]], )</f>
        <v>0</v>
      </c>
      <c r="U261" s="243">
        <f>IF(Table33[[#This Row],[Category]]="Cookie Debt",Table33[[#This Row],[Account Deposit Amount]]-Table33[[#This Row],[Account Withdrawl Amount]], )</f>
        <v>0</v>
      </c>
      <c r="V261" s="243">
        <f>IF(Table33[[#This Row],[Category]]="Other Expense",Table33[[#This Row],[Account Deposit Amount]]-Table33[[#This Row],[Account Withdrawl Amount]], )</f>
        <v>0</v>
      </c>
    </row>
    <row r="262" spans="1:22">
      <c r="A262" s="225"/>
      <c r="B262" s="241"/>
      <c r="C262" s="225"/>
      <c r="D262" s="225"/>
      <c r="E262" s="242"/>
      <c r="F262" s="242"/>
      <c r="G262" s="243">
        <f t="shared" si="7"/>
        <v>0</v>
      </c>
      <c r="H262" s="225"/>
      <c r="I262" s="243">
        <f>IF(Table33[[#This Row],[Category]]="Fall Product",Table33[[#This Row],[Account Deposit Amount]]-Table33[[#This Row],[Account Withdrawl Amount]], )</f>
        <v>0</v>
      </c>
      <c r="J262" s="243">
        <f>IF(Table33[[#This Row],[Category]]="Cookies",Table33[[#This Row],[Account Deposit Amount]]-Table33[[#This Row],[Account Withdrawl Amount]], )</f>
        <v>0</v>
      </c>
      <c r="K262" s="243">
        <f>IF(Table33[[#This Row],[Category]]="Additional Money Earning Activities",Table33[[#This Row],[Account Deposit Amount]]-Table33[[#This Row],[Account Withdrawl Amount]], )</f>
        <v>0</v>
      </c>
      <c r="L262" s="243">
        <f>IF(Table33[[#This Row],[Category]]="Sponsorships",Table33[[#This Row],[Account Deposit Amount]]-Table33[[#This Row],[Account Withdrawl Amount]], )</f>
        <v>0</v>
      </c>
      <c r="M262" s="243">
        <f>IF(Table33[[#This Row],[Category]]="Troop Dues",Table33[[#This Row],[Account Deposit Amount]]-Table33[[#This Row],[Account Withdrawl Amount]], )</f>
        <v>0</v>
      </c>
      <c r="N262" s="243">
        <f>IF(Table33[[#This Row],[Category]]="Other Income",Table33[[#This Row],[Account Deposit Amount]]-Table33[[#This Row],[Account Withdrawl Amount]], )</f>
        <v>0</v>
      </c>
      <c r="O262" s="243">
        <f>IF(Table33[[#This Row],[Category]]="Registration",Table33[[#This Row],[Account Deposit Amount]]-Table33[[#This Row],[Account Withdrawl Amount]], )</f>
        <v>0</v>
      </c>
      <c r="P262" s="243">
        <f>IF(Table33[[#This Row],[Category]]="Insignia",Table33[[#This Row],[Account Deposit Amount]]-Table33[[#This Row],[Account Withdrawl Amount]], )</f>
        <v>0</v>
      </c>
      <c r="Q262" s="243">
        <f>IF(Table33[[#This Row],[Category]]="Activities/Program",Table33[[#This Row],[Account Deposit Amount]]-Table33[[#This Row],[Account Withdrawl Amount]], )</f>
        <v>0</v>
      </c>
      <c r="R262" s="243">
        <f>IF(Table33[[#This Row],[Category]]="Travel",Table33[[#This Row],[Account Deposit Amount]]-Table33[[#This Row],[Account Withdrawl Amount]], )</f>
        <v>0</v>
      </c>
      <c r="S262" s="243">
        <f>IF(Table33[[#This Row],[Category]]="Parties Food &amp; Beverages",Table33[[#This Row],[Account Deposit Amount]]-Table33[[#This Row],[Account Withdrawl Amount]], )</f>
        <v>0</v>
      </c>
      <c r="T262" s="243">
        <f>IF(Table33[[#This Row],[Category]]="Service Projects Donation",Table33[[#This Row],[Account Deposit Amount]]-Table33[[#This Row],[Account Withdrawl Amount]], )</f>
        <v>0</v>
      </c>
      <c r="U262" s="243">
        <f>IF(Table33[[#This Row],[Category]]="Cookie Debt",Table33[[#This Row],[Account Deposit Amount]]-Table33[[#This Row],[Account Withdrawl Amount]], )</f>
        <v>0</v>
      </c>
      <c r="V262" s="243">
        <f>IF(Table33[[#This Row],[Category]]="Other Expense",Table33[[#This Row],[Account Deposit Amount]]-Table33[[#This Row],[Account Withdrawl Amount]], )</f>
        <v>0</v>
      </c>
    </row>
    <row r="263" spans="1:22">
      <c r="A263" s="225"/>
      <c r="B263" s="241"/>
      <c r="C263" s="225"/>
      <c r="D263" s="225"/>
      <c r="E263" s="242"/>
      <c r="F263" s="242"/>
      <c r="G263" s="243">
        <f t="shared" si="7"/>
        <v>0</v>
      </c>
      <c r="H263" s="225"/>
      <c r="I263" s="243">
        <f>IF(Table33[[#This Row],[Category]]="Fall Product",Table33[[#This Row],[Account Deposit Amount]]-Table33[[#This Row],[Account Withdrawl Amount]], )</f>
        <v>0</v>
      </c>
      <c r="J263" s="243">
        <f>IF(Table33[[#This Row],[Category]]="Cookies",Table33[[#This Row],[Account Deposit Amount]]-Table33[[#This Row],[Account Withdrawl Amount]], )</f>
        <v>0</v>
      </c>
      <c r="K263" s="243">
        <f>IF(Table33[[#This Row],[Category]]="Additional Money Earning Activities",Table33[[#This Row],[Account Deposit Amount]]-Table33[[#This Row],[Account Withdrawl Amount]], )</f>
        <v>0</v>
      </c>
      <c r="L263" s="243">
        <f>IF(Table33[[#This Row],[Category]]="Sponsorships",Table33[[#This Row],[Account Deposit Amount]]-Table33[[#This Row],[Account Withdrawl Amount]], )</f>
        <v>0</v>
      </c>
      <c r="M263" s="243">
        <f>IF(Table33[[#This Row],[Category]]="Troop Dues",Table33[[#This Row],[Account Deposit Amount]]-Table33[[#This Row],[Account Withdrawl Amount]], )</f>
        <v>0</v>
      </c>
      <c r="N263" s="243">
        <f>IF(Table33[[#This Row],[Category]]="Other Income",Table33[[#This Row],[Account Deposit Amount]]-Table33[[#This Row],[Account Withdrawl Amount]], )</f>
        <v>0</v>
      </c>
      <c r="O263" s="243">
        <f>IF(Table33[[#This Row],[Category]]="Registration",Table33[[#This Row],[Account Deposit Amount]]-Table33[[#This Row],[Account Withdrawl Amount]], )</f>
        <v>0</v>
      </c>
      <c r="P263" s="243">
        <f>IF(Table33[[#This Row],[Category]]="Insignia",Table33[[#This Row],[Account Deposit Amount]]-Table33[[#This Row],[Account Withdrawl Amount]], )</f>
        <v>0</v>
      </c>
      <c r="Q263" s="243">
        <f>IF(Table33[[#This Row],[Category]]="Activities/Program",Table33[[#This Row],[Account Deposit Amount]]-Table33[[#This Row],[Account Withdrawl Amount]], )</f>
        <v>0</v>
      </c>
      <c r="R263" s="243">
        <f>IF(Table33[[#This Row],[Category]]="Travel",Table33[[#This Row],[Account Deposit Amount]]-Table33[[#This Row],[Account Withdrawl Amount]], )</f>
        <v>0</v>
      </c>
      <c r="S263" s="243">
        <f>IF(Table33[[#This Row],[Category]]="Parties Food &amp; Beverages",Table33[[#This Row],[Account Deposit Amount]]-Table33[[#This Row],[Account Withdrawl Amount]], )</f>
        <v>0</v>
      </c>
      <c r="T263" s="243">
        <f>IF(Table33[[#This Row],[Category]]="Service Projects Donation",Table33[[#This Row],[Account Deposit Amount]]-Table33[[#This Row],[Account Withdrawl Amount]], )</f>
        <v>0</v>
      </c>
      <c r="U263" s="243">
        <f>IF(Table33[[#This Row],[Category]]="Cookie Debt",Table33[[#This Row],[Account Deposit Amount]]-Table33[[#This Row],[Account Withdrawl Amount]], )</f>
        <v>0</v>
      </c>
      <c r="V263" s="243">
        <f>IF(Table33[[#This Row],[Category]]="Other Expense",Table33[[#This Row],[Account Deposit Amount]]-Table33[[#This Row],[Account Withdrawl Amount]], )</f>
        <v>0</v>
      </c>
    </row>
    <row r="264" spans="1:22">
      <c r="A264" s="225"/>
      <c r="B264" s="241"/>
      <c r="C264" s="225"/>
      <c r="D264" s="225"/>
      <c r="E264" s="242"/>
      <c r="F264" s="242"/>
      <c r="G264" s="243">
        <f t="shared" si="7"/>
        <v>0</v>
      </c>
      <c r="H264" s="225"/>
      <c r="I264" s="243">
        <f>IF(Table33[[#This Row],[Category]]="Fall Product",Table33[[#This Row],[Account Deposit Amount]]-Table33[[#This Row],[Account Withdrawl Amount]], )</f>
        <v>0</v>
      </c>
      <c r="J264" s="243">
        <f>IF(Table33[[#This Row],[Category]]="Cookies",Table33[[#This Row],[Account Deposit Amount]]-Table33[[#This Row],[Account Withdrawl Amount]], )</f>
        <v>0</v>
      </c>
      <c r="K264" s="243">
        <f>IF(Table33[[#This Row],[Category]]="Additional Money Earning Activities",Table33[[#This Row],[Account Deposit Amount]]-Table33[[#This Row],[Account Withdrawl Amount]], )</f>
        <v>0</v>
      </c>
      <c r="L264" s="243">
        <f>IF(Table33[[#This Row],[Category]]="Sponsorships",Table33[[#This Row],[Account Deposit Amount]]-Table33[[#This Row],[Account Withdrawl Amount]], )</f>
        <v>0</v>
      </c>
      <c r="M264" s="243">
        <f>IF(Table33[[#This Row],[Category]]="Troop Dues",Table33[[#This Row],[Account Deposit Amount]]-Table33[[#This Row],[Account Withdrawl Amount]], )</f>
        <v>0</v>
      </c>
      <c r="N264" s="243">
        <f>IF(Table33[[#This Row],[Category]]="Other Income",Table33[[#This Row],[Account Deposit Amount]]-Table33[[#This Row],[Account Withdrawl Amount]], )</f>
        <v>0</v>
      </c>
      <c r="O264" s="243">
        <f>IF(Table33[[#This Row],[Category]]="Registration",Table33[[#This Row],[Account Deposit Amount]]-Table33[[#This Row],[Account Withdrawl Amount]], )</f>
        <v>0</v>
      </c>
      <c r="P264" s="243">
        <f>IF(Table33[[#This Row],[Category]]="Insignia",Table33[[#This Row],[Account Deposit Amount]]-Table33[[#This Row],[Account Withdrawl Amount]], )</f>
        <v>0</v>
      </c>
      <c r="Q264" s="243">
        <f>IF(Table33[[#This Row],[Category]]="Activities/Program",Table33[[#This Row],[Account Deposit Amount]]-Table33[[#This Row],[Account Withdrawl Amount]], )</f>
        <v>0</v>
      </c>
      <c r="R264" s="243">
        <f>IF(Table33[[#This Row],[Category]]="Travel",Table33[[#This Row],[Account Deposit Amount]]-Table33[[#This Row],[Account Withdrawl Amount]], )</f>
        <v>0</v>
      </c>
      <c r="S264" s="243">
        <f>IF(Table33[[#This Row],[Category]]="Parties Food &amp; Beverages",Table33[[#This Row],[Account Deposit Amount]]-Table33[[#This Row],[Account Withdrawl Amount]], )</f>
        <v>0</v>
      </c>
      <c r="T264" s="243">
        <f>IF(Table33[[#This Row],[Category]]="Service Projects Donation",Table33[[#This Row],[Account Deposit Amount]]-Table33[[#This Row],[Account Withdrawl Amount]], )</f>
        <v>0</v>
      </c>
      <c r="U264" s="243">
        <f>IF(Table33[[#This Row],[Category]]="Cookie Debt",Table33[[#This Row],[Account Deposit Amount]]-Table33[[#This Row],[Account Withdrawl Amount]], )</f>
        <v>0</v>
      </c>
      <c r="V264" s="243">
        <f>IF(Table33[[#This Row],[Category]]="Other Expense",Table33[[#This Row],[Account Deposit Amount]]-Table33[[#This Row],[Account Withdrawl Amount]], )</f>
        <v>0</v>
      </c>
    </row>
    <row r="265" spans="1:22">
      <c r="A265" s="225"/>
      <c r="B265" s="241"/>
      <c r="C265" s="225"/>
      <c r="D265" s="225"/>
      <c r="E265" s="242"/>
      <c r="F265" s="242"/>
      <c r="G265" s="243">
        <f t="shared" si="7"/>
        <v>0</v>
      </c>
      <c r="H265" s="225"/>
      <c r="I265" s="243">
        <f>IF(Table33[[#This Row],[Category]]="Fall Product",Table33[[#This Row],[Account Deposit Amount]]-Table33[[#This Row],[Account Withdrawl Amount]], )</f>
        <v>0</v>
      </c>
      <c r="J265" s="243">
        <f>IF(Table33[[#This Row],[Category]]="Cookies",Table33[[#This Row],[Account Deposit Amount]]-Table33[[#This Row],[Account Withdrawl Amount]], )</f>
        <v>0</v>
      </c>
      <c r="K265" s="243">
        <f>IF(Table33[[#This Row],[Category]]="Additional Money Earning Activities",Table33[[#This Row],[Account Deposit Amount]]-Table33[[#This Row],[Account Withdrawl Amount]], )</f>
        <v>0</v>
      </c>
      <c r="L265" s="243">
        <f>IF(Table33[[#This Row],[Category]]="Sponsorships",Table33[[#This Row],[Account Deposit Amount]]-Table33[[#This Row],[Account Withdrawl Amount]], )</f>
        <v>0</v>
      </c>
      <c r="M265" s="243">
        <f>IF(Table33[[#This Row],[Category]]="Troop Dues",Table33[[#This Row],[Account Deposit Amount]]-Table33[[#This Row],[Account Withdrawl Amount]], )</f>
        <v>0</v>
      </c>
      <c r="N265" s="243">
        <f>IF(Table33[[#This Row],[Category]]="Other Income",Table33[[#This Row],[Account Deposit Amount]]-Table33[[#This Row],[Account Withdrawl Amount]], )</f>
        <v>0</v>
      </c>
      <c r="O265" s="243">
        <f>IF(Table33[[#This Row],[Category]]="Registration",Table33[[#This Row],[Account Deposit Amount]]-Table33[[#This Row],[Account Withdrawl Amount]], )</f>
        <v>0</v>
      </c>
      <c r="P265" s="243">
        <f>IF(Table33[[#This Row],[Category]]="Insignia",Table33[[#This Row],[Account Deposit Amount]]-Table33[[#This Row],[Account Withdrawl Amount]], )</f>
        <v>0</v>
      </c>
      <c r="Q265" s="243">
        <f>IF(Table33[[#This Row],[Category]]="Activities/Program",Table33[[#This Row],[Account Deposit Amount]]-Table33[[#This Row],[Account Withdrawl Amount]], )</f>
        <v>0</v>
      </c>
      <c r="R265" s="243">
        <f>IF(Table33[[#This Row],[Category]]="Travel",Table33[[#This Row],[Account Deposit Amount]]-Table33[[#This Row],[Account Withdrawl Amount]], )</f>
        <v>0</v>
      </c>
      <c r="S265" s="243">
        <f>IF(Table33[[#This Row],[Category]]="Parties Food &amp; Beverages",Table33[[#This Row],[Account Deposit Amount]]-Table33[[#This Row],[Account Withdrawl Amount]], )</f>
        <v>0</v>
      </c>
      <c r="T265" s="243">
        <f>IF(Table33[[#This Row],[Category]]="Service Projects Donation",Table33[[#This Row],[Account Deposit Amount]]-Table33[[#This Row],[Account Withdrawl Amount]], )</f>
        <v>0</v>
      </c>
      <c r="U265" s="243">
        <f>IF(Table33[[#This Row],[Category]]="Cookie Debt",Table33[[#This Row],[Account Deposit Amount]]-Table33[[#This Row],[Account Withdrawl Amount]], )</f>
        <v>0</v>
      </c>
      <c r="V265" s="243">
        <f>IF(Table33[[#This Row],[Category]]="Other Expense",Table33[[#This Row],[Account Deposit Amount]]-Table33[[#This Row],[Account Withdrawl Amount]], )</f>
        <v>0</v>
      </c>
    </row>
    <row r="266" spans="1:22">
      <c r="A266" s="225"/>
      <c r="B266" s="241"/>
      <c r="C266" s="225"/>
      <c r="D266" s="225"/>
      <c r="E266" s="242"/>
      <c r="F266" s="242"/>
      <c r="G266" s="243">
        <f t="shared" si="7"/>
        <v>0</v>
      </c>
      <c r="H266" s="225"/>
      <c r="I266" s="243">
        <f>IF(Table33[[#This Row],[Category]]="Fall Product",Table33[[#This Row],[Account Deposit Amount]]-Table33[[#This Row],[Account Withdrawl Amount]], )</f>
        <v>0</v>
      </c>
      <c r="J266" s="243">
        <f>IF(Table33[[#This Row],[Category]]="Cookies",Table33[[#This Row],[Account Deposit Amount]]-Table33[[#This Row],[Account Withdrawl Amount]], )</f>
        <v>0</v>
      </c>
      <c r="K266" s="243">
        <f>IF(Table33[[#This Row],[Category]]="Additional Money Earning Activities",Table33[[#This Row],[Account Deposit Amount]]-Table33[[#This Row],[Account Withdrawl Amount]], )</f>
        <v>0</v>
      </c>
      <c r="L266" s="243">
        <f>IF(Table33[[#This Row],[Category]]="Sponsorships",Table33[[#This Row],[Account Deposit Amount]]-Table33[[#This Row],[Account Withdrawl Amount]], )</f>
        <v>0</v>
      </c>
      <c r="M266" s="243">
        <f>IF(Table33[[#This Row],[Category]]="Troop Dues",Table33[[#This Row],[Account Deposit Amount]]-Table33[[#This Row],[Account Withdrawl Amount]], )</f>
        <v>0</v>
      </c>
      <c r="N266" s="243">
        <f>IF(Table33[[#This Row],[Category]]="Other Income",Table33[[#This Row],[Account Deposit Amount]]-Table33[[#This Row],[Account Withdrawl Amount]], )</f>
        <v>0</v>
      </c>
      <c r="O266" s="243">
        <f>IF(Table33[[#This Row],[Category]]="Registration",Table33[[#This Row],[Account Deposit Amount]]-Table33[[#This Row],[Account Withdrawl Amount]], )</f>
        <v>0</v>
      </c>
      <c r="P266" s="243">
        <f>IF(Table33[[#This Row],[Category]]="Insignia",Table33[[#This Row],[Account Deposit Amount]]-Table33[[#This Row],[Account Withdrawl Amount]], )</f>
        <v>0</v>
      </c>
      <c r="Q266" s="243">
        <f>IF(Table33[[#This Row],[Category]]="Activities/Program",Table33[[#This Row],[Account Deposit Amount]]-Table33[[#This Row],[Account Withdrawl Amount]], )</f>
        <v>0</v>
      </c>
      <c r="R266" s="243">
        <f>IF(Table33[[#This Row],[Category]]="Travel",Table33[[#This Row],[Account Deposit Amount]]-Table33[[#This Row],[Account Withdrawl Amount]], )</f>
        <v>0</v>
      </c>
      <c r="S266" s="243">
        <f>IF(Table33[[#This Row],[Category]]="Parties Food &amp; Beverages",Table33[[#This Row],[Account Deposit Amount]]-Table33[[#This Row],[Account Withdrawl Amount]], )</f>
        <v>0</v>
      </c>
      <c r="T266" s="243">
        <f>IF(Table33[[#This Row],[Category]]="Service Projects Donation",Table33[[#This Row],[Account Deposit Amount]]-Table33[[#This Row],[Account Withdrawl Amount]], )</f>
        <v>0</v>
      </c>
      <c r="U266" s="243">
        <f>IF(Table33[[#This Row],[Category]]="Cookie Debt",Table33[[#This Row],[Account Deposit Amount]]-Table33[[#This Row],[Account Withdrawl Amount]], )</f>
        <v>0</v>
      </c>
      <c r="V266" s="243">
        <f>IF(Table33[[#This Row],[Category]]="Other Expense",Table33[[#This Row],[Account Deposit Amount]]-Table33[[#This Row],[Account Withdrawl Amount]], )</f>
        <v>0</v>
      </c>
    </row>
    <row r="267" spans="1:22">
      <c r="A267" s="225"/>
      <c r="B267" s="241"/>
      <c r="C267" s="225"/>
      <c r="D267" s="225"/>
      <c r="E267" s="242"/>
      <c r="F267" s="242"/>
      <c r="G267" s="243">
        <f t="shared" si="7"/>
        <v>0</v>
      </c>
      <c r="H267" s="225"/>
      <c r="I267" s="243">
        <f>IF(Table33[[#This Row],[Category]]="Fall Product",Table33[[#This Row],[Account Deposit Amount]]-Table33[[#This Row],[Account Withdrawl Amount]], )</f>
        <v>0</v>
      </c>
      <c r="J267" s="243">
        <f>IF(Table33[[#This Row],[Category]]="Cookies",Table33[[#This Row],[Account Deposit Amount]]-Table33[[#This Row],[Account Withdrawl Amount]], )</f>
        <v>0</v>
      </c>
      <c r="K267" s="243">
        <f>IF(Table33[[#This Row],[Category]]="Additional Money Earning Activities",Table33[[#This Row],[Account Deposit Amount]]-Table33[[#This Row],[Account Withdrawl Amount]], )</f>
        <v>0</v>
      </c>
      <c r="L267" s="243">
        <f>IF(Table33[[#This Row],[Category]]="Sponsorships",Table33[[#This Row],[Account Deposit Amount]]-Table33[[#This Row],[Account Withdrawl Amount]], )</f>
        <v>0</v>
      </c>
      <c r="M267" s="243">
        <f>IF(Table33[[#This Row],[Category]]="Troop Dues",Table33[[#This Row],[Account Deposit Amount]]-Table33[[#This Row],[Account Withdrawl Amount]], )</f>
        <v>0</v>
      </c>
      <c r="N267" s="243">
        <f>IF(Table33[[#This Row],[Category]]="Other Income",Table33[[#This Row],[Account Deposit Amount]]-Table33[[#This Row],[Account Withdrawl Amount]], )</f>
        <v>0</v>
      </c>
      <c r="O267" s="243">
        <f>IF(Table33[[#This Row],[Category]]="Registration",Table33[[#This Row],[Account Deposit Amount]]-Table33[[#This Row],[Account Withdrawl Amount]], )</f>
        <v>0</v>
      </c>
      <c r="P267" s="243">
        <f>IF(Table33[[#This Row],[Category]]="Insignia",Table33[[#This Row],[Account Deposit Amount]]-Table33[[#This Row],[Account Withdrawl Amount]], )</f>
        <v>0</v>
      </c>
      <c r="Q267" s="243">
        <f>IF(Table33[[#This Row],[Category]]="Activities/Program",Table33[[#This Row],[Account Deposit Amount]]-Table33[[#This Row],[Account Withdrawl Amount]], )</f>
        <v>0</v>
      </c>
      <c r="R267" s="243">
        <f>IF(Table33[[#This Row],[Category]]="Travel",Table33[[#This Row],[Account Deposit Amount]]-Table33[[#This Row],[Account Withdrawl Amount]], )</f>
        <v>0</v>
      </c>
      <c r="S267" s="243">
        <f>IF(Table33[[#This Row],[Category]]="Parties Food &amp; Beverages",Table33[[#This Row],[Account Deposit Amount]]-Table33[[#This Row],[Account Withdrawl Amount]], )</f>
        <v>0</v>
      </c>
      <c r="T267" s="243">
        <f>IF(Table33[[#This Row],[Category]]="Service Projects Donation",Table33[[#This Row],[Account Deposit Amount]]-Table33[[#This Row],[Account Withdrawl Amount]], )</f>
        <v>0</v>
      </c>
      <c r="U267" s="243">
        <f>IF(Table33[[#This Row],[Category]]="Cookie Debt",Table33[[#This Row],[Account Deposit Amount]]-Table33[[#This Row],[Account Withdrawl Amount]], )</f>
        <v>0</v>
      </c>
      <c r="V267" s="243">
        <f>IF(Table33[[#This Row],[Category]]="Other Expense",Table33[[#This Row],[Account Deposit Amount]]-Table33[[#This Row],[Account Withdrawl Amount]], )</f>
        <v>0</v>
      </c>
    </row>
    <row r="268" spans="1:22">
      <c r="A268" s="225"/>
      <c r="B268" s="241"/>
      <c r="C268" s="225"/>
      <c r="D268" s="225"/>
      <c r="E268" s="242"/>
      <c r="F268" s="242"/>
      <c r="G268" s="243">
        <f t="shared" si="7"/>
        <v>0</v>
      </c>
      <c r="H268" s="225"/>
      <c r="I268" s="243">
        <f>IF(Table33[[#This Row],[Category]]="Fall Product",Table33[[#This Row],[Account Deposit Amount]]-Table33[[#This Row],[Account Withdrawl Amount]], )</f>
        <v>0</v>
      </c>
      <c r="J268" s="243">
        <f>IF(Table33[[#This Row],[Category]]="Cookies",Table33[[#This Row],[Account Deposit Amount]]-Table33[[#This Row],[Account Withdrawl Amount]], )</f>
        <v>0</v>
      </c>
      <c r="K268" s="243">
        <f>IF(Table33[[#This Row],[Category]]="Additional Money Earning Activities",Table33[[#This Row],[Account Deposit Amount]]-Table33[[#This Row],[Account Withdrawl Amount]], )</f>
        <v>0</v>
      </c>
      <c r="L268" s="243">
        <f>IF(Table33[[#This Row],[Category]]="Sponsorships",Table33[[#This Row],[Account Deposit Amount]]-Table33[[#This Row],[Account Withdrawl Amount]], )</f>
        <v>0</v>
      </c>
      <c r="M268" s="243">
        <f>IF(Table33[[#This Row],[Category]]="Troop Dues",Table33[[#This Row],[Account Deposit Amount]]-Table33[[#This Row],[Account Withdrawl Amount]], )</f>
        <v>0</v>
      </c>
      <c r="N268" s="243">
        <f>IF(Table33[[#This Row],[Category]]="Other Income",Table33[[#This Row],[Account Deposit Amount]]-Table33[[#This Row],[Account Withdrawl Amount]], )</f>
        <v>0</v>
      </c>
      <c r="O268" s="243">
        <f>IF(Table33[[#This Row],[Category]]="Registration",Table33[[#This Row],[Account Deposit Amount]]-Table33[[#This Row],[Account Withdrawl Amount]], )</f>
        <v>0</v>
      </c>
      <c r="P268" s="243">
        <f>IF(Table33[[#This Row],[Category]]="Insignia",Table33[[#This Row],[Account Deposit Amount]]-Table33[[#This Row],[Account Withdrawl Amount]], )</f>
        <v>0</v>
      </c>
      <c r="Q268" s="243">
        <f>IF(Table33[[#This Row],[Category]]="Activities/Program",Table33[[#This Row],[Account Deposit Amount]]-Table33[[#This Row],[Account Withdrawl Amount]], )</f>
        <v>0</v>
      </c>
      <c r="R268" s="243">
        <f>IF(Table33[[#This Row],[Category]]="Travel",Table33[[#This Row],[Account Deposit Amount]]-Table33[[#This Row],[Account Withdrawl Amount]], )</f>
        <v>0</v>
      </c>
      <c r="S268" s="243">
        <f>IF(Table33[[#This Row],[Category]]="Parties Food &amp; Beverages",Table33[[#This Row],[Account Deposit Amount]]-Table33[[#This Row],[Account Withdrawl Amount]], )</f>
        <v>0</v>
      </c>
      <c r="T268" s="243">
        <f>IF(Table33[[#This Row],[Category]]="Service Projects Donation",Table33[[#This Row],[Account Deposit Amount]]-Table33[[#This Row],[Account Withdrawl Amount]], )</f>
        <v>0</v>
      </c>
      <c r="U268" s="243">
        <f>IF(Table33[[#This Row],[Category]]="Cookie Debt",Table33[[#This Row],[Account Deposit Amount]]-Table33[[#This Row],[Account Withdrawl Amount]], )</f>
        <v>0</v>
      </c>
      <c r="V268" s="243">
        <f>IF(Table33[[#This Row],[Category]]="Other Expense",Table33[[#This Row],[Account Deposit Amount]]-Table33[[#This Row],[Account Withdrawl Amount]], )</f>
        <v>0</v>
      </c>
    </row>
    <row r="269" spans="1:22">
      <c r="A269" s="225"/>
      <c r="B269" s="241"/>
      <c r="C269" s="225"/>
      <c r="D269" s="225"/>
      <c r="E269" s="242"/>
      <c r="F269" s="242"/>
      <c r="G269" s="243">
        <f t="shared" si="7"/>
        <v>0</v>
      </c>
      <c r="H269" s="225"/>
      <c r="I269" s="243">
        <f>IF(Table33[[#This Row],[Category]]="Fall Product",Table33[[#This Row],[Account Deposit Amount]]-Table33[[#This Row],[Account Withdrawl Amount]], )</f>
        <v>0</v>
      </c>
      <c r="J269" s="243">
        <f>IF(Table33[[#This Row],[Category]]="Cookies",Table33[[#This Row],[Account Deposit Amount]]-Table33[[#This Row],[Account Withdrawl Amount]], )</f>
        <v>0</v>
      </c>
      <c r="K269" s="243">
        <f>IF(Table33[[#This Row],[Category]]="Additional Money Earning Activities",Table33[[#This Row],[Account Deposit Amount]]-Table33[[#This Row],[Account Withdrawl Amount]], )</f>
        <v>0</v>
      </c>
      <c r="L269" s="243">
        <f>IF(Table33[[#This Row],[Category]]="Sponsorships",Table33[[#This Row],[Account Deposit Amount]]-Table33[[#This Row],[Account Withdrawl Amount]], )</f>
        <v>0</v>
      </c>
      <c r="M269" s="243">
        <f>IF(Table33[[#This Row],[Category]]="Troop Dues",Table33[[#This Row],[Account Deposit Amount]]-Table33[[#This Row],[Account Withdrawl Amount]], )</f>
        <v>0</v>
      </c>
      <c r="N269" s="243">
        <f>IF(Table33[[#This Row],[Category]]="Other Income",Table33[[#This Row],[Account Deposit Amount]]-Table33[[#This Row],[Account Withdrawl Amount]], )</f>
        <v>0</v>
      </c>
      <c r="O269" s="243">
        <f>IF(Table33[[#This Row],[Category]]="Registration",Table33[[#This Row],[Account Deposit Amount]]-Table33[[#This Row],[Account Withdrawl Amount]], )</f>
        <v>0</v>
      </c>
      <c r="P269" s="243">
        <f>IF(Table33[[#This Row],[Category]]="Insignia",Table33[[#This Row],[Account Deposit Amount]]-Table33[[#This Row],[Account Withdrawl Amount]], )</f>
        <v>0</v>
      </c>
      <c r="Q269" s="243">
        <f>IF(Table33[[#This Row],[Category]]="Activities/Program",Table33[[#This Row],[Account Deposit Amount]]-Table33[[#This Row],[Account Withdrawl Amount]], )</f>
        <v>0</v>
      </c>
      <c r="R269" s="243">
        <f>IF(Table33[[#This Row],[Category]]="Travel",Table33[[#This Row],[Account Deposit Amount]]-Table33[[#This Row],[Account Withdrawl Amount]], )</f>
        <v>0</v>
      </c>
      <c r="S269" s="243">
        <f>IF(Table33[[#This Row],[Category]]="Parties Food &amp; Beverages",Table33[[#This Row],[Account Deposit Amount]]-Table33[[#This Row],[Account Withdrawl Amount]], )</f>
        <v>0</v>
      </c>
      <c r="T269" s="243">
        <f>IF(Table33[[#This Row],[Category]]="Service Projects Donation",Table33[[#This Row],[Account Deposit Amount]]-Table33[[#This Row],[Account Withdrawl Amount]], )</f>
        <v>0</v>
      </c>
      <c r="U269" s="243">
        <f>IF(Table33[[#This Row],[Category]]="Cookie Debt",Table33[[#This Row],[Account Deposit Amount]]-Table33[[#This Row],[Account Withdrawl Amount]], )</f>
        <v>0</v>
      </c>
      <c r="V269" s="243">
        <f>IF(Table33[[#This Row],[Category]]="Other Expense",Table33[[#This Row],[Account Deposit Amount]]-Table33[[#This Row],[Account Withdrawl Amount]], )</f>
        <v>0</v>
      </c>
    </row>
    <row r="270" spans="1:22">
      <c r="A270" s="225"/>
      <c r="B270" s="241"/>
      <c r="C270" s="225"/>
      <c r="D270" s="225"/>
      <c r="E270" s="242"/>
      <c r="F270" s="242"/>
      <c r="G270" s="243">
        <f t="shared" si="7"/>
        <v>0</v>
      </c>
      <c r="H270" s="225"/>
      <c r="I270" s="243">
        <f>IF(Table33[[#This Row],[Category]]="Fall Product",Table33[[#This Row],[Account Deposit Amount]]-Table33[[#This Row],[Account Withdrawl Amount]], )</f>
        <v>0</v>
      </c>
      <c r="J270" s="243">
        <f>IF(Table33[[#This Row],[Category]]="Cookies",Table33[[#This Row],[Account Deposit Amount]]-Table33[[#This Row],[Account Withdrawl Amount]], )</f>
        <v>0</v>
      </c>
      <c r="K270" s="243">
        <f>IF(Table33[[#This Row],[Category]]="Additional Money Earning Activities",Table33[[#This Row],[Account Deposit Amount]]-Table33[[#This Row],[Account Withdrawl Amount]], )</f>
        <v>0</v>
      </c>
      <c r="L270" s="243">
        <f>IF(Table33[[#This Row],[Category]]="Sponsorships",Table33[[#This Row],[Account Deposit Amount]]-Table33[[#This Row],[Account Withdrawl Amount]], )</f>
        <v>0</v>
      </c>
      <c r="M270" s="243">
        <f>IF(Table33[[#This Row],[Category]]="Troop Dues",Table33[[#This Row],[Account Deposit Amount]]-Table33[[#This Row],[Account Withdrawl Amount]], )</f>
        <v>0</v>
      </c>
      <c r="N270" s="243">
        <f>IF(Table33[[#This Row],[Category]]="Other Income",Table33[[#This Row],[Account Deposit Amount]]-Table33[[#This Row],[Account Withdrawl Amount]], )</f>
        <v>0</v>
      </c>
      <c r="O270" s="243">
        <f>IF(Table33[[#This Row],[Category]]="Registration",Table33[[#This Row],[Account Deposit Amount]]-Table33[[#This Row],[Account Withdrawl Amount]], )</f>
        <v>0</v>
      </c>
      <c r="P270" s="243">
        <f>IF(Table33[[#This Row],[Category]]="Insignia",Table33[[#This Row],[Account Deposit Amount]]-Table33[[#This Row],[Account Withdrawl Amount]], )</f>
        <v>0</v>
      </c>
      <c r="Q270" s="243">
        <f>IF(Table33[[#This Row],[Category]]="Activities/Program",Table33[[#This Row],[Account Deposit Amount]]-Table33[[#This Row],[Account Withdrawl Amount]], )</f>
        <v>0</v>
      </c>
      <c r="R270" s="243">
        <f>IF(Table33[[#This Row],[Category]]="Travel",Table33[[#This Row],[Account Deposit Amount]]-Table33[[#This Row],[Account Withdrawl Amount]], )</f>
        <v>0</v>
      </c>
      <c r="S270" s="243">
        <f>IF(Table33[[#This Row],[Category]]="Parties Food &amp; Beverages",Table33[[#This Row],[Account Deposit Amount]]-Table33[[#This Row],[Account Withdrawl Amount]], )</f>
        <v>0</v>
      </c>
      <c r="T270" s="243">
        <f>IF(Table33[[#This Row],[Category]]="Service Projects Donation",Table33[[#This Row],[Account Deposit Amount]]-Table33[[#This Row],[Account Withdrawl Amount]], )</f>
        <v>0</v>
      </c>
      <c r="U270" s="243">
        <f>IF(Table33[[#This Row],[Category]]="Cookie Debt",Table33[[#This Row],[Account Deposit Amount]]-Table33[[#This Row],[Account Withdrawl Amount]], )</f>
        <v>0</v>
      </c>
      <c r="V270" s="243">
        <f>IF(Table33[[#This Row],[Category]]="Other Expense",Table33[[#This Row],[Account Deposit Amount]]-Table33[[#This Row],[Account Withdrawl Amount]], )</f>
        <v>0</v>
      </c>
    </row>
    <row r="271" spans="1:22">
      <c r="A271" s="225"/>
      <c r="B271" s="241"/>
      <c r="C271" s="225"/>
      <c r="D271" s="225"/>
      <c r="E271" s="242"/>
      <c r="F271" s="242"/>
      <c r="G271" s="243">
        <f t="shared" si="7"/>
        <v>0</v>
      </c>
      <c r="H271" s="225"/>
      <c r="I271" s="243">
        <f>IF(Table33[[#This Row],[Category]]="Fall Product",Table33[[#This Row],[Account Deposit Amount]]-Table33[[#This Row],[Account Withdrawl Amount]], )</f>
        <v>0</v>
      </c>
      <c r="J271" s="243">
        <f>IF(Table33[[#This Row],[Category]]="Cookies",Table33[[#This Row],[Account Deposit Amount]]-Table33[[#This Row],[Account Withdrawl Amount]], )</f>
        <v>0</v>
      </c>
      <c r="K271" s="243">
        <f>IF(Table33[[#This Row],[Category]]="Additional Money Earning Activities",Table33[[#This Row],[Account Deposit Amount]]-Table33[[#This Row],[Account Withdrawl Amount]], )</f>
        <v>0</v>
      </c>
      <c r="L271" s="243">
        <f>IF(Table33[[#This Row],[Category]]="Sponsorships",Table33[[#This Row],[Account Deposit Amount]]-Table33[[#This Row],[Account Withdrawl Amount]], )</f>
        <v>0</v>
      </c>
      <c r="M271" s="243">
        <f>IF(Table33[[#This Row],[Category]]="Troop Dues",Table33[[#This Row],[Account Deposit Amount]]-Table33[[#This Row],[Account Withdrawl Amount]], )</f>
        <v>0</v>
      </c>
      <c r="N271" s="243">
        <f>IF(Table33[[#This Row],[Category]]="Other Income",Table33[[#This Row],[Account Deposit Amount]]-Table33[[#This Row],[Account Withdrawl Amount]], )</f>
        <v>0</v>
      </c>
      <c r="O271" s="243">
        <f>IF(Table33[[#This Row],[Category]]="Registration",Table33[[#This Row],[Account Deposit Amount]]-Table33[[#This Row],[Account Withdrawl Amount]], )</f>
        <v>0</v>
      </c>
      <c r="P271" s="243">
        <f>IF(Table33[[#This Row],[Category]]="Insignia",Table33[[#This Row],[Account Deposit Amount]]-Table33[[#This Row],[Account Withdrawl Amount]], )</f>
        <v>0</v>
      </c>
      <c r="Q271" s="243">
        <f>IF(Table33[[#This Row],[Category]]="Activities/Program",Table33[[#This Row],[Account Deposit Amount]]-Table33[[#This Row],[Account Withdrawl Amount]], )</f>
        <v>0</v>
      </c>
      <c r="R271" s="243">
        <f>IF(Table33[[#This Row],[Category]]="Travel",Table33[[#This Row],[Account Deposit Amount]]-Table33[[#This Row],[Account Withdrawl Amount]], )</f>
        <v>0</v>
      </c>
      <c r="S271" s="243">
        <f>IF(Table33[[#This Row],[Category]]="Parties Food &amp; Beverages",Table33[[#This Row],[Account Deposit Amount]]-Table33[[#This Row],[Account Withdrawl Amount]], )</f>
        <v>0</v>
      </c>
      <c r="T271" s="243">
        <f>IF(Table33[[#This Row],[Category]]="Service Projects Donation",Table33[[#This Row],[Account Deposit Amount]]-Table33[[#This Row],[Account Withdrawl Amount]], )</f>
        <v>0</v>
      </c>
      <c r="U271" s="243">
        <f>IF(Table33[[#This Row],[Category]]="Cookie Debt",Table33[[#This Row],[Account Deposit Amount]]-Table33[[#This Row],[Account Withdrawl Amount]], )</f>
        <v>0</v>
      </c>
      <c r="V271" s="243">
        <f>IF(Table33[[#This Row],[Category]]="Other Expense",Table33[[#This Row],[Account Deposit Amount]]-Table33[[#This Row],[Account Withdrawl Amount]], )</f>
        <v>0</v>
      </c>
    </row>
    <row r="272" spans="1:22">
      <c r="A272" s="225"/>
      <c r="B272" s="241"/>
      <c r="C272" s="225"/>
      <c r="D272" s="225"/>
      <c r="E272" s="242"/>
      <c r="F272" s="242"/>
      <c r="G272" s="243">
        <f t="shared" si="7"/>
        <v>0</v>
      </c>
      <c r="H272" s="225"/>
      <c r="I272" s="243">
        <f>IF(Table33[[#This Row],[Category]]="Fall Product",Table33[[#This Row],[Account Deposit Amount]]-Table33[[#This Row],[Account Withdrawl Amount]], )</f>
        <v>0</v>
      </c>
      <c r="J272" s="243">
        <f>IF(Table33[[#This Row],[Category]]="Cookies",Table33[[#This Row],[Account Deposit Amount]]-Table33[[#This Row],[Account Withdrawl Amount]], )</f>
        <v>0</v>
      </c>
      <c r="K272" s="243">
        <f>IF(Table33[[#This Row],[Category]]="Additional Money Earning Activities",Table33[[#This Row],[Account Deposit Amount]]-Table33[[#This Row],[Account Withdrawl Amount]], )</f>
        <v>0</v>
      </c>
      <c r="L272" s="243">
        <f>IF(Table33[[#This Row],[Category]]="Sponsorships",Table33[[#This Row],[Account Deposit Amount]]-Table33[[#This Row],[Account Withdrawl Amount]], )</f>
        <v>0</v>
      </c>
      <c r="M272" s="243">
        <f>IF(Table33[[#This Row],[Category]]="Troop Dues",Table33[[#This Row],[Account Deposit Amount]]-Table33[[#This Row],[Account Withdrawl Amount]], )</f>
        <v>0</v>
      </c>
      <c r="N272" s="243">
        <f>IF(Table33[[#This Row],[Category]]="Other Income",Table33[[#This Row],[Account Deposit Amount]]-Table33[[#This Row],[Account Withdrawl Amount]], )</f>
        <v>0</v>
      </c>
      <c r="O272" s="243">
        <f>IF(Table33[[#This Row],[Category]]="Registration",Table33[[#This Row],[Account Deposit Amount]]-Table33[[#This Row],[Account Withdrawl Amount]], )</f>
        <v>0</v>
      </c>
      <c r="P272" s="243">
        <f>IF(Table33[[#This Row],[Category]]="Insignia",Table33[[#This Row],[Account Deposit Amount]]-Table33[[#This Row],[Account Withdrawl Amount]], )</f>
        <v>0</v>
      </c>
      <c r="Q272" s="243">
        <f>IF(Table33[[#This Row],[Category]]="Activities/Program",Table33[[#This Row],[Account Deposit Amount]]-Table33[[#This Row],[Account Withdrawl Amount]], )</f>
        <v>0</v>
      </c>
      <c r="R272" s="243">
        <f>IF(Table33[[#This Row],[Category]]="Travel",Table33[[#This Row],[Account Deposit Amount]]-Table33[[#This Row],[Account Withdrawl Amount]], )</f>
        <v>0</v>
      </c>
      <c r="S272" s="243">
        <f>IF(Table33[[#This Row],[Category]]="Parties Food &amp; Beverages",Table33[[#This Row],[Account Deposit Amount]]-Table33[[#This Row],[Account Withdrawl Amount]], )</f>
        <v>0</v>
      </c>
      <c r="T272" s="243">
        <f>IF(Table33[[#This Row],[Category]]="Service Projects Donation",Table33[[#This Row],[Account Deposit Amount]]-Table33[[#This Row],[Account Withdrawl Amount]], )</f>
        <v>0</v>
      </c>
      <c r="U272" s="243">
        <f>IF(Table33[[#This Row],[Category]]="Cookie Debt",Table33[[#This Row],[Account Deposit Amount]]-Table33[[#This Row],[Account Withdrawl Amount]], )</f>
        <v>0</v>
      </c>
      <c r="V272" s="243">
        <f>IF(Table33[[#This Row],[Category]]="Other Expense",Table33[[#This Row],[Account Deposit Amount]]-Table33[[#This Row],[Account Withdrawl Amount]], )</f>
        <v>0</v>
      </c>
    </row>
    <row r="273" spans="1:22">
      <c r="A273" s="225"/>
      <c r="B273" s="241"/>
      <c r="C273" s="225"/>
      <c r="D273" s="225"/>
      <c r="E273" s="242"/>
      <c r="F273" s="242"/>
      <c r="G273" s="243">
        <f t="shared" si="7"/>
        <v>0</v>
      </c>
      <c r="H273" s="225"/>
      <c r="I273" s="243">
        <f>IF(Table33[[#This Row],[Category]]="Fall Product",Table33[[#This Row],[Account Deposit Amount]]-Table33[[#This Row],[Account Withdrawl Amount]], )</f>
        <v>0</v>
      </c>
      <c r="J273" s="243">
        <f>IF(Table33[[#This Row],[Category]]="Cookies",Table33[[#This Row],[Account Deposit Amount]]-Table33[[#This Row],[Account Withdrawl Amount]], )</f>
        <v>0</v>
      </c>
      <c r="K273" s="243">
        <f>IF(Table33[[#This Row],[Category]]="Additional Money Earning Activities",Table33[[#This Row],[Account Deposit Amount]]-Table33[[#This Row],[Account Withdrawl Amount]], )</f>
        <v>0</v>
      </c>
      <c r="L273" s="243">
        <f>IF(Table33[[#This Row],[Category]]="Sponsorships",Table33[[#This Row],[Account Deposit Amount]]-Table33[[#This Row],[Account Withdrawl Amount]], )</f>
        <v>0</v>
      </c>
      <c r="M273" s="243">
        <f>IF(Table33[[#This Row],[Category]]="Troop Dues",Table33[[#This Row],[Account Deposit Amount]]-Table33[[#This Row],[Account Withdrawl Amount]], )</f>
        <v>0</v>
      </c>
      <c r="N273" s="243">
        <f>IF(Table33[[#This Row],[Category]]="Other Income",Table33[[#This Row],[Account Deposit Amount]]-Table33[[#This Row],[Account Withdrawl Amount]], )</f>
        <v>0</v>
      </c>
      <c r="O273" s="243">
        <f>IF(Table33[[#This Row],[Category]]="Registration",Table33[[#This Row],[Account Deposit Amount]]-Table33[[#This Row],[Account Withdrawl Amount]], )</f>
        <v>0</v>
      </c>
      <c r="P273" s="243">
        <f>IF(Table33[[#This Row],[Category]]="Insignia",Table33[[#This Row],[Account Deposit Amount]]-Table33[[#This Row],[Account Withdrawl Amount]], )</f>
        <v>0</v>
      </c>
      <c r="Q273" s="243">
        <f>IF(Table33[[#This Row],[Category]]="Activities/Program",Table33[[#This Row],[Account Deposit Amount]]-Table33[[#This Row],[Account Withdrawl Amount]], )</f>
        <v>0</v>
      </c>
      <c r="R273" s="243">
        <f>IF(Table33[[#This Row],[Category]]="Travel",Table33[[#This Row],[Account Deposit Amount]]-Table33[[#This Row],[Account Withdrawl Amount]], )</f>
        <v>0</v>
      </c>
      <c r="S273" s="243">
        <f>IF(Table33[[#This Row],[Category]]="Parties Food &amp; Beverages",Table33[[#This Row],[Account Deposit Amount]]-Table33[[#This Row],[Account Withdrawl Amount]], )</f>
        <v>0</v>
      </c>
      <c r="T273" s="243">
        <f>IF(Table33[[#This Row],[Category]]="Service Projects Donation",Table33[[#This Row],[Account Deposit Amount]]-Table33[[#This Row],[Account Withdrawl Amount]], )</f>
        <v>0</v>
      </c>
      <c r="U273" s="243">
        <f>IF(Table33[[#This Row],[Category]]="Cookie Debt",Table33[[#This Row],[Account Deposit Amount]]-Table33[[#This Row],[Account Withdrawl Amount]], )</f>
        <v>0</v>
      </c>
      <c r="V273" s="243">
        <f>IF(Table33[[#This Row],[Category]]="Other Expense",Table33[[#This Row],[Account Deposit Amount]]-Table33[[#This Row],[Account Withdrawl Amount]], )</f>
        <v>0</v>
      </c>
    </row>
    <row r="274" spans="1:22">
      <c r="A274" s="225"/>
      <c r="B274" s="241"/>
      <c r="C274" s="225"/>
      <c r="D274" s="225"/>
      <c r="E274" s="242"/>
      <c r="F274" s="242"/>
      <c r="G274" s="243">
        <f t="shared" si="7"/>
        <v>0</v>
      </c>
      <c r="H274" s="225"/>
      <c r="I274" s="243">
        <f>IF(Table33[[#This Row],[Category]]="Fall Product",Table33[[#This Row],[Account Deposit Amount]]-Table33[[#This Row],[Account Withdrawl Amount]], )</f>
        <v>0</v>
      </c>
      <c r="J274" s="243">
        <f>IF(Table33[[#This Row],[Category]]="Cookies",Table33[[#This Row],[Account Deposit Amount]]-Table33[[#This Row],[Account Withdrawl Amount]], )</f>
        <v>0</v>
      </c>
      <c r="K274" s="243">
        <f>IF(Table33[[#This Row],[Category]]="Additional Money Earning Activities",Table33[[#This Row],[Account Deposit Amount]]-Table33[[#This Row],[Account Withdrawl Amount]], )</f>
        <v>0</v>
      </c>
      <c r="L274" s="243">
        <f>IF(Table33[[#This Row],[Category]]="Sponsorships",Table33[[#This Row],[Account Deposit Amount]]-Table33[[#This Row],[Account Withdrawl Amount]], )</f>
        <v>0</v>
      </c>
      <c r="M274" s="243">
        <f>IF(Table33[[#This Row],[Category]]="Troop Dues",Table33[[#This Row],[Account Deposit Amount]]-Table33[[#This Row],[Account Withdrawl Amount]], )</f>
        <v>0</v>
      </c>
      <c r="N274" s="243">
        <f>IF(Table33[[#This Row],[Category]]="Other Income",Table33[[#This Row],[Account Deposit Amount]]-Table33[[#This Row],[Account Withdrawl Amount]], )</f>
        <v>0</v>
      </c>
      <c r="O274" s="243">
        <f>IF(Table33[[#This Row],[Category]]="Registration",Table33[[#This Row],[Account Deposit Amount]]-Table33[[#This Row],[Account Withdrawl Amount]], )</f>
        <v>0</v>
      </c>
      <c r="P274" s="243">
        <f>IF(Table33[[#This Row],[Category]]="Insignia",Table33[[#This Row],[Account Deposit Amount]]-Table33[[#This Row],[Account Withdrawl Amount]], )</f>
        <v>0</v>
      </c>
      <c r="Q274" s="243">
        <f>IF(Table33[[#This Row],[Category]]="Activities/Program",Table33[[#This Row],[Account Deposit Amount]]-Table33[[#This Row],[Account Withdrawl Amount]], )</f>
        <v>0</v>
      </c>
      <c r="R274" s="243">
        <f>IF(Table33[[#This Row],[Category]]="Travel",Table33[[#This Row],[Account Deposit Amount]]-Table33[[#This Row],[Account Withdrawl Amount]], )</f>
        <v>0</v>
      </c>
      <c r="S274" s="243">
        <f>IF(Table33[[#This Row],[Category]]="Parties Food &amp; Beverages",Table33[[#This Row],[Account Deposit Amount]]-Table33[[#This Row],[Account Withdrawl Amount]], )</f>
        <v>0</v>
      </c>
      <c r="T274" s="243">
        <f>IF(Table33[[#This Row],[Category]]="Service Projects Donation",Table33[[#This Row],[Account Deposit Amount]]-Table33[[#This Row],[Account Withdrawl Amount]], )</f>
        <v>0</v>
      </c>
      <c r="U274" s="243">
        <f>IF(Table33[[#This Row],[Category]]="Cookie Debt",Table33[[#This Row],[Account Deposit Amount]]-Table33[[#This Row],[Account Withdrawl Amount]], )</f>
        <v>0</v>
      </c>
      <c r="V274" s="243">
        <f>IF(Table33[[#This Row],[Category]]="Other Expense",Table33[[#This Row],[Account Deposit Amount]]-Table33[[#This Row],[Account Withdrawl Amount]], )</f>
        <v>0</v>
      </c>
    </row>
    <row r="275" spans="1:22">
      <c r="A275" s="225"/>
      <c r="B275" s="241"/>
      <c r="C275" s="225"/>
      <c r="D275" s="225"/>
      <c r="E275" s="242"/>
      <c r="F275" s="242"/>
      <c r="G275" s="243">
        <f t="shared" si="7"/>
        <v>0</v>
      </c>
      <c r="H275" s="225"/>
      <c r="I275" s="243">
        <f>IF(Table33[[#This Row],[Category]]="Fall Product",Table33[[#This Row],[Account Deposit Amount]]-Table33[[#This Row],[Account Withdrawl Amount]], )</f>
        <v>0</v>
      </c>
      <c r="J275" s="243">
        <f>IF(Table33[[#This Row],[Category]]="Cookies",Table33[[#This Row],[Account Deposit Amount]]-Table33[[#This Row],[Account Withdrawl Amount]], )</f>
        <v>0</v>
      </c>
      <c r="K275" s="243">
        <f>IF(Table33[[#This Row],[Category]]="Additional Money Earning Activities",Table33[[#This Row],[Account Deposit Amount]]-Table33[[#This Row],[Account Withdrawl Amount]], )</f>
        <v>0</v>
      </c>
      <c r="L275" s="243">
        <f>IF(Table33[[#This Row],[Category]]="Sponsorships",Table33[[#This Row],[Account Deposit Amount]]-Table33[[#This Row],[Account Withdrawl Amount]], )</f>
        <v>0</v>
      </c>
      <c r="M275" s="243">
        <f>IF(Table33[[#This Row],[Category]]="Troop Dues",Table33[[#This Row],[Account Deposit Amount]]-Table33[[#This Row],[Account Withdrawl Amount]], )</f>
        <v>0</v>
      </c>
      <c r="N275" s="243">
        <f>IF(Table33[[#This Row],[Category]]="Other Income",Table33[[#This Row],[Account Deposit Amount]]-Table33[[#This Row],[Account Withdrawl Amount]], )</f>
        <v>0</v>
      </c>
      <c r="O275" s="243">
        <f>IF(Table33[[#This Row],[Category]]="Registration",Table33[[#This Row],[Account Deposit Amount]]-Table33[[#This Row],[Account Withdrawl Amount]], )</f>
        <v>0</v>
      </c>
      <c r="P275" s="243">
        <f>IF(Table33[[#This Row],[Category]]="Insignia",Table33[[#This Row],[Account Deposit Amount]]-Table33[[#This Row],[Account Withdrawl Amount]], )</f>
        <v>0</v>
      </c>
      <c r="Q275" s="243">
        <f>IF(Table33[[#This Row],[Category]]="Activities/Program",Table33[[#This Row],[Account Deposit Amount]]-Table33[[#This Row],[Account Withdrawl Amount]], )</f>
        <v>0</v>
      </c>
      <c r="R275" s="243">
        <f>IF(Table33[[#This Row],[Category]]="Travel",Table33[[#This Row],[Account Deposit Amount]]-Table33[[#This Row],[Account Withdrawl Amount]], )</f>
        <v>0</v>
      </c>
      <c r="S275" s="243">
        <f>IF(Table33[[#This Row],[Category]]="Parties Food &amp; Beverages",Table33[[#This Row],[Account Deposit Amount]]-Table33[[#This Row],[Account Withdrawl Amount]], )</f>
        <v>0</v>
      </c>
      <c r="T275" s="243">
        <f>IF(Table33[[#This Row],[Category]]="Service Projects Donation",Table33[[#This Row],[Account Deposit Amount]]-Table33[[#This Row],[Account Withdrawl Amount]], )</f>
        <v>0</v>
      </c>
      <c r="U275" s="243">
        <f>IF(Table33[[#This Row],[Category]]="Cookie Debt",Table33[[#This Row],[Account Deposit Amount]]-Table33[[#This Row],[Account Withdrawl Amount]], )</f>
        <v>0</v>
      </c>
      <c r="V275" s="243">
        <f>IF(Table33[[#This Row],[Category]]="Other Expense",Table33[[#This Row],[Account Deposit Amount]]-Table33[[#This Row],[Account Withdrawl Amount]], )</f>
        <v>0</v>
      </c>
    </row>
    <row r="276" spans="1:22">
      <c r="A276" s="225"/>
      <c r="B276" s="241"/>
      <c r="C276" s="225"/>
      <c r="D276" s="225"/>
      <c r="E276" s="242"/>
      <c r="F276" s="242"/>
      <c r="G276" s="243">
        <f t="shared" si="7"/>
        <v>0</v>
      </c>
      <c r="H276" s="225"/>
      <c r="I276" s="243">
        <f>IF(Table33[[#This Row],[Category]]="Fall Product",Table33[[#This Row],[Account Deposit Amount]]-Table33[[#This Row],[Account Withdrawl Amount]], )</f>
        <v>0</v>
      </c>
      <c r="J276" s="243">
        <f>IF(Table33[[#This Row],[Category]]="Cookies",Table33[[#This Row],[Account Deposit Amount]]-Table33[[#This Row],[Account Withdrawl Amount]], )</f>
        <v>0</v>
      </c>
      <c r="K276" s="243">
        <f>IF(Table33[[#This Row],[Category]]="Additional Money Earning Activities",Table33[[#This Row],[Account Deposit Amount]]-Table33[[#This Row],[Account Withdrawl Amount]], )</f>
        <v>0</v>
      </c>
      <c r="L276" s="243">
        <f>IF(Table33[[#This Row],[Category]]="Sponsorships",Table33[[#This Row],[Account Deposit Amount]]-Table33[[#This Row],[Account Withdrawl Amount]], )</f>
        <v>0</v>
      </c>
      <c r="M276" s="243">
        <f>IF(Table33[[#This Row],[Category]]="Troop Dues",Table33[[#This Row],[Account Deposit Amount]]-Table33[[#This Row],[Account Withdrawl Amount]], )</f>
        <v>0</v>
      </c>
      <c r="N276" s="243">
        <f>IF(Table33[[#This Row],[Category]]="Other Income",Table33[[#This Row],[Account Deposit Amount]]-Table33[[#This Row],[Account Withdrawl Amount]], )</f>
        <v>0</v>
      </c>
      <c r="O276" s="243">
        <f>IF(Table33[[#This Row],[Category]]="Registration",Table33[[#This Row],[Account Deposit Amount]]-Table33[[#This Row],[Account Withdrawl Amount]], )</f>
        <v>0</v>
      </c>
      <c r="P276" s="243">
        <f>IF(Table33[[#This Row],[Category]]="Insignia",Table33[[#This Row],[Account Deposit Amount]]-Table33[[#This Row],[Account Withdrawl Amount]], )</f>
        <v>0</v>
      </c>
      <c r="Q276" s="243">
        <f>IF(Table33[[#This Row],[Category]]="Activities/Program",Table33[[#This Row],[Account Deposit Amount]]-Table33[[#This Row],[Account Withdrawl Amount]], )</f>
        <v>0</v>
      </c>
      <c r="R276" s="243">
        <f>IF(Table33[[#This Row],[Category]]="Travel",Table33[[#This Row],[Account Deposit Amount]]-Table33[[#This Row],[Account Withdrawl Amount]], )</f>
        <v>0</v>
      </c>
      <c r="S276" s="243">
        <f>IF(Table33[[#This Row],[Category]]="Parties Food &amp; Beverages",Table33[[#This Row],[Account Deposit Amount]]-Table33[[#This Row],[Account Withdrawl Amount]], )</f>
        <v>0</v>
      </c>
      <c r="T276" s="243">
        <f>IF(Table33[[#This Row],[Category]]="Service Projects Donation",Table33[[#This Row],[Account Deposit Amount]]-Table33[[#This Row],[Account Withdrawl Amount]], )</f>
        <v>0</v>
      </c>
      <c r="U276" s="243">
        <f>IF(Table33[[#This Row],[Category]]="Cookie Debt",Table33[[#This Row],[Account Deposit Amount]]-Table33[[#This Row],[Account Withdrawl Amount]], )</f>
        <v>0</v>
      </c>
      <c r="V276" s="243">
        <f>IF(Table33[[#This Row],[Category]]="Other Expense",Table33[[#This Row],[Account Deposit Amount]]-Table33[[#This Row],[Account Withdrawl Amount]], )</f>
        <v>0</v>
      </c>
    </row>
    <row r="277" spans="1:22">
      <c r="A277" s="225"/>
      <c r="B277" s="241"/>
      <c r="C277" s="225"/>
      <c r="D277" s="225"/>
      <c r="E277" s="242"/>
      <c r="F277" s="242"/>
      <c r="G277" s="243">
        <f t="shared" si="7"/>
        <v>0</v>
      </c>
      <c r="H277" s="225"/>
      <c r="I277" s="243">
        <f>IF(Table33[[#This Row],[Category]]="Fall Product",Table33[[#This Row],[Account Deposit Amount]]-Table33[[#This Row],[Account Withdrawl Amount]], )</f>
        <v>0</v>
      </c>
      <c r="J277" s="243">
        <f>IF(Table33[[#This Row],[Category]]="Cookies",Table33[[#This Row],[Account Deposit Amount]]-Table33[[#This Row],[Account Withdrawl Amount]], )</f>
        <v>0</v>
      </c>
      <c r="K277" s="243">
        <f>IF(Table33[[#This Row],[Category]]="Additional Money Earning Activities",Table33[[#This Row],[Account Deposit Amount]]-Table33[[#This Row],[Account Withdrawl Amount]], )</f>
        <v>0</v>
      </c>
      <c r="L277" s="243">
        <f>IF(Table33[[#This Row],[Category]]="Sponsorships",Table33[[#This Row],[Account Deposit Amount]]-Table33[[#This Row],[Account Withdrawl Amount]], )</f>
        <v>0</v>
      </c>
      <c r="M277" s="243">
        <f>IF(Table33[[#This Row],[Category]]="Troop Dues",Table33[[#This Row],[Account Deposit Amount]]-Table33[[#This Row],[Account Withdrawl Amount]], )</f>
        <v>0</v>
      </c>
      <c r="N277" s="243">
        <f>IF(Table33[[#This Row],[Category]]="Other Income",Table33[[#This Row],[Account Deposit Amount]]-Table33[[#This Row],[Account Withdrawl Amount]], )</f>
        <v>0</v>
      </c>
      <c r="O277" s="243">
        <f>IF(Table33[[#This Row],[Category]]="Registration",Table33[[#This Row],[Account Deposit Amount]]-Table33[[#This Row],[Account Withdrawl Amount]], )</f>
        <v>0</v>
      </c>
      <c r="P277" s="243">
        <f>IF(Table33[[#This Row],[Category]]="Insignia",Table33[[#This Row],[Account Deposit Amount]]-Table33[[#This Row],[Account Withdrawl Amount]], )</f>
        <v>0</v>
      </c>
      <c r="Q277" s="243">
        <f>IF(Table33[[#This Row],[Category]]="Activities/Program",Table33[[#This Row],[Account Deposit Amount]]-Table33[[#This Row],[Account Withdrawl Amount]], )</f>
        <v>0</v>
      </c>
      <c r="R277" s="243">
        <f>IF(Table33[[#This Row],[Category]]="Travel",Table33[[#This Row],[Account Deposit Amount]]-Table33[[#This Row],[Account Withdrawl Amount]], )</f>
        <v>0</v>
      </c>
      <c r="S277" s="243">
        <f>IF(Table33[[#This Row],[Category]]="Parties Food &amp; Beverages",Table33[[#This Row],[Account Deposit Amount]]-Table33[[#This Row],[Account Withdrawl Amount]], )</f>
        <v>0</v>
      </c>
      <c r="T277" s="243">
        <f>IF(Table33[[#This Row],[Category]]="Service Projects Donation",Table33[[#This Row],[Account Deposit Amount]]-Table33[[#This Row],[Account Withdrawl Amount]], )</f>
        <v>0</v>
      </c>
      <c r="U277" s="243">
        <f>IF(Table33[[#This Row],[Category]]="Cookie Debt",Table33[[#This Row],[Account Deposit Amount]]-Table33[[#This Row],[Account Withdrawl Amount]], )</f>
        <v>0</v>
      </c>
      <c r="V277" s="243">
        <f>IF(Table33[[#This Row],[Category]]="Other Expense",Table33[[#This Row],[Account Deposit Amount]]-Table33[[#This Row],[Account Withdrawl Amount]], )</f>
        <v>0</v>
      </c>
    </row>
    <row r="278" spans="1:22">
      <c r="A278" s="225"/>
      <c r="B278" s="241"/>
      <c r="C278" s="225"/>
      <c r="D278" s="225"/>
      <c r="E278" s="242"/>
      <c r="F278" s="242"/>
      <c r="G278" s="243">
        <f t="shared" si="7"/>
        <v>0</v>
      </c>
      <c r="H278" s="225"/>
      <c r="I278" s="243">
        <f>IF(Table33[[#This Row],[Category]]="Fall Product",Table33[[#This Row],[Account Deposit Amount]]-Table33[[#This Row],[Account Withdrawl Amount]], )</f>
        <v>0</v>
      </c>
      <c r="J278" s="243">
        <f>IF(Table33[[#This Row],[Category]]="Cookies",Table33[[#This Row],[Account Deposit Amount]]-Table33[[#This Row],[Account Withdrawl Amount]], )</f>
        <v>0</v>
      </c>
      <c r="K278" s="243">
        <f>IF(Table33[[#This Row],[Category]]="Additional Money Earning Activities",Table33[[#This Row],[Account Deposit Amount]]-Table33[[#This Row],[Account Withdrawl Amount]], )</f>
        <v>0</v>
      </c>
      <c r="L278" s="243">
        <f>IF(Table33[[#This Row],[Category]]="Sponsorships",Table33[[#This Row],[Account Deposit Amount]]-Table33[[#This Row],[Account Withdrawl Amount]], )</f>
        <v>0</v>
      </c>
      <c r="M278" s="243">
        <f>IF(Table33[[#This Row],[Category]]="Troop Dues",Table33[[#This Row],[Account Deposit Amount]]-Table33[[#This Row],[Account Withdrawl Amount]], )</f>
        <v>0</v>
      </c>
      <c r="N278" s="243">
        <f>IF(Table33[[#This Row],[Category]]="Other Income",Table33[[#This Row],[Account Deposit Amount]]-Table33[[#This Row],[Account Withdrawl Amount]], )</f>
        <v>0</v>
      </c>
      <c r="O278" s="243">
        <f>IF(Table33[[#This Row],[Category]]="Registration",Table33[[#This Row],[Account Deposit Amount]]-Table33[[#This Row],[Account Withdrawl Amount]], )</f>
        <v>0</v>
      </c>
      <c r="P278" s="243">
        <f>IF(Table33[[#This Row],[Category]]="Insignia",Table33[[#This Row],[Account Deposit Amount]]-Table33[[#This Row],[Account Withdrawl Amount]], )</f>
        <v>0</v>
      </c>
      <c r="Q278" s="243">
        <f>IF(Table33[[#This Row],[Category]]="Activities/Program",Table33[[#This Row],[Account Deposit Amount]]-Table33[[#This Row],[Account Withdrawl Amount]], )</f>
        <v>0</v>
      </c>
      <c r="R278" s="243">
        <f>IF(Table33[[#This Row],[Category]]="Travel",Table33[[#This Row],[Account Deposit Amount]]-Table33[[#This Row],[Account Withdrawl Amount]], )</f>
        <v>0</v>
      </c>
      <c r="S278" s="243">
        <f>IF(Table33[[#This Row],[Category]]="Parties Food &amp; Beverages",Table33[[#This Row],[Account Deposit Amount]]-Table33[[#This Row],[Account Withdrawl Amount]], )</f>
        <v>0</v>
      </c>
      <c r="T278" s="243">
        <f>IF(Table33[[#This Row],[Category]]="Service Projects Donation",Table33[[#This Row],[Account Deposit Amount]]-Table33[[#This Row],[Account Withdrawl Amount]], )</f>
        <v>0</v>
      </c>
      <c r="U278" s="243">
        <f>IF(Table33[[#This Row],[Category]]="Cookie Debt",Table33[[#This Row],[Account Deposit Amount]]-Table33[[#This Row],[Account Withdrawl Amount]], )</f>
        <v>0</v>
      </c>
      <c r="V278" s="243">
        <f>IF(Table33[[#This Row],[Category]]="Other Expense",Table33[[#This Row],[Account Deposit Amount]]-Table33[[#This Row],[Account Withdrawl Amount]], )</f>
        <v>0</v>
      </c>
    </row>
    <row r="279" spans="1:22">
      <c r="A279" s="225"/>
      <c r="B279" s="241"/>
      <c r="C279" s="225"/>
      <c r="D279" s="225"/>
      <c r="E279" s="242"/>
      <c r="F279" s="242"/>
      <c r="G279" s="243">
        <f t="shared" si="7"/>
        <v>0</v>
      </c>
      <c r="H279" s="225"/>
      <c r="I279" s="243">
        <f>IF(Table33[[#This Row],[Category]]="Fall Product",Table33[[#This Row],[Account Deposit Amount]]-Table33[[#This Row],[Account Withdrawl Amount]], )</f>
        <v>0</v>
      </c>
      <c r="J279" s="243">
        <f>IF(Table33[[#This Row],[Category]]="Cookies",Table33[[#This Row],[Account Deposit Amount]]-Table33[[#This Row],[Account Withdrawl Amount]], )</f>
        <v>0</v>
      </c>
      <c r="K279" s="243">
        <f>IF(Table33[[#This Row],[Category]]="Additional Money Earning Activities",Table33[[#This Row],[Account Deposit Amount]]-Table33[[#This Row],[Account Withdrawl Amount]], )</f>
        <v>0</v>
      </c>
      <c r="L279" s="243">
        <f>IF(Table33[[#This Row],[Category]]="Sponsorships",Table33[[#This Row],[Account Deposit Amount]]-Table33[[#This Row],[Account Withdrawl Amount]], )</f>
        <v>0</v>
      </c>
      <c r="M279" s="243">
        <f>IF(Table33[[#This Row],[Category]]="Troop Dues",Table33[[#This Row],[Account Deposit Amount]]-Table33[[#This Row],[Account Withdrawl Amount]], )</f>
        <v>0</v>
      </c>
      <c r="N279" s="243">
        <f>IF(Table33[[#This Row],[Category]]="Other Income",Table33[[#This Row],[Account Deposit Amount]]-Table33[[#This Row],[Account Withdrawl Amount]], )</f>
        <v>0</v>
      </c>
      <c r="O279" s="243">
        <f>IF(Table33[[#This Row],[Category]]="Registration",Table33[[#This Row],[Account Deposit Amount]]-Table33[[#This Row],[Account Withdrawl Amount]], )</f>
        <v>0</v>
      </c>
      <c r="P279" s="243">
        <f>IF(Table33[[#This Row],[Category]]="Insignia",Table33[[#This Row],[Account Deposit Amount]]-Table33[[#This Row],[Account Withdrawl Amount]], )</f>
        <v>0</v>
      </c>
      <c r="Q279" s="243">
        <f>IF(Table33[[#This Row],[Category]]="Activities/Program",Table33[[#This Row],[Account Deposit Amount]]-Table33[[#This Row],[Account Withdrawl Amount]], )</f>
        <v>0</v>
      </c>
      <c r="R279" s="243">
        <f>IF(Table33[[#This Row],[Category]]="Travel",Table33[[#This Row],[Account Deposit Amount]]-Table33[[#This Row],[Account Withdrawl Amount]], )</f>
        <v>0</v>
      </c>
      <c r="S279" s="243">
        <f>IF(Table33[[#This Row],[Category]]="Parties Food &amp; Beverages",Table33[[#This Row],[Account Deposit Amount]]-Table33[[#This Row],[Account Withdrawl Amount]], )</f>
        <v>0</v>
      </c>
      <c r="T279" s="243">
        <f>IF(Table33[[#This Row],[Category]]="Service Projects Donation",Table33[[#This Row],[Account Deposit Amount]]-Table33[[#This Row],[Account Withdrawl Amount]], )</f>
        <v>0</v>
      </c>
      <c r="U279" s="243">
        <f>IF(Table33[[#This Row],[Category]]="Cookie Debt",Table33[[#This Row],[Account Deposit Amount]]-Table33[[#This Row],[Account Withdrawl Amount]], )</f>
        <v>0</v>
      </c>
      <c r="V279" s="243">
        <f>IF(Table33[[#This Row],[Category]]="Other Expense",Table33[[#This Row],[Account Deposit Amount]]-Table33[[#This Row],[Account Withdrawl Amount]], )</f>
        <v>0</v>
      </c>
    </row>
    <row r="280" spans="1:22">
      <c r="A280" s="225"/>
      <c r="B280" s="241"/>
      <c r="C280" s="225"/>
      <c r="D280" s="225"/>
      <c r="E280" s="242"/>
      <c r="F280" s="242"/>
      <c r="G280" s="243">
        <f t="shared" si="7"/>
        <v>0</v>
      </c>
      <c r="H280" s="225"/>
      <c r="I280" s="243">
        <f>IF(Table33[[#This Row],[Category]]="Fall Product",Table33[[#This Row],[Account Deposit Amount]]-Table33[[#This Row],[Account Withdrawl Amount]], )</f>
        <v>0</v>
      </c>
      <c r="J280" s="243">
        <f>IF(Table33[[#This Row],[Category]]="Cookies",Table33[[#This Row],[Account Deposit Amount]]-Table33[[#This Row],[Account Withdrawl Amount]], )</f>
        <v>0</v>
      </c>
      <c r="K280" s="243">
        <f>IF(Table33[[#This Row],[Category]]="Additional Money Earning Activities",Table33[[#This Row],[Account Deposit Amount]]-Table33[[#This Row],[Account Withdrawl Amount]], )</f>
        <v>0</v>
      </c>
      <c r="L280" s="243">
        <f>IF(Table33[[#This Row],[Category]]="Sponsorships",Table33[[#This Row],[Account Deposit Amount]]-Table33[[#This Row],[Account Withdrawl Amount]], )</f>
        <v>0</v>
      </c>
      <c r="M280" s="243">
        <f>IF(Table33[[#This Row],[Category]]="Troop Dues",Table33[[#This Row],[Account Deposit Amount]]-Table33[[#This Row],[Account Withdrawl Amount]], )</f>
        <v>0</v>
      </c>
      <c r="N280" s="243">
        <f>IF(Table33[[#This Row],[Category]]="Other Income",Table33[[#This Row],[Account Deposit Amount]]-Table33[[#This Row],[Account Withdrawl Amount]], )</f>
        <v>0</v>
      </c>
      <c r="O280" s="243">
        <f>IF(Table33[[#This Row],[Category]]="Registration",Table33[[#This Row],[Account Deposit Amount]]-Table33[[#This Row],[Account Withdrawl Amount]], )</f>
        <v>0</v>
      </c>
      <c r="P280" s="243">
        <f>IF(Table33[[#This Row],[Category]]="Insignia",Table33[[#This Row],[Account Deposit Amount]]-Table33[[#This Row],[Account Withdrawl Amount]], )</f>
        <v>0</v>
      </c>
      <c r="Q280" s="243">
        <f>IF(Table33[[#This Row],[Category]]="Activities/Program",Table33[[#This Row],[Account Deposit Amount]]-Table33[[#This Row],[Account Withdrawl Amount]], )</f>
        <v>0</v>
      </c>
      <c r="R280" s="243">
        <f>IF(Table33[[#This Row],[Category]]="Travel",Table33[[#This Row],[Account Deposit Amount]]-Table33[[#This Row],[Account Withdrawl Amount]], )</f>
        <v>0</v>
      </c>
      <c r="S280" s="243">
        <f>IF(Table33[[#This Row],[Category]]="Parties Food &amp; Beverages",Table33[[#This Row],[Account Deposit Amount]]-Table33[[#This Row],[Account Withdrawl Amount]], )</f>
        <v>0</v>
      </c>
      <c r="T280" s="243">
        <f>IF(Table33[[#This Row],[Category]]="Service Projects Donation",Table33[[#This Row],[Account Deposit Amount]]-Table33[[#This Row],[Account Withdrawl Amount]], )</f>
        <v>0</v>
      </c>
      <c r="U280" s="243">
        <f>IF(Table33[[#This Row],[Category]]="Cookie Debt",Table33[[#This Row],[Account Deposit Amount]]-Table33[[#This Row],[Account Withdrawl Amount]], )</f>
        <v>0</v>
      </c>
      <c r="V280" s="243">
        <f>IF(Table33[[#This Row],[Category]]="Other Expense",Table33[[#This Row],[Account Deposit Amount]]-Table33[[#This Row],[Account Withdrawl Amount]], )</f>
        <v>0</v>
      </c>
    </row>
    <row r="281" spans="1:22">
      <c r="A281" s="225"/>
      <c r="B281" s="241"/>
      <c r="C281" s="225"/>
      <c r="D281" s="225"/>
      <c r="E281" s="242"/>
      <c r="F281" s="242"/>
      <c r="G281" s="243">
        <f t="shared" si="7"/>
        <v>0</v>
      </c>
      <c r="H281" s="225"/>
      <c r="I281" s="243">
        <f>IF(Table33[[#This Row],[Category]]="Fall Product",Table33[[#This Row],[Account Deposit Amount]]-Table33[[#This Row],[Account Withdrawl Amount]], )</f>
        <v>0</v>
      </c>
      <c r="J281" s="243">
        <f>IF(Table33[[#This Row],[Category]]="Cookies",Table33[[#This Row],[Account Deposit Amount]]-Table33[[#This Row],[Account Withdrawl Amount]], )</f>
        <v>0</v>
      </c>
      <c r="K281" s="243">
        <f>IF(Table33[[#This Row],[Category]]="Additional Money Earning Activities",Table33[[#This Row],[Account Deposit Amount]]-Table33[[#This Row],[Account Withdrawl Amount]], )</f>
        <v>0</v>
      </c>
      <c r="L281" s="243">
        <f>IF(Table33[[#This Row],[Category]]="Sponsorships",Table33[[#This Row],[Account Deposit Amount]]-Table33[[#This Row],[Account Withdrawl Amount]], )</f>
        <v>0</v>
      </c>
      <c r="M281" s="243">
        <f>IF(Table33[[#This Row],[Category]]="Troop Dues",Table33[[#This Row],[Account Deposit Amount]]-Table33[[#This Row],[Account Withdrawl Amount]], )</f>
        <v>0</v>
      </c>
      <c r="N281" s="243">
        <f>IF(Table33[[#This Row],[Category]]="Other Income",Table33[[#This Row],[Account Deposit Amount]]-Table33[[#This Row],[Account Withdrawl Amount]], )</f>
        <v>0</v>
      </c>
      <c r="O281" s="243">
        <f>IF(Table33[[#This Row],[Category]]="Registration",Table33[[#This Row],[Account Deposit Amount]]-Table33[[#This Row],[Account Withdrawl Amount]], )</f>
        <v>0</v>
      </c>
      <c r="P281" s="243">
        <f>IF(Table33[[#This Row],[Category]]="Insignia",Table33[[#This Row],[Account Deposit Amount]]-Table33[[#This Row],[Account Withdrawl Amount]], )</f>
        <v>0</v>
      </c>
      <c r="Q281" s="243">
        <f>IF(Table33[[#This Row],[Category]]="Activities/Program",Table33[[#This Row],[Account Deposit Amount]]-Table33[[#This Row],[Account Withdrawl Amount]], )</f>
        <v>0</v>
      </c>
      <c r="R281" s="243">
        <f>IF(Table33[[#This Row],[Category]]="Travel",Table33[[#This Row],[Account Deposit Amount]]-Table33[[#This Row],[Account Withdrawl Amount]], )</f>
        <v>0</v>
      </c>
      <c r="S281" s="243">
        <f>IF(Table33[[#This Row],[Category]]="Parties Food &amp; Beverages",Table33[[#This Row],[Account Deposit Amount]]-Table33[[#This Row],[Account Withdrawl Amount]], )</f>
        <v>0</v>
      </c>
      <c r="T281" s="243">
        <f>IF(Table33[[#This Row],[Category]]="Service Projects Donation",Table33[[#This Row],[Account Deposit Amount]]-Table33[[#This Row],[Account Withdrawl Amount]], )</f>
        <v>0</v>
      </c>
      <c r="U281" s="243">
        <f>IF(Table33[[#This Row],[Category]]="Cookie Debt",Table33[[#This Row],[Account Deposit Amount]]-Table33[[#This Row],[Account Withdrawl Amount]], )</f>
        <v>0</v>
      </c>
      <c r="V281" s="243">
        <f>IF(Table33[[#This Row],[Category]]="Other Expense",Table33[[#This Row],[Account Deposit Amount]]-Table33[[#This Row],[Account Withdrawl Amount]], )</f>
        <v>0</v>
      </c>
    </row>
    <row r="282" spans="1:22">
      <c r="A282" s="225"/>
      <c r="B282" s="241"/>
      <c r="C282" s="225"/>
      <c r="D282" s="225"/>
      <c r="E282" s="242"/>
      <c r="F282" s="242"/>
      <c r="G282" s="243">
        <f t="shared" si="7"/>
        <v>0</v>
      </c>
      <c r="H282" s="225"/>
      <c r="I282" s="243">
        <f>IF(Table33[[#This Row],[Category]]="Fall Product",Table33[[#This Row],[Account Deposit Amount]]-Table33[[#This Row],[Account Withdrawl Amount]], )</f>
        <v>0</v>
      </c>
      <c r="J282" s="243">
        <f>IF(Table33[[#This Row],[Category]]="Cookies",Table33[[#This Row],[Account Deposit Amount]]-Table33[[#This Row],[Account Withdrawl Amount]], )</f>
        <v>0</v>
      </c>
      <c r="K282" s="243">
        <f>IF(Table33[[#This Row],[Category]]="Additional Money Earning Activities",Table33[[#This Row],[Account Deposit Amount]]-Table33[[#This Row],[Account Withdrawl Amount]], )</f>
        <v>0</v>
      </c>
      <c r="L282" s="243">
        <f>IF(Table33[[#This Row],[Category]]="Sponsorships",Table33[[#This Row],[Account Deposit Amount]]-Table33[[#This Row],[Account Withdrawl Amount]], )</f>
        <v>0</v>
      </c>
      <c r="M282" s="243">
        <f>IF(Table33[[#This Row],[Category]]="Troop Dues",Table33[[#This Row],[Account Deposit Amount]]-Table33[[#This Row],[Account Withdrawl Amount]], )</f>
        <v>0</v>
      </c>
      <c r="N282" s="243">
        <f>IF(Table33[[#This Row],[Category]]="Other Income",Table33[[#This Row],[Account Deposit Amount]]-Table33[[#This Row],[Account Withdrawl Amount]], )</f>
        <v>0</v>
      </c>
      <c r="O282" s="243">
        <f>IF(Table33[[#This Row],[Category]]="Registration",Table33[[#This Row],[Account Deposit Amount]]-Table33[[#This Row],[Account Withdrawl Amount]], )</f>
        <v>0</v>
      </c>
      <c r="P282" s="243">
        <f>IF(Table33[[#This Row],[Category]]="Insignia",Table33[[#This Row],[Account Deposit Amount]]-Table33[[#This Row],[Account Withdrawl Amount]], )</f>
        <v>0</v>
      </c>
      <c r="Q282" s="243">
        <f>IF(Table33[[#This Row],[Category]]="Activities/Program",Table33[[#This Row],[Account Deposit Amount]]-Table33[[#This Row],[Account Withdrawl Amount]], )</f>
        <v>0</v>
      </c>
      <c r="R282" s="243">
        <f>IF(Table33[[#This Row],[Category]]="Travel",Table33[[#This Row],[Account Deposit Amount]]-Table33[[#This Row],[Account Withdrawl Amount]], )</f>
        <v>0</v>
      </c>
      <c r="S282" s="243">
        <f>IF(Table33[[#This Row],[Category]]="Parties Food &amp; Beverages",Table33[[#This Row],[Account Deposit Amount]]-Table33[[#This Row],[Account Withdrawl Amount]], )</f>
        <v>0</v>
      </c>
      <c r="T282" s="243">
        <f>IF(Table33[[#This Row],[Category]]="Service Projects Donation",Table33[[#This Row],[Account Deposit Amount]]-Table33[[#This Row],[Account Withdrawl Amount]], )</f>
        <v>0</v>
      </c>
      <c r="U282" s="243">
        <f>IF(Table33[[#This Row],[Category]]="Cookie Debt",Table33[[#This Row],[Account Deposit Amount]]-Table33[[#This Row],[Account Withdrawl Amount]], )</f>
        <v>0</v>
      </c>
      <c r="V282" s="243">
        <f>IF(Table33[[#This Row],[Category]]="Other Expense",Table33[[#This Row],[Account Deposit Amount]]-Table33[[#This Row],[Account Withdrawl Amount]], )</f>
        <v>0</v>
      </c>
    </row>
    <row r="283" spans="1:22">
      <c r="A283" s="225"/>
      <c r="B283" s="241"/>
      <c r="C283" s="225"/>
      <c r="D283" s="225"/>
      <c r="E283" s="242"/>
      <c r="F283" s="242"/>
      <c r="G283" s="243">
        <f t="shared" si="7"/>
        <v>0</v>
      </c>
      <c r="H283" s="225"/>
      <c r="I283" s="243">
        <f>IF(Table33[[#This Row],[Category]]="Fall Product",Table33[[#This Row],[Account Deposit Amount]]-Table33[[#This Row],[Account Withdrawl Amount]], )</f>
        <v>0</v>
      </c>
      <c r="J283" s="243">
        <f>IF(Table33[[#This Row],[Category]]="Cookies",Table33[[#This Row],[Account Deposit Amount]]-Table33[[#This Row],[Account Withdrawl Amount]], )</f>
        <v>0</v>
      </c>
      <c r="K283" s="243">
        <f>IF(Table33[[#This Row],[Category]]="Additional Money Earning Activities",Table33[[#This Row],[Account Deposit Amount]]-Table33[[#This Row],[Account Withdrawl Amount]], )</f>
        <v>0</v>
      </c>
      <c r="L283" s="243">
        <f>IF(Table33[[#This Row],[Category]]="Sponsorships",Table33[[#This Row],[Account Deposit Amount]]-Table33[[#This Row],[Account Withdrawl Amount]], )</f>
        <v>0</v>
      </c>
      <c r="M283" s="243">
        <f>IF(Table33[[#This Row],[Category]]="Troop Dues",Table33[[#This Row],[Account Deposit Amount]]-Table33[[#This Row],[Account Withdrawl Amount]], )</f>
        <v>0</v>
      </c>
      <c r="N283" s="243">
        <f>IF(Table33[[#This Row],[Category]]="Other Income",Table33[[#This Row],[Account Deposit Amount]]-Table33[[#This Row],[Account Withdrawl Amount]], )</f>
        <v>0</v>
      </c>
      <c r="O283" s="243">
        <f>IF(Table33[[#This Row],[Category]]="Registration",Table33[[#This Row],[Account Deposit Amount]]-Table33[[#This Row],[Account Withdrawl Amount]], )</f>
        <v>0</v>
      </c>
      <c r="P283" s="243">
        <f>IF(Table33[[#This Row],[Category]]="Insignia",Table33[[#This Row],[Account Deposit Amount]]-Table33[[#This Row],[Account Withdrawl Amount]], )</f>
        <v>0</v>
      </c>
      <c r="Q283" s="243">
        <f>IF(Table33[[#This Row],[Category]]="Activities/Program",Table33[[#This Row],[Account Deposit Amount]]-Table33[[#This Row],[Account Withdrawl Amount]], )</f>
        <v>0</v>
      </c>
      <c r="R283" s="243">
        <f>IF(Table33[[#This Row],[Category]]="Travel",Table33[[#This Row],[Account Deposit Amount]]-Table33[[#This Row],[Account Withdrawl Amount]], )</f>
        <v>0</v>
      </c>
      <c r="S283" s="243">
        <f>IF(Table33[[#This Row],[Category]]="Parties Food &amp; Beverages",Table33[[#This Row],[Account Deposit Amount]]-Table33[[#This Row],[Account Withdrawl Amount]], )</f>
        <v>0</v>
      </c>
      <c r="T283" s="243">
        <f>IF(Table33[[#This Row],[Category]]="Service Projects Donation",Table33[[#This Row],[Account Deposit Amount]]-Table33[[#This Row],[Account Withdrawl Amount]], )</f>
        <v>0</v>
      </c>
      <c r="U283" s="243">
        <f>IF(Table33[[#This Row],[Category]]="Cookie Debt",Table33[[#This Row],[Account Deposit Amount]]-Table33[[#This Row],[Account Withdrawl Amount]], )</f>
        <v>0</v>
      </c>
      <c r="V283" s="243">
        <f>IF(Table33[[#This Row],[Category]]="Other Expense",Table33[[#This Row],[Account Deposit Amount]]-Table33[[#This Row],[Account Withdrawl Amount]], )</f>
        <v>0</v>
      </c>
    </row>
    <row r="284" spans="1:22">
      <c r="A284" s="225"/>
      <c r="B284" s="241"/>
      <c r="C284" s="225"/>
      <c r="D284" s="225"/>
      <c r="E284" s="242"/>
      <c r="F284" s="242"/>
      <c r="G284" s="243">
        <f t="shared" si="7"/>
        <v>0</v>
      </c>
      <c r="H284" s="225"/>
      <c r="I284" s="243">
        <f>IF(Table33[[#This Row],[Category]]="Fall Product",Table33[[#This Row],[Account Deposit Amount]]-Table33[[#This Row],[Account Withdrawl Amount]], )</f>
        <v>0</v>
      </c>
      <c r="J284" s="243">
        <f>IF(Table33[[#This Row],[Category]]="Cookies",Table33[[#This Row],[Account Deposit Amount]]-Table33[[#This Row],[Account Withdrawl Amount]], )</f>
        <v>0</v>
      </c>
      <c r="K284" s="243">
        <f>IF(Table33[[#This Row],[Category]]="Additional Money Earning Activities",Table33[[#This Row],[Account Deposit Amount]]-Table33[[#This Row],[Account Withdrawl Amount]], )</f>
        <v>0</v>
      </c>
      <c r="L284" s="243">
        <f>IF(Table33[[#This Row],[Category]]="Sponsorships",Table33[[#This Row],[Account Deposit Amount]]-Table33[[#This Row],[Account Withdrawl Amount]], )</f>
        <v>0</v>
      </c>
      <c r="M284" s="243">
        <f>IF(Table33[[#This Row],[Category]]="Troop Dues",Table33[[#This Row],[Account Deposit Amount]]-Table33[[#This Row],[Account Withdrawl Amount]], )</f>
        <v>0</v>
      </c>
      <c r="N284" s="243">
        <f>IF(Table33[[#This Row],[Category]]="Other Income",Table33[[#This Row],[Account Deposit Amount]]-Table33[[#This Row],[Account Withdrawl Amount]], )</f>
        <v>0</v>
      </c>
      <c r="O284" s="243">
        <f>IF(Table33[[#This Row],[Category]]="Registration",Table33[[#This Row],[Account Deposit Amount]]-Table33[[#This Row],[Account Withdrawl Amount]], )</f>
        <v>0</v>
      </c>
      <c r="P284" s="243">
        <f>IF(Table33[[#This Row],[Category]]="Insignia",Table33[[#This Row],[Account Deposit Amount]]-Table33[[#This Row],[Account Withdrawl Amount]], )</f>
        <v>0</v>
      </c>
      <c r="Q284" s="243">
        <f>IF(Table33[[#This Row],[Category]]="Activities/Program",Table33[[#This Row],[Account Deposit Amount]]-Table33[[#This Row],[Account Withdrawl Amount]], )</f>
        <v>0</v>
      </c>
      <c r="R284" s="243">
        <f>IF(Table33[[#This Row],[Category]]="Travel",Table33[[#This Row],[Account Deposit Amount]]-Table33[[#This Row],[Account Withdrawl Amount]], )</f>
        <v>0</v>
      </c>
      <c r="S284" s="243">
        <f>IF(Table33[[#This Row],[Category]]="Parties Food &amp; Beverages",Table33[[#This Row],[Account Deposit Amount]]-Table33[[#This Row],[Account Withdrawl Amount]], )</f>
        <v>0</v>
      </c>
      <c r="T284" s="243">
        <f>IF(Table33[[#This Row],[Category]]="Service Projects Donation",Table33[[#This Row],[Account Deposit Amount]]-Table33[[#This Row],[Account Withdrawl Amount]], )</f>
        <v>0</v>
      </c>
      <c r="U284" s="243">
        <f>IF(Table33[[#This Row],[Category]]="Cookie Debt",Table33[[#This Row],[Account Deposit Amount]]-Table33[[#This Row],[Account Withdrawl Amount]], )</f>
        <v>0</v>
      </c>
      <c r="V284" s="243">
        <f>IF(Table33[[#This Row],[Category]]="Other Expense",Table33[[#This Row],[Account Deposit Amount]]-Table33[[#This Row],[Account Withdrawl Amount]], )</f>
        <v>0</v>
      </c>
    </row>
    <row r="285" spans="1:22">
      <c r="A285" s="225"/>
      <c r="B285" s="241"/>
      <c r="C285" s="225"/>
      <c r="D285" s="225"/>
      <c r="E285" s="242"/>
      <c r="F285" s="242"/>
      <c r="G285" s="243">
        <f t="shared" si="7"/>
        <v>0</v>
      </c>
      <c r="H285" s="225"/>
      <c r="I285" s="243">
        <f>IF(Table33[[#This Row],[Category]]="Fall Product",Table33[[#This Row],[Account Deposit Amount]]-Table33[[#This Row],[Account Withdrawl Amount]], )</f>
        <v>0</v>
      </c>
      <c r="J285" s="243">
        <f>IF(Table33[[#This Row],[Category]]="Cookies",Table33[[#This Row],[Account Deposit Amount]]-Table33[[#This Row],[Account Withdrawl Amount]], )</f>
        <v>0</v>
      </c>
      <c r="K285" s="243">
        <f>IF(Table33[[#This Row],[Category]]="Additional Money Earning Activities",Table33[[#This Row],[Account Deposit Amount]]-Table33[[#This Row],[Account Withdrawl Amount]], )</f>
        <v>0</v>
      </c>
      <c r="L285" s="243">
        <f>IF(Table33[[#This Row],[Category]]="Sponsorships",Table33[[#This Row],[Account Deposit Amount]]-Table33[[#This Row],[Account Withdrawl Amount]], )</f>
        <v>0</v>
      </c>
      <c r="M285" s="243">
        <f>IF(Table33[[#This Row],[Category]]="Troop Dues",Table33[[#This Row],[Account Deposit Amount]]-Table33[[#This Row],[Account Withdrawl Amount]], )</f>
        <v>0</v>
      </c>
      <c r="N285" s="243">
        <f>IF(Table33[[#This Row],[Category]]="Other Income",Table33[[#This Row],[Account Deposit Amount]]-Table33[[#This Row],[Account Withdrawl Amount]], )</f>
        <v>0</v>
      </c>
      <c r="O285" s="243">
        <f>IF(Table33[[#This Row],[Category]]="Registration",Table33[[#This Row],[Account Deposit Amount]]-Table33[[#This Row],[Account Withdrawl Amount]], )</f>
        <v>0</v>
      </c>
      <c r="P285" s="243">
        <f>IF(Table33[[#This Row],[Category]]="Insignia",Table33[[#This Row],[Account Deposit Amount]]-Table33[[#This Row],[Account Withdrawl Amount]], )</f>
        <v>0</v>
      </c>
      <c r="Q285" s="243">
        <f>IF(Table33[[#This Row],[Category]]="Activities/Program",Table33[[#This Row],[Account Deposit Amount]]-Table33[[#This Row],[Account Withdrawl Amount]], )</f>
        <v>0</v>
      </c>
      <c r="R285" s="243">
        <f>IF(Table33[[#This Row],[Category]]="Travel",Table33[[#This Row],[Account Deposit Amount]]-Table33[[#This Row],[Account Withdrawl Amount]], )</f>
        <v>0</v>
      </c>
      <c r="S285" s="243">
        <f>IF(Table33[[#This Row],[Category]]="Parties Food &amp; Beverages",Table33[[#This Row],[Account Deposit Amount]]-Table33[[#This Row],[Account Withdrawl Amount]], )</f>
        <v>0</v>
      </c>
      <c r="T285" s="243">
        <f>IF(Table33[[#This Row],[Category]]="Service Projects Donation",Table33[[#This Row],[Account Deposit Amount]]-Table33[[#This Row],[Account Withdrawl Amount]], )</f>
        <v>0</v>
      </c>
      <c r="U285" s="243">
        <f>IF(Table33[[#This Row],[Category]]="Cookie Debt",Table33[[#This Row],[Account Deposit Amount]]-Table33[[#This Row],[Account Withdrawl Amount]], )</f>
        <v>0</v>
      </c>
      <c r="V285" s="243">
        <f>IF(Table33[[#This Row],[Category]]="Other Expense",Table33[[#This Row],[Account Deposit Amount]]-Table33[[#This Row],[Account Withdrawl Amount]], )</f>
        <v>0</v>
      </c>
    </row>
    <row r="286" spans="1:22">
      <c r="A286" s="225"/>
      <c r="B286" s="241"/>
      <c r="C286" s="225"/>
      <c r="D286" s="225"/>
      <c r="E286" s="242"/>
      <c r="F286" s="242"/>
      <c r="G286" s="243">
        <f t="shared" si="7"/>
        <v>0</v>
      </c>
      <c r="H286" s="225"/>
      <c r="I286" s="243">
        <f>IF(Table33[[#This Row],[Category]]="Fall Product",Table33[[#This Row],[Account Deposit Amount]]-Table33[[#This Row],[Account Withdrawl Amount]], )</f>
        <v>0</v>
      </c>
      <c r="J286" s="243">
        <f>IF(Table33[[#This Row],[Category]]="Cookies",Table33[[#This Row],[Account Deposit Amount]]-Table33[[#This Row],[Account Withdrawl Amount]], )</f>
        <v>0</v>
      </c>
      <c r="K286" s="243">
        <f>IF(Table33[[#This Row],[Category]]="Additional Money Earning Activities",Table33[[#This Row],[Account Deposit Amount]]-Table33[[#This Row],[Account Withdrawl Amount]], )</f>
        <v>0</v>
      </c>
      <c r="L286" s="243">
        <f>IF(Table33[[#This Row],[Category]]="Sponsorships",Table33[[#This Row],[Account Deposit Amount]]-Table33[[#This Row],[Account Withdrawl Amount]], )</f>
        <v>0</v>
      </c>
      <c r="M286" s="243">
        <f>IF(Table33[[#This Row],[Category]]="Troop Dues",Table33[[#This Row],[Account Deposit Amount]]-Table33[[#This Row],[Account Withdrawl Amount]], )</f>
        <v>0</v>
      </c>
      <c r="N286" s="243">
        <f>IF(Table33[[#This Row],[Category]]="Other Income",Table33[[#This Row],[Account Deposit Amount]]-Table33[[#This Row],[Account Withdrawl Amount]], )</f>
        <v>0</v>
      </c>
      <c r="O286" s="243">
        <f>IF(Table33[[#This Row],[Category]]="Registration",Table33[[#This Row],[Account Deposit Amount]]-Table33[[#This Row],[Account Withdrawl Amount]], )</f>
        <v>0</v>
      </c>
      <c r="P286" s="243">
        <f>IF(Table33[[#This Row],[Category]]="Insignia",Table33[[#This Row],[Account Deposit Amount]]-Table33[[#This Row],[Account Withdrawl Amount]], )</f>
        <v>0</v>
      </c>
      <c r="Q286" s="243">
        <f>IF(Table33[[#This Row],[Category]]="Activities/Program",Table33[[#This Row],[Account Deposit Amount]]-Table33[[#This Row],[Account Withdrawl Amount]], )</f>
        <v>0</v>
      </c>
      <c r="R286" s="243">
        <f>IF(Table33[[#This Row],[Category]]="Travel",Table33[[#This Row],[Account Deposit Amount]]-Table33[[#This Row],[Account Withdrawl Amount]], )</f>
        <v>0</v>
      </c>
      <c r="S286" s="243">
        <f>IF(Table33[[#This Row],[Category]]="Parties Food &amp; Beverages",Table33[[#This Row],[Account Deposit Amount]]-Table33[[#This Row],[Account Withdrawl Amount]], )</f>
        <v>0</v>
      </c>
      <c r="T286" s="243">
        <f>IF(Table33[[#This Row],[Category]]="Service Projects Donation",Table33[[#This Row],[Account Deposit Amount]]-Table33[[#This Row],[Account Withdrawl Amount]], )</f>
        <v>0</v>
      </c>
      <c r="U286" s="243">
        <f>IF(Table33[[#This Row],[Category]]="Cookie Debt",Table33[[#This Row],[Account Deposit Amount]]-Table33[[#This Row],[Account Withdrawl Amount]], )</f>
        <v>0</v>
      </c>
      <c r="V286" s="243">
        <f>IF(Table33[[#This Row],[Category]]="Other Expense",Table33[[#This Row],[Account Deposit Amount]]-Table33[[#This Row],[Account Withdrawl Amount]], )</f>
        <v>0</v>
      </c>
    </row>
    <row r="287" spans="1:22">
      <c r="A287" s="225"/>
      <c r="B287" s="241"/>
      <c r="C287" s="225"/>
      <c r="D287" s="225"/>
      <c r="E287" s="242"/>
      <c r="F287" s="242"/>
      <c r="G287" s="243">
        <f t="shared" si="7"/>
        <v>0</v>
      </c>
      <c r="H287" s="225"/>
      <c r="I287" s="243">
        <f>IF(Table33[[#This Row],[Category]]="Fall Product",Table33[[#This Row],[Account Deposit Amount]]-Table33[[#This Row],[Account Withdrawl Amount]], )</f>
        <v>0</v>
      </c>
      <c r="J287" s="243">
        <f>IF(Table33[[#This Row],[Category]]="Cookies",Table33[[#This Row],[Account Deposit Amount]]-Table33[[#This Row],[Account Withdrawl Amount]], )</f>
        <v>0</v>
      </c>
      <c r="K287" s="243">
        <f>IF(Table33[[#This Row],[Category]]="Additional Money Earning Activities",Table33[[#This Row],[Account Deposit Amount]]-Table33[[#This Row],[Account Withdrawl Amount]], )</f>
        <v>0</v>
      </c>
      <c r="L287" s="243">
        <f>IF(Table33[[#This Row],[Category]]="Sponsorships",Table33[[#This Row],[Account Deposit Amount]]-Table33[[#This Row],[Account Withdrawl Amount]], )</f>
        <v>0</v>
      </c>
      <c r="M287" s="243">
        <f>IF(Table33[[#This Row],[Category]]="Troop Dues",Table33[[#This Row],[Account Deposit Amount]]-Table33[[#This Row],[Account Withdrawl Amount]], )</f>
        <v>0</v>
      </c>
      <c r="N287" s="243">
        <f>IF(Table33[[#This Row],[Category]]="Other Income",Table33[[#This Row],[Account Deposit Amount]]-Table33[[#This Row],[Account Withdrawl Amount]], )</f>
        <v>0</v>
      </c>
      <c r="O287" s="243">
        <f>IF(Table33[[#This Row],[Category]]="Registration",Table33[[#This Row],[Account Deposit Amount]]-Table33[[#This Row],[Account Withdrawl Amount]], )</f>
        <v>0</v>
      </c>
      <c r="P287" s="243">
        <f>IF(Table33[[#This Row],[Category]]="Insignia",Table33[[#This Row],[Account Deposit Amount]]-Table33[[#This Row],[Account Withdrawl Amount]], )</f>
        <v>0</v>
      </c>
      <c r="Q287" s="243">
        <f>IF(Table33[[#This Row],[Category]]="Activities/Program",Table33[[#This Row],[Account Deposit Amount]]-Table33[[#This Row],[Account Withdrawl Amount]], )</f>
        <v>0</v>
      </c>
      <c r="R287" s="243">
        <f>IF(Table33[[#This Row],[Category]]="Travel",Table33[[#This Row],[Account Deposit Amount]]-Table33[[#This Row],[Account Withdrawl Amount]], )</f>
        <v>0</v>
      </c>
      <c r="S287" s="243">
        <f>IF(Table33[[#This Row],[Category]]="Parties Food &amp; Beverages",Table33[[#This Row],[Account Deposit Amount]]-Table33[[#This Row],[Account Withdrawl Amount]], )</f>
        <v>0</v>
      </c>
      <c r="T287" s="243">
        <f>IF(Table33[[#This Row],[Category]]="Service Projects Donation",Table33[[#This Row],[Account Deposit Amount]]-Table33[[#This Row],[Account Withdrawl Amount]], )</f>
        <v>0</v>
      </c>
      <c r="U287" s="243">
        <f>IF(Table33[[#This Row],[Category]]="Cookie Debt",Table33[[#This Row],[Account Deposit Amount]]-Table33[[#This Row],[Account Withdrawl Amount]], )</f>
        <v>0</v>
      </c>
      <c r="V287" s="243">
        <f>IF(Table33[[#This Row],[Category]]="Other Expense",Table33[[#This Row],[Account Deposit Amount]]-Table33[[#This Row],[Account Withdrawl Amount]], )</f>
        <v>0</v>
      </c>
    </row>
    <row r="288" spans="1:22">
      <c r="A288" s="225"/>
      <c r="B288" s="241"/>
      <c r="C288" s="225"/>
      <c r="D288" s="225"/>
      <c r="E288" s="242"/>
      <c r="F288" s="242"/>
      <c r="G288" s="243">
        <f t="shared" si="7"/>
        <v>0</v>
      </c>
      <c r="H288" s="225"/>
      <c r="I288" s="243">
        <f>IF(Table33[[#This Row],[Category]]="Fall Product",Table33[[#This Row],[Account Deposit Amount]]-Table33[[#This Row],[Account Withdrawl Amount]], )</f>
        <v>0</v>
      </c>
      <c r="J288" s="243">
        <f>IF(Table33[[#This Row],[Category]]="Cookies",Table33[[#This Row],[Account Deposit Amount]]-Table33[[#This Row],[Account Withdrawl Amount]], )</f>
        <v>0</v>
      </c>
      <c r="K288" s="243">
        <f>IF(Table33[[#This Row],[Category]]="Additional Money Earning Activities",Table33[[#This Row],[Account Deposit Amount]]-Table33[[#This Row],[Account Withdrawl Amount]], )</f>
        <v>0</v>
      </c>
      <c r="L288" s="243">
        <f>IF(Table33[[#This Row],[Category]]="Sponsorships",Table33[[#This Row],[Account Deposit Amount]]-Table33[[#This Row],[Account Withdrawl Amount]], )</f>
        <v>0</v>
      </c>
      <c r="M288" s="243">
        <f>IF(Table33[[#This Row],[Category]]="Troop Dues",Table33[[#This Row],[Account Deposit Amount]]-Table33[[#This Row],[Account Withdrawl Amount]], )</f>
        <v>0</v>
      </c>
      <c r="N288" s="243">
        <f>IF(Table33[[#This Row],[Category]]="Other Income",Table33[[#This Row],[Account Deposit Amount]]-Table33[[#This Row],[Account Withdrawl Amount]], )</f>
        <v>0</v>
      </c>
      <c r="O288" s="243">
        <f>IF(Table33[[#This Row],[Category]]="Registration",Table33[[#This Row],[Account Deposit Amount]]-Table33[[#This Row],[Account Withdrawl Amount]], )</f>
        <v>0</v>
      </c>
      <c r="P288" s="243">
        <f>IF(Table33[[#This Row],[Category]]="Insignia",Table33[[#This Row],[Account Deposit Amount]]-Table33[[#This Row],[Account Withdrawl Amount]], )</f>
        <v>0</v>
      </c>
      <c r="Q288" s="243">
        <f>IF(Table33[[#This Row],[Category]]="Activities/Program",Table33[[#This Row],[Account Deposit Amount]]-Table33[[#This Row],[Account Withdrawl Amount]], )</f>
        <v>0</v>
      </c>
      <c r="R288" s="243">
        <f>IF(Table33[[#This Row],[Category]]="Travel",Table33[[#This Row],[Account Deposit Amount]]-Table33[[#This Row],[Account Withdrawl Amount]], )</f>
        <v>0</v>
      </c>
      <c r="S288" s="243">
        <f>IF(Table33[[#This Row],[Category]]="Parties Food &amp; Beverages",Table33[[#This Row],[Account Deposit Amount]]-Table33[[#This Row],[Account Withdrawl Amount]], )</f>
        <v>0</v>
      </c>
      <c r="T288" s="243">
        <f>IF(Table33[[#This Row],[Category]]="Service Projects Donation",Table33[[#This Row],[Account Deposit Amount]]-Table33[[#This Row],[Account Withdrawl Amount]], )</f>
        <v>0</v>
      </c>
      <c r="U288" s="243">
        <f>IF(Table33[[#This Row],[Category]]="Cookie Debt",Table33[[#This Row],[Account Deposit Amount]]-Table33[[#This Row],[Account Withdrawl Amount]], )</f>
        <v>0</v>
      </c>
      <c r="V288" s="243">
        <f>IF(Table33[[#This Row],[Category]]="Other Expense",Table33[[#This Row],[Account Deposit Amount]]-Table33[[#This Row],[Account Withdrawl Amount]], )</f>
        <v>0</v>
      </c>
    </row>
    <row r="289" spans="1:22">
      <c r="A289" s="225"/>
      <c r="B289" s="241"/>
      <c r="C289" s="225"/>
      <c r="D289" s="225"/>
      <c r="E289" s="242"/>
      <c r="F289" s="242"/>
      <c r="G289" s="243">
        <f t="shared" si="7"/>
        <v>0</v>
      </c>
      <c r="H289" s="225"/>
      <c r="I289" s="243">
        <f>IF(Table33[[#This Row],[Category]]="Fall Product",Table33[[#This Row],[Account Deposit Amount]]-Table33[[#This Row],[Account Withdrawl Amount]], )</f>
        <v>0</v>
      </c>
      <c r="J289" s="243">
        <f>IF(Table33[[#This Row],[Category]]="Cookies",Table33[[#This Row],[Account Deposit Amount]]-Table33[[#This Row],[Account Withdrawl Amount]], )</f>
        <v>0</v>
      </c>
      <c r="K289" s="243">
        <f>IF(Table33[[#This Row],[Category]]="Additional Money Earning Activities",Table33[[#This Row],[Account Deposit Amount]]-Table33[[#This Row],[Account Withdrawl Amount]], )</f>
        <v>0</v>
      </c>
      <c r="L289" s="243">
        <f>IF(Table33[[#This Row],[Category]]="Sponsorships",Table33[[#This Row],[Account Deposit Amount]]-Table33[[#This Row],[Account Withdrawl Amount]], )</f>
        <v>0</v>
      </c>
      <c r="M289" s="243">
        <f>IF(Table33[[#This Row],[Category]]="Troop Dues",Table33[[#This Row],[Account Deposit Amount]]-Table33[[#This Row],[Account Withdrawl Amount]], )</f>
        <v>0</v>
      </c>
      <c r="N289" s="243">
        <f>IF(Table33[[#This Row],[Category]]="Other Income",Table33[[#This Row],[Account Deposit Amount]]-Table33[[#This Row],[Account Withdrawl Amount]], )</f>
        <v>0</v>
      </c>
      <c r="O289" s="243">
        <f>IF(Table33[[#This Row],[Category]]="Registration",Table33[[#This Row],[Account Deposit Amount]]-Table33[[#This Row],[Account Withdrawl Amount]], )</f>
        <v>0</v>
      </c>
      <c r="P289" s="243">
        <f>IF(Table33[[#This Row],[Category]]="Insignia",Table33[[#This Row],[Account Deposit Amount]]-Table33[[#This Row],[Account Withdrawl Amount]], )</f>
        <v>0</v>
      </c>
      <c r="Q289" s="243">
        <f>IF(Table33[[#This Row],[Category]]="Activities/Program",Table33[[#This Row],[Account Deposit Amount]]-Table33[[#This Row],[Account Withdrawl Amount]], )</f>
        <v>0</v>
      </c>
      <c r="R289" s="243">
        <f>IF(Table33[[#This Row],[Category]]="Travel",Table33[[#This Row],[Account Deposit Amount]]-Table33[[#This Row],[Account Withdrawl Amount]], )</f>
        <v>0</v>
      </c>
      <c r="S289" s="243">
        <f>IF(Table33[[#This Row],[Category]]="Parties Food &amp; Beverages",Table33[[#This Row],[Account Deposit Amount]]-Table33[[#This Row],[Account Withdrawl Amount]], )</f>
        <v>0</v>
      </c>
      <c r="T289" s="243">
        <f>IF(Table33[[#This Row],[Category]]="Service Projects Donation",Table33[[#This Row],[Account Deposit Amount]]-Table33[[#This Row],[Account Withdrawl Amount]], )</f>
        <v>0</v>
      </c>
      <c r="U289" s="243">
        <f>IF(Table33[[#This Row],[Category]]="Cookie Debt",Table33[[#This Row],[Account Deposit Amount]]-Table33[[#This Row],[Account Withdrawl Amount]], )</f>
        <v>0</v>
      </c>
      <c r="V289" s="243">
        <f>IF(Table33[[#This Row],[Category]]="Other Expense",Table33[[#This Row],[Account Deposit Amount]]-Table33[[#This Row],[Account Withdrawl Amount]], )</f>
        <v>0</v>
      </c>
    </row>
    <row r="290" spans="1:22">
      <c r="A290" s="225"/>
      <c r="B290" s="241"/>
      <c r="C290" s="225"/>
      <c r="D290" s="225"/>
      <c r="E290" s="242"/>
      <c r="F290" s="242"/>
      <c r="G290" s="243">
        <f t="shared" si="7"/>
        <v>0</v>
      </c>
      <c r="H290" s="225"/>
      <c r="I290" s="243">
        <f>IF(Table33[[#This Row],[Category]]="Fall Product",Table33[[#This Row],[Account Deposit Amount]]-Table33[[#This Row],[Account Withdrawl Amount]], )</f>
        <v>0</v>
      </c>
      <c r="J290" s="243">
        <f>IF(Table33[[#This Row],[Category]]="Cookies",Table33[[#This Row],[Account Deposit Amount]]-Table33[[#This Row],[Account Withdrawl Amount]], )</f>
        <v>0</v>
      </c>
      <c r="K290" s="243">
        <f>IF(Table33[[#This Row],[Category]]="Additional Money Earning Activities",Table33[[#This Row],[Account Deposit Amount]]-Table33[[#This Row],[Account Withdrawl Amount]], )</f>
        <v>0</v>
      </c>
      <c r="L290" s="243">
        <f>IF(Table33[[#This Row],[Category]]="Sponsorships",Table33[[#This Row],[Account Deposit Amount]]-Table33[[#This Row],[Account Withdrawl Amount]], )</f>
        <v>0</v>
      </c>
      <c r="M290" s="243">
        <f>IF(Table33[[#This Row],[Category]]="Troop Dues",Table33[[#This Row],[Account Deposit Amount]]-Table33[[#This Row],[Account Withdrawl Amount]], )</f>
        <v>0</v>
      </c>
      <c r="N290" s="243">
        <f>IF(Table33[[#This Row],[Category]]="Other Income",Table33[[#This Row],[Account Deposit Amount]]-Table33[[#This Row],[Account Withdrawl Amount]], )</f>
        <v>0</v>
      </c>
      <c r="O290" s="243">
        <f>IF(Table33[[#This Row],[Category]]="Registration",Table33[[#This Row],[Account Deposit Amount]]-Table33[[#This Row],[Account Withdrawl Amount]], )</f>
        <v>0</v>
      </c>
      <c r="P290" s="243">
        <f>IF(Table33[[#This Row],[Category]]="Insignia",Table33[[#This Row],[Account Deposit Amount]]-Table33[[#This Row],[Account Withdrawl Amount]], )</f>
        <v>0</v>
      </c>
      <c r="Q290" s="243">
        <f>IF(Table33[[#This Row],[Category]]="Activities/Program",Table33[[#This Row],[Account Deposit Amount]]-Table33[[#This Row],[Account Withdrawl Amount]], )</f>
        <v>0</v>
      </c>
      <c r="R290" s="243">
        <f>IF(Table33[[#This Row],[Category]]="Travel",Table33[[#This Row],[Account Deposit Amount]]-Table33[[#This Row],[Account Withdrawl Amount]], )</f>
        <v>0</v>
      </c>
      <c r="S290" s="243">
        <f>IF(Table33[[#This Row],[Category]]="Parties Food &amp; Beverages",Table33[[#This Row],[Account Deposit Amount]]-Table33[[#This Row],[Account Withdrawl Amount]], )</f>
        <v>0</v>
      </c>
      <c r="T290" s="243">
        <f>IF(Table33[[#This Row],[Category]]="Service Projects Donation",Table33[[#This Row],[Account Deposit Amount]]-Table33[[#This Row],[Account Withdrawl Amount]], )</f>
        <v>0</v>
      </c>
      <c r="U290" s="243">
        <f>IF(Table33[[#This Row],[Category]]="Cookie Debt",Table33[[#This Row],[Account Deposit Amount]]-Table33[[#This Row],[Account Withdrawl Amount]], )</f>
        <v>0</v>
      </c>
      <c r="V290" s="243">
        <f>IF(Table33[[#This Row],[Category]]="Other Expense",Table33[[#This Row],[Account Deposit Amount]]-Table33[[#This Row],[Account Withdrawl Amount]], )</f>
        <v>0</v>
      </c>
    </row>
    <row r="291" spans="1:22">
      <c r="A291" s="225"/>
      <c r="B291" s="241"/>
      <c r="C291" s="225"/>
      <c r="D291" s="225"/>
      <c r="E291" s="242"/>
      <c r="F291" s="242"/>
      <c r="G291" s="243">
        <f t="shared" si="7"/>
        <v>0</v>
      </c>
      <c r="H291" s="225"/>
      <c r="I291" s="243">
        <f>IF(Table33[[#This Row],[Category]]="Fall Product",Table33[[#This Row],[Account Deposit Amount]]-Table33[[#This Row],[Account Withdrawl Amount]], )</f>
        <v>0</v>
      </c>
      <c r="J291" s="243">
        <f>IF(Table33[[#This Row],[Category]]="Cookies",Table33[[#This Row],[Account Deposit Amount]]-Table33[[#This Row],[Account Withdrawl Amount]], )</f>
        <v>0</v>
      </c>
      <c r="K291" s="243">
        <f>IF(Table33[[#This Row],[Category]]="Additional Money Earning Activities",Table33[[#This Row],[Account Deposit Amount]]-Table33[[#This Row],[Account Withdrawl Amount]], )</f>
        <v>0</v>
      </c>
      <c r="L291" s="243">
        <f>IF(Table33[[#This Row],[Category]]="Sponsorships",Table33[[#This Row],[Account Deposit Amount]]-Table33[[#This Row],[Account Withdrawl Amount]], )</f>
        <v>0</v>
      </c>
      <c r="M291" s="243">
        <f>IF(Table33[[#This Row],[Category]]="Troop Dues",Table33[[#This Row],[Account Deposit Amount]]-Table33[[#This Row],[Account Withdrawl Amount]], )</f>
        <v>0</v>
      </c>
      <c r="N291" s="243">
        <f>IF(Table33[[#This Row],[Category]]="Other Income",Table33[[#This Row],[Account Deposit Amount]]-Table33[[#This Row],[Account Withdrawl Amount]], )</f>
        <v>0</v>
      </c>
      <c r="O291" s="243">
        <f>IF(Table33[[#This Row],[Category]]="Registration",Table33[[#This Row],[Account Deposit Amount]]-Table33[[#This Row],[Account Withdrawl Amount]], )</f>
        <v>0</v>
      </c>
      <c r="P291" s="243">
        <f>IF(Table33[[#This Row],[Category]]="Insignia",Table33[[#This Row],[Account Deposit Amount]]-Table33[[#This Row],[Account Withdrawl Amount]], )</f>
        <v>0</v>
      </c>
      <c r="Q291" s="243">
        <f>IF(Table33[[#This Row],[Category]]="Activities/Program",Table33[[#This Row],[Account Deposit Amount]]-Table33[[#This Row],[Account Withdrawl Amount]], )</f>
        <v>0</v>
      </c>
      <c r="R291" s="243">
        <f>IF(Table33[[#This Row],[Category]]="Travel",Table33[[#This Row],[Account Deposit Amount]]-Table33[[#This Row],[Account Withdrawl Amount]], )</f>
        <v>0</v>
      </c>
      <c r="S291" s="243">
        <f>IF(Table33[[#This Row],[Category]]="Parties Food &amp; Beverages",Table33[[#This Row],[Account Deposit Amount]]-Table33[[#This Row],[Account Withdrawl Amount]], )</f>
        <v>0</v>
      </c>
      <c r="T291" s="243">
        <f>IF(Table33[[#This Row],[Category]]="Service Projects Donation",Table33[[#This Row],[Account Deposit Amount]]-Table33[[#This Row],[Account Withdrawl Amount]], )</f>
        <v>0</v>
      </c>
      <c r="U291" s="243">
        <f>IF(Table33[[#This Row],[Category]]="Cookie Debt",Table33[[#This Row],[Account Deposit Amount]]-Table33[[#This Row],[Account Withdrawl Amount]], )</f>
        <v>0</v>
      </c>
      <c r="V291" s="243">
        <f>IF(Table33[[#This Row],[Category]]="Other Expense",Table33[[#This Row],[Account Deposit Amount]]-Table33[[#This Row],[Account Withdrawl Amount]], )</f>
        <v>0</v>
      </c>
    </row>
    <row r="292" spans="1:22">
      <c r="A292" s="225"/>
      <c r="B292" s="241"/>
      <c r="C292" s="225"/>
      <c r="D292" s="225"/>
      <c r="E292" s="242"/>
      <c r="F292" s="242"/>
      <c r="G292" s="243">
        <f t="shared" si="7"/>
        <v>0</v>
      </c>
      <c r="H292" s="225"/>
      <c r="I292" s="243">
        <f>IF(Table33[[#This Row],[Category]]="Fall Product",Table33[[#This Row],[Account Deposit Amount]]-Table33[[#This Row],[Account Withdrawl Amount]], )</f>
        <v>0</v>
      </c>
      <c r="J292" s="243">
        <f>IF(Table33[[#This Row],[Category]]="Cookies",Table33[[#This Row],[Account Deposit Amount]]-Table33[[#This Row],[Account Withdrawl Amount]], )</f>
        <v>0</v>
      </c>
      <c r="K292" s="243">
        <f>IF(Table33[[#This Row],[Category]]="Additional Money Earning Activities",Table33[[#This Row],[Account Deposit Amount]]-Table33[[#This Row],[Account Withdrawl Amount]], )</f>
        <v>0</v>
      </c>
      <c r="L292" s="243">
        <f>IF(Table33[[#This Row],[Category]]="Sponsorships",Table33[[#This Row],[Account Deposit Amount]]-Table33[[#This Row],[Account Withdrawl Amount]], )</f>
        <v>0</v>
      </c>
      <c r="M292" s="243">
        <f>IF(Table33[[#This Row],[Category]]="Troop Dues",Table33[[#This Row],[Account Deposit Amount]]-Table33[[#This Row],[Account Withdrawl Amount]], )</f>
        <v>0</v>
      </c>
      <c r="N292" s="243">
        <f>IF(Table33[[#This Row],[Category]]="Other Income",Table33[[#This Row],[Account Deposit Amount]]-Table33[[#This Row],[Account Withdrawl Amount]], )</f>
        <v>0</v>
      </c>
      <c r="O292" s="243">
        <f>IF(Table33[[#This Row],[Category]]="Registration",Table33[[#This Row],[Account Deposit Amount]]-Table33[[#This Row],[Account Withdrawl Amount]], )</f>
        <v>0</v>
      </c>
      <c r="P292" s="243">
        <f>IF(Table33[[#This Row],[Category]]="Insignia",Table33[[#This Row],[Account Deposit Amount]]-Table33[[#This Row],[Account Withdrawl Amount]], )</f>
        <v>0</v>
      </c>
      <c r="Q292" s="243">
        <f>IF(Table33[[#This Row],[Category]]="Activities/Program",Table33[[#This Row],[Account Deposit Amount]]-Table33[[#This Row],[Account Withdrawl Amount]], )</f>
        <v>0</v>
      </c>
      <c r="R292" s="243">
        <f>IF(Table33[[#This Row],[Category]]="Travel",Table33[[#This Row],[Account Deposit Amount]]-Table33[[#This Row],[Account Withdrawl Amount]], )</f>
        <v>0</v>
      </c>
      <c r="S292" s="243">
        <f>IF(Table33[[#This Row],[Category]]="Parties Food &amp; Beverages",Table33[[#This Row],[Account Deposit Amount]]-Table33[[#This Row],[Account Withdrawl Amount]], )</f>
        <v>0</v>
      </c>
      <c r="T292" s="243">
        <f>IF(Table33[[#This Row],[Category]]="Service Projects Donation",Table33[[#This Row],[Account Deposit Amount]]-Table33[[#This Row],[Account Withdrawl Amount]], )</f>
        <v>0</v>
      </c>
      <c r="U292" s="243">
        <f>IF(Table33[[#This Row],[Category]]="Cookie Debt",Table33[[#This Row],[Account Deposit Amount]]-Table33[[#This Row],[Account Withdrawl Amount]], )</f>
        <v>0</v>
      </c>
      <c r="V292" s="243">
        <f>IF(Table33[[#This Row],[Category]]="Other Expense",Table33[[#This Row],[Account Deposit Amount]]-Table33[[#This Row],[Account Withdrawl Amount]], )</f>
        <v>0</v>
      </c>
    </row>
    <row r="293" spans="1:22">
      <c r="A293" s="225"/>
      <c r="B293" s="241"/>
      <c r="C293" s="225"/>
      <c r="D293" s="225"/>
      <c r="E293" s="242"/>
      <c r="F293" s="242"/>
      <c r="G293" s="243">
        <f t="shared" ref="G293:G356" si="8">G292+E293-F293</f>
        <v>0</v>
      </c>
      <c r="H293" s="225"/>
      <c r="I293" s="243">
        <f>IF(Table33[[#This Row],[Category]]="Fall Product",Table33[[#This Row],[Account Deposit Amount]]-Table33[[#This Row],[Account Withdrawl Amount]], )</f>
        <v>0</v>
      </c>
      <c r="J293" s="243">
        <f>IF(Table33[[#This Row],[Category]]="Cookies",Table33[[#This Row],[Account Deposit Amount]]-Table33[[#This Row],[Account Withdrawl Amount]], )</f>
        <v>0</v>
      </c>
      <c r="K293" s="243">
        <f>IF(Table33[[#This Row],[Category]]="Additional Money Earning Activities",Table33[[#This Row],[Account Deposit Amount]]-Table33[[#This Row],[Account Withdrawl Amount]], )</f>
        <v>0</v>
      </c>
      <c r="L293" s="243">
        <f>IF(Table33[[#This Row],[Category]]="Sponsorships",Table33[[#This Row],[Account Deposit Amount]]-Table33[[#This Row],[Account Withdrawl Amount]], )</f>
        <v>0</v>
      </c>
      <c r="M293" s="243">
        <f>IF(Table33[[#This Row],[Category]]="Troop Dues",Table33[[#This Row],[Account Deposit Amount]]-Table33[[#This Row],[Account Withdrawl Amount]], )</f>
        <v>0</v>
      </c>
      <c r="N293" s="243">
        <f>IF(Table33[[#This Row],[Category]]="Other Income",Table33[[#This Row],[Account Deposit Amount]]-Table33[[#This Row],[Account Withdrawl Amount]], )</f>
        <v>0</v>
      </c>
      <c r="O293" s="243">
        <f>IF(Table33[[#This Row],[Category]]="Registration",Table33[[#This Row],[Account Deposit Amount]]-Table33[[#This Row],[Account Withdrawl Amount]], )</f>
        <v>0</v>
      </c>
      <c r="P293" s="243">
        <f>IF(Table33[[#This Row],[Category]]="Insignia",Table33[[#This Row],[Account Deposit Amount]]-Table33[[#This Row],[Account Withdrawl Amount]], )</f>
        <v>0</v>
      </c>
      <c r="Q293" s="243">
        <f>IF(Table33[[#This Row],[Category]]="Activities/Program",Table33[[#This Row],[Account Deposit Amount]]-Table33[[#This Row],[Account Withdrawl Amount]], )</f>
        <v>0</v>
      </c>
      <c r="R293" s="243">
        <f>IF(Table33[[#This Row],[Category]]="Travel",Table33[[#This Row],[Account Deposit Amount]]-Table33[[#This Row],[Account Withdrawl Amount]], )</f>
        <v>0</v>
      </c>
      <c r="S293" s="243">
        <f>IF(Table33[[#This Row],[Category]]="Parties Food &amp; Beverages",Table33[[#This Row],[Account Deposit Amount]]-Table33[[#This Row],[Account Withdrawl Amount]], )</f>
        <v>0</v>
      </c>
      <c r="T293" s="243">
        <f>IF(Table33[[#This Row],[Category]]="Service Projects Donation",Table33[[#This Row],[Account Deposit Amount]]-Table33[[#This Row],[Account Withdrawl Amount]], )</f>
        <v>0</v>
      </c>
      <c r="U293" s="243">
        <f>IF(Table33[[#This Row],[Category]]="Cookie Debt",Table33[[#This Row],[Account Deposit Amount]]-Table33[[#This Row],[Account Withdrawl Amount]], )</f>
        <v>0</v>
      </c>
      <c r="V293" s="243">
        <f>IF(Table33[[#This Row],[Category]]="Other Expense",Table33[[#This Row],[Account Deposit Amount]]-Table33[[#This Row],[Account Withdrawl Amount]], )</f>
        <v>0</v>
      </c>
    </row>
    <row r="294" spans="1:22">
      <c r="A294" s="225"/>
      <c r="B294" s="241"/>
      <c r="C294" s="225"/>
      <c r="D294" s="225"/>
      <c r="E294" s="242"/>
      <c r="F294" s="242"/>
      <c r="G294" s="243">
        <f t="shared" si="8"/>
        <v>0</v>
      </c>
      <c r="H294" s="225"/>
      <c r="I294" s="243">
        <f>IF(Table33[[#This Row],[Category]]="Fall Product",Table33[[#This Row],[Account Deposit Amount]]-Table33[[#This Row],[Account Withdrawl Amount]], )</f>
        <v>0</v>
      </c>
      <c r="J294" s="243">
        <f>IF(Table33[[#This Row],[Category]]="Cookies",Table33[[#This Row],[Account Deposit Amount]]-Table33[[#This Row],[Account Withdrawl Amount]], )</f>
        <v>0</v>
      </c>
      <c r="K294" s="243">
        <f>IF(Table33[[#This Row],[Category]]="Additional Money Earning Activities",Table33[[#This Row],[Account Deposit Amount]]-Table33[[#This Row],[Account Withdrawl Amount]], )</f>
        <v>0</v>
      </c>
      <c r="L294" s="243">
        <f>IF(Table33[[#This Row],[Category]]="Sponsorships",Table33[[#This Row],[Account Deposit Amount]]-Table33[[#This Row],[Account Withdrawl Amount]], )</f>
        <v>0</v>
      </c>
      <c r="M294" s="243">
        <f>IF(Table33[[#This Row],[Category]]="Troop Dues",Table33[[#This Row],[Account Deposit Amount]]-Table33[[#This Row],[Account Withdrawl Amount]], )</f>
        <v>0</v>
      </c>
      <c r="N294" s="243">
        <f>IF(Table33[[#This Row],[Category]]="Other Income",Table33[[#This Row],[Account Deposit Amount]]-Table33[[#This Row],[Account Withdrawl Amount]], )</f>
        <v>0</v>
      </c>
      <c r="O294" s="243">
        <f>IF(Table33[[#This Row],[Category]]="Registration",Table33[[#This Row],[Account Deposit Amount]]-Table33[[#This Row],[Account Withdrawl Amount]], )</f>
        <v>0</v>
      </c>
      <c r="P294" s="243">
        <f>IF(Table33[[#This Row],[Category]]="Insignia",Table33[[#This Row],[Account Deposit Amount]]-Table33[[#This Row],[Account Withdrawl Amount]], )</f>
        <v>0</v>
      </c>
      <c r="Q294" s="243">
        <f>IF(Table33[[#This Row],[Category]]="Activities/Program",Table33[[#This Row],[Account Deposit Amount]]-Table33[[#This Row],[Account Withdrawl Amount]], )</f>
        <v>0</v>
      </c>
      <c r="R294" s="243">
        <f>IF(Table33[[#This Row],[Category]]="Travel",Table33[[#This Row],[Account Deposit Amount]]-Table33[[#This Row],[Account Withdrawl Amount]], )</f>
        <v>0</v>
      </c>
      <c r="S294" s="243">
        <f>IF(Table33[[#This Row],[Category]]="Parties Food &amp; Beverages",Table33[[#This Row],[Account Deposit Amount]]-Table33[[#This Row],[Account Withdrawl Amount]], )</f>
        <v>0</v>
      </c>
      <c r="T294" s="243">
        <f>IF(Table33[[#This Row],[Category]]="Service Projects Donation",Table33[[#This Row],[Account Deposit Amount]]-Table33[[#This Row],[Account Withdrawl Amount]], )</f>
        <v>0</v>
      </c>
      <c r="U294" s="243">
        <f>IF(Table33[[#This Row],[Category]]="Cookie Debt",Table33[[#This Row],[Account Deposit Amount]]-Table33[[#This Row],[Account Withdrawl Amount]], )</f>
        <v>0</v>
      </c>
      <c r="V294" s="243">
        <f>IF(Table33[[#This Row],[Category]]="Other Expense",Table33[[#This Row],[Account Deposit Amount]]-Table33[[#This Row],[Account Withdrawl Amount]], )</f>
        <v>0</v>
      </c>
    </row>
    <row r="295" spans="1:22">
      <c r="A295" s="225"/>
      <c r="B295" s="241"/>
      <c r="C295" s="225"/>
      <c r="D295" s="225"/>
      <c r="E295" s="242"/>
      <c r="F295" s="242"/>
      <c r="G295" s="243">
        <f t="shared" si="8"/>
        <v>0</v>
      </c>
      <c r="H295" s="225"/>
      <c r="I295" s="243">
        <f>IF(Table33[[#This Row],[Category]]="Fall Product",Table33[[#This Row],[Account Deposit Amount]]-Table33[[#This Row],[Account Withdrawl Amount]], )</f>
        <v>0</v>
      </c>
      <c r="J295" s="243">
        <f>IF(Table33[[#This Row],[Category]]="Cookies",Table33[[#This Row],[Account Deposit Amount]]-Table33[[#This Row],[Account Withdrawl Amount]], )</f>
        <v>0</v>
      </c>
      <c r="K295" s="243">
        <f>IF(Table33[[#This Row],[Category]]="Additional Money Earning Activities",Table33[[#This Row],[Account Deposit Amount]]-Table33[[#This Row],[Account Withdrawl Amount]], )</f>
        <v>0</v>
      </c>
      <c r="L295" s="243">
        <f>IF(Table33[[#This Row],[Category]]="Sponsorships",Table33[[#This Row],[Account Deposit Amount]]-Table33[[#This Row],[Account Withdrawl Amount]], )</f>
        <v>0</v>
      </c>
      <c r="M295" s="243">
        <f>IF(Table33[[#This Row],[Category]]="Troop Dues",Table33[[#This Row],[Account Deposit Amount]]-Table33[[#This Row],[Account Withdrawl Amount]], )</f>
        <v>0</v>
      </c>
      <c r="N295" s="243">
        <f>IF(Table33[[#This Row],[Category]]="Other Income",Table33[[#This Row],[Account Deposit Amount]]-Table33[[#This Row],[Account Withdrawl Amount]], )</f>
        <v>0</v>
      </c>
      <c r="O295" s="243">
        <f>IF(Table33[[#This Row],[Category]]="Registration",Table33[[#This Row],[Account Deposit Amount]]-Table33[[#This Row],[Account Withdrawl Amount]], )</f>
        <v>0</v>
      </c>
      <c r="P295" s="243">
        <f>IF(Table33[[#This Row],[Category]]="Insignia",Table33[[#This Row],[Account Deposit Amount]]-Table33[[#This Row],[Account Withdrawl Amount]], )</f>
        <v>0</v>
      </c>
      <c r="Q295" s="243">
        <f>IF(Table33[[#This Row],[Category]]="Activities/Program",Table33[[#This Row],[Account Deposit Amount]]-Table33[[#This Row],[Account Withdrawl Amount]], )</f>
        <v>0</v>
      </c>
      <c r="R295" s="243">
        <f>IF(Table33[[#This Row],[Category]]="Travel",Table33[[#This Row],[Account Deposit Amount]]-Table33[[#This Row],[Account Withdrawl Amount]], )</f>
        <v>0</v>
      </c>
      <c r="S295" s="243">
        <f>IF(Table33[[#This Row],[Category]]="Parties Food &amp; Beverages",Table33[[#This Row],[Account Deposit Amount]]-Table33[[#This Row],[Account Withdrawl Amount]], )</f>
        <v>0</v>
      </c>
      <c r="T295" s="243">
        <f>IF(Table33[[#This Row],[Category]]="Service Projects Donation",Table33[[#This Row],[Account Deposit Amount]]-Table33[[#This Row],[Account Withdrawl Amount]], )</f>
        <v>0</v>
      </c>
      <c r="U295" s="243">
        <f>IF(Table33[[#This Row],[Category]]="Cookie Debt",Table33[[#This Row],[Account Deposit Amount]]-Table33[[#This Row],[Account Withdrawl Amount]], )</f>
        <v>0</v>
      </c>
      <c r="V295" s="243">
        <f>IF(Table33[[#This Row],[Category]]="Other Expense",Table33[[#This Row],[Account Deposit Amount]]-Table33[[#This Row],[Account Withdrawl Amount]], )</f>
        <v>0</v>
      </c>
    </row>
    <row r="296" spans="1:22">
      <c r="A296" s="225"/>
      <c r="B296" s="241"/>
      <c r="C296" s="225"/>
      <c r="D296" s="225"/>
      <c r="E296" s="242"/>
      <c r="F296" s="242"/>
      <c r="G296" s="243">
        <f t="shared" si="8"/>
        <v>0</v>
      </c>
      <c r="H296" s="225"/>
      <c r="I296" s="243">
        <f>IF(Table33[[#This Row],[Category]]="Fall Product",Table33[[#This Row],[Account Deposit Amount]]-Table33[[#This Row],[Account Withdrawl Amount]], )</f>
        <v>0</v>
      </c>
      <c r="J296" s="243">
        <f>IF(Table33[[#This Row],[Category]]="Cookies",Table33[[#This Row],[Account Deposit Amount]]-Table33[[#This Row],[Account Withdrawl Amount]], )</f>
        <v>0</v>
      </c>
      <c r="K296" s="243">
        <f>IF(Table33[[#This Row],[Category]]="Additional Money Earning Activities",Table33[[#This Row],[Account Deposit Amount]]-Table33[[#This Row],[Account Withdrawl Amount]], )</f>
        <v>0</v>
      </c>
      <c r="L296" s="243">
        <f>IF(Table33[[#This Row],[Category]]="Sponsorships",Table33[[#This Row],[Account Deposit Amount]]-Table33[[#This Row],[Account Withdrawl Amount]], )</f>
        <v>0</v>
      </c>
      <c r="M296" s="243">
        <f>IF(Table33[[#This Row],[Category]]="Troop Dues",Table33[[#This Row],[Account Deposit Amount]]-Table33[[#This Row],[Account Withdrawl Amount]], )</f>
        <v>0</v>
      </c>
      <c r="N296" s="243">
        <f>IF(Table33[[#This Row],[Category]]="Other Income",Table33[[#This Row],[Account Deposit Amount]]-Table33[[#This Row],[Account Withdrawl Amount]], )</f>
        <v>0</v>
      </c>
      <c r="O296" s="243">
        <f>IF(Table33[[#This Row],[Category]]="Registration",Table33[[#This Row],[Account Deposit Amount]]-Table33[[#This Row],[Account Withdrawl Amount]], )</f>
        <v>0</v>
      </c>
      <c r="P296" s="243">
        <f>IF(Table33[[#This Row],[Category]]="Insignia",Table33[[#This Row],[Account Deposit Amount]]-Table33[[#This Row],[Account Withdrawl Amount]], )</f>
        <v>0</v>
      </c>
      <c r="Q296" s="243">
        <f>IF(Table33[[#This Row],[Category]]="Activities/Program",Table33[[#This Row],[Account Deposit Amount]]-Table33[[#This Row],[Account Withdrawl Amount]], )</f>
        <v>0</v>
      </c>
      <c r="R296" s="243">
        <f>IF(Table33[[#This Row],[Category]]="Travel",Table33[[#This Row],[Account Deposit Amount]]-Table33[[#This Row],[Account Withdrawl Amount]], )</f>
        <v>0</v>
      </c>
      <c r="S296" s="243">
        <f>IF(Table33[[#This Row],[Category]]="Parties Food &amp; Beverages",Table33[[#This Row],[Account Deposit Amount]]-Table33[[#This Row],[Account Withdrawl Amount]], )</f>
        <v>0</v>
      </c>
      <c r="T296" s="243">
        <f>IF(Table33[[#This Row],[Category]]="Service Projects Donation",Table33[[#This Row],[Account Deposit Amount]]-Table33[[#This Row],[Account Withdrawl Amount]], )</f>
        <v>0</v>
      </c>
      <c r="U296" s="243">
        <f>IF(Table33[[#This Row],[Category]]="Cookie Debt",Table33[[#This Row],[Account Deposit Amount]]-Table33[[#This Row],[Account Withdrawl Amount]], )</f>
        <v>0</v>
      </c>
      <c r="V296" s="243">
        <f>IF(Table33[[#This Row],[Category]]="Other Expense",Table33[[#This Row],[Account Deposit Amount]]-Table33[[#This Row],[Account Withdrawl Amount]], )</f>
        <v>0</v>
      </c>
    </row>
    <row r="297" spans="1:22">
      <c r="A297" s="225"/>
      <c r="B297" s="241"/>
      <c r="C297" s="225"/>
      <c r="D297" s="225"/>
      <c r="E297" s="242"/>
      <c r="F297" s="242"/>
      <c r="G297" s="243">
        <f t="shared" si="8"/>
        <v>0</v>
      </c>
      <c r="H297" s="225"/>
      <c r="I297" s="243">
        <f>IF(Table33[[#This Row],[Category]]="Fall Product",Table33[[#This Row],[Account Deposit Amount]]-Table33[[#This Row],[Account Withdrawl Amount]], )</f>
        <v>0</v>
      </c>
      <c r="J297" s="243">
        <f>IF(Table33[[#This Row],[Category]]="Cookies",Table33[[#This Row],[Account Deposit Amount]]-Table33[[#This Row],[Account Withdrawl Amount]], )</f>
        <v>0</v>
      </c>
      <c r="K297" s="243">
        <f>IF(Table33[[#This Row],[Category]]="Additional Money Earning Activities",Table33[[#This Row],[Account Deposit Amount]]-Table33[[#This Row],[Account Withdrawl Amount]], )</f>
        <v>0</v>
      </c>
      <c r="L297" s="243">
        <f>IF(Table33[[#This Row],[Category]]="Sponsorships",Table33[[#This Row],[Account Deposit Amount]]-Table33[[#This Row],[Account Withdrawl Amount]], )</f>
        <v>0</v>
      </c>
      <c r="M297" s="243">
        <f>IF(Table33[[#This Row],[Category]]="Troop Dues",Table33[[#This Row],[Account Deposit Amount]]-Table33[[#This Row],[Account Withdrawl Amount]], )</f>
        <v>0</v>
      </c>
      <c r="N297" s="243">
        <f>IF(Table33[[#This Row],[Category]]="Other Income",Table33[[#This Row],[Account Deposit Amount]]-Table33[[#This Row],[Account Withdrawl Amount]], )</f>
        <v>0</v>
      </c>
      <c r="O297" s="243">
        <f>IF(Table33[[#This Row],[Category]]="Registration",Table33[[#This Row],[Account Deposit Amount]]-Table33[[#This Row],[Account Withdrawl Amount]], )</f>
        <v>0</v>
      </c>
      <c r="P297" s="243">
        <f>IF(Table33[[#This Row],[Category]]="Insignia",Table33[[#This Row],[Account Deposit Amount]]-Table33[[#This Row],[Account Withdrawl Amount]], )</f>
        <v>0</v>
      </c>
      <c r="Q297" s="243">
        <f>IF(Table33[[#This Row],[Category]]="Activities/Program",Table33[[#This Row],[Account Deposit Amount]]-Table33[[#This Row],[Account Withdrawl Amount]], )</f>
        <v>0</v>
      </c>
      <c r="R297" s="243">
        <f>IF(Table33[[#This Row],[Category]]="Travel",Table33[[#This Row],[Account Deposit Amount]]-Table33[[#This Row],[Account Withdrawl Amount]], )</f>
        <v>0</v>
      </c>
      <c r="S297" s="243">
        <f>IF(Table33[[#This Row],[Category]]="Parties Food &amp; Beverages",Table33[[#This Row],[Account Deposit Amount]]-Table33[[#This Row],[Account Withdrawl Amount]], )</f>
        <v>0</v>
      </c>
      <c r="T297" s="243">
        <f>IF(Table33[[#This Row],[Category]]="Service Projects Donation",Table33[[#This Row],[Account Deposit Amount]]-Table33[[#This Row],[Account Withdrawl Amount]], )</f>
        <v>0</v>
      </c>
      <c r="U297" s="243">
        <f>IF(Table33[[#This Row],[Category]]="Cookie Debt",Table33[[#This Row],[Account Deposit Amount]]-Table33[[#This Row],[Account Withdrawl Amount]], )</f>
        <v>0</v>
      </c>
      <c r="V297" s="243">
        <f>IF(Table33[[#This Row],[Category]]="Other Expense",Table33[[#This Row],[Account Deposit Amount]]-Table33[[#This Row],[Account Withdrawl Amount]], )</f>
        <v>0</v>
      </c>
    </row>
    <row r="298" spans="1:22">
      <c r="A298" s="225"/>
      <c r="B298" s="241"/>
      <c r="C298" s="225"/>
      <c r="D298" s="225"/>
      <c r="E298" s="242"/>
      <c r="F298" s="242"/>
      <c r="G298" s="243">
        <f t="shared" si="8"/>
        <v>0</v>
      </c>
      <c r="H298" s="225"/>
      <c r="I298" s="243">
        <f>IF(Table33[[#This Row],[Category]]="Fall Product",Table33[[#This Row],[Account Deposit Amount]]-Table33[[#This Row],[Account Withdrawl Amount]], )</f>
        <v>0</v>
      </c>
      <c r="J298" s="243">
        <f>IF(Table33[[#This Row],[Category]]="Cookies",Table33[[#This Row],[Account Deposit Amount]]-Table33[[#This Row],[Account Withdrawl Amount]], )</f>
        <v>0</v>
      </c>
      <c r="K298" s="243">
        <f>IF(Table33[[#This Row],[Category]]="Additional Money Earning Activities",Table33[[#This Row],[Account Deposit Amount]]-Table33[[#This Row],[Account Withdrawl Amount]], )</f>
        <v>0</v>
      </c>
      <c r="L298" s="243">
        <f>IF(Table33[[#This Row],[Category]]="Sponsorships",Table33[[#This Row],[Account Deposit Amount]]-Table33[[#This Row],[Account Withdrawl Amount]], )</f>
        <v>0</v>
      </c>
      <c r="M298" s="243">
        <f>IF(Table33[[#This Row],[Category]]="Troop Dues",Table33[[#This Row],[Account Deposit Amount]]-Table33[[#This Row],[Account Withdrawl Amount]], )</f>
        <v>0</v>
      </c>
      <c r="N298" s="243">
        <f>IF(Table33[[#This Row],[Category]]="Other Income",Table33[[#This Row],[Account Deposit Amount]]-Table33[[#This Row],[Account Withdrawl Amount]], )</f>
        <v>0</v>
      </c>
      <c r="O298" s="243">
        <f>IF(Table33[[#This Row],[Category]]="Registration",Table33[[#This Row],[Account Deposit Amount]]-Table33[[#This Row],[Account Withdrawl Amount]], )</f>
        <v>0</v>
      </c>
      <c r="P298" s="243">
        <f>IF(Table33[[#This Row],[Category]]="Insignia",Table33[[#This Row],[Account Deposit Amount]]-Table33[[#This Row],[Account Withdrawl Amount]], )</f>
        <v>0</v>
      </c>
      <c r="Q298" s="243">
        <f>IF(Table33[[#This Row],[Category]]="Activities/Program",Table33[[#This Row],[Account Deposit Amount]]-Table33[[#This Row],[Account Withdrawl Amount]], )</f>
        <v>0</v>
      </c>
      <c r="R298" s="243">
        <f>IF(Table33[[#This Row],[Category]]="Travel",Table33[[#This Row],[Account Deposit Amount]]-Table33[[#This Row],[Account Withdrawl Amount]], )</f>
        <v>0</v>
      </c>
      <c r="S298" s="243">
        <f>IF(Table33[[#This Row],[Category]]="Parties Food &amp; Beverages",Table33[[#This Row],[Account Deposit Amount]]-Table33[[#This Row],[Account Withdrawl Amount]], )</f>
        <v>0</v>
      </c>
      <c r="T298" s="243">
        <f>IF(Table33[[#This Row],[Category]]="Service Projects Donation",Table33[[#This Row],[Account Deposit Amount]]-Table33[[#This Row],[Account Withdrawl Amount]], )</f>
        <v>0</v>
      </c>
      <c r="U298" s="243">
        <f>IF(Table33[[#This Row],[Category]]="Cookie Debt",Table33[[#This Row],[Account Deposit Amount]]-Table33[[#This Row],[Account Withdrawl Amount]], )</f>
        <v>0</v>
      </c>
      <c r="V298" s="243">
        <f>IF(Table33[[#This Row],[Category]]="Other Expense",Table33[[#This Row],[Account Deposit Amount]]-Table33[[#This Row],[Account Withdrawl Amount]], )</f>
        <v>0</v>
      </c>
    </row>
    <row r="299" spans="1:22">
      <c r="A299" s="225"/>
      <c r="B299" s="241"/>
      <c r="C299" s="225"/>
      <c r="D299" s="225"/>
      <c r="E299" s="242"/>
      <c r="F299" s="242"/>
      <c r="G299" s="243">
        <f t="shared" si="8"/>
        <v>0</v>
      </c>
      <c r="H299" s="225"/>
      <c r="I299" s="243">
        <f>IF(Table33[[#This Row],[Category]]="Fall Product",Table33[[#This Row],[Account Deposit Amount]]-Table33[[#This Row],[Account Withdrawl Amount]], )</f>
        <v>0</v>
      </c>
      <c r="J299" s="243">
        <f>IF(Table33[[#This Row],[Category]]="Cookies",Table33[[#This Row],[Account Deposit Amount]]-Table33[[#This Row],[Account Withdrawl Amount]], )</f>
        <v>0</v>
      </c>
      <c r="K299" s="243">
        <f>IF(Table33[[#This Row],[Category]]="Additional Money Earning Activities",Table33[[#This Row],[Account Deposit Amount]]-Table33[[#This Row],[Account Withdrawl Amount]], )</f>
        <v>0</v>
      </c>
      <c r="L299" s="243">
        <f>IF(Table33[[#This Row],[Category]]="Sponsorships",Table33[[#This Row],[Account Deposit Amount]]-Table33[[#This Row],[Account Withdrawl Amount]], )</f>
        <v>0</v>
      </c>
      <c r="M299" s="243">
        <f>IF(Table33[[#This Row],[Category]]="Troop Dues",Table33[[#This Row],[Account Deposit Amount]]-Table33[[#This Row],[Account Withdrawl Amount]], )</f>
        <v>0</v>
      </c>
      <c r="N299" s="243">
        <f>IF(Table33[[#This Row],[Category]]="Other Income",Table33[[#This Row],[Account Deposit Amount]]-Table33[[#This Row],[Account Withdrawl Amount]], )</f>
        <v>0</v>
      </c>
      <c r="O299" s="243">
        <f>IF(Table33[[#This Row],[Category]]="Registration",Table33[[#This Row],[Account Deposit Amount]]-Table33[[#This Row],[Account Withdrawl Amount]], )</f>
        <v>0</v>
      </c>
      <c r="P299" s="243">
        <f>IF(Table33[[#This Row],[Category]]="Insignia",Table33[[#This Row],[Account Deposit Amount]]-Table33[[#This Row],[Account Withdrawl Amount]], )</f>
        <v>0</v>
      </c>
      <c r="Q299" s="243">
        <f>IF(Table33[[#This Row],[Category]]="Activities/Program",Table33[[#This Row],[Account Deposit Amount]]-Table33[[#This Row],[Account Withdrawl Amount]], )</f>
        <v>0</v>
      </c>
      <c r="R299" s="243">
        <f>IF(Table33[[#This Row],[Category]]="Travel",Table33[[#This Row],[Account Deposit Amount]]-Table33[[#This Row],[Account Withdrawl Amount]], )</f>
        <v>0</v>
      </c>
      <c r="S299" s="243">
        <f>IF(Table33[[#This Row],[Category]]="Parties Food &amp; Beverages",Table33[[#This Row],[Account Deposit Amount]]-Table33[[#This Row],[Account Withdrawl Amount]], )</f>
        <v>0</v>
      </c>
      <c r="T299" s="243">
        <f>IF(Table33[[#This Row],[Category]]="Service Projects Donation",Table33[[#This Row],[Account Deposit Amount]]-Table33[[#This Row],[Account Withdrawl Amount]], )</f>
        <v>0</v>
      </c>
      <c r="U299" s="243">
        <f>IF(Table33[[#This Row],[Category]]="Cookie Debt",Table33[[#This Row],[Account Deposit Amount]]-Table33[[#This Row],[Account Withdrawl Amount]], )</f>
        <v>0</v>
      </c>
      <c r="V299" s="243">
        <f>IF(Table33[[#This Row],[Category]]="Other Expense",Table33[[#This Row],[Account Deposit Amount]]-Table33[[#This Row],[Account Withdrawl Amount]], )</f>
        <v>0</v>
      </c>
    </row>
    <row r="300" spans="1:22">
      <c r="A300" s="225"/>
      <c r="B300" s="241"/>
      <c r="C300" s="225"/>
      <c r="D300" s="225"/>
      <c r="E300" s="242"/>
      <c r="F300" s="242"/>
      <c r="G300" s="243">
        <f t="shared" si="8"/>
        <v>0</v>
      </c>
      <c r="H300" s="225"/>
      <c r="I300" s="243">
        <f>IF(Table33[[#This Row],[Category]]="Fall Product",Table33[[#This Row],[Account Deposit Amount]]-Table33[[#This Row],[Account Withdrawl Amount]], )</f>
        <v>0</v>
      </c>
      <c r="J300" s="243">
        <f>IF(Table33[[#This Row],[Category]]="Cookies",Table33[[#This Row],[Account Deposit Amount]]-Table33[[#This Row],[Account Withdrawl Amount]], )</f>
        <v>0</v>
      </c>
      <c r="K300" s="243">
        <f>IF(Table33[[#This Row],[Category]]="Additional Money Earning Activities",Table33[[#This Row],[Account Deposit Amount]]-Table33[[#This Row],[Account Withdrawl Amount]], )</f>
        <v>0</v>
      </c>
      <c r="L300" s="243">
        <f>IF(Table33[[#This Row],[Category]]="Sponsorships",Table33[[#This Row],[Account Deposit Amount]]-Table33[[#This Row],[Account Withdrawl Amount]], )</f>
        <v>0</v>
      </c>
      <c r="M300" s="243">
        <f>IF(Table33[[#This Row],[Category]]="Troop Dues",Table33[[#This Row],[Account Deposit Amount]]-Table33[[#This Row],[Account Withdrawl Amount]], )</f>
        <v>0</v>
      </c>
      <c r="N300" s="243">
        <f>IF(Table33[[#This Row],[Category]]="Other Income",Table33[[#This Row],[Account Deposit Amount]]-Table33[[#This Row],[Account Withdrawl Amount]], )</f>
        <v>0</v>
      </c>
      <c r="O300" s="243">
        <f>IF(Table33[[#This Row],[Category]]="Registration",Table33[[#This Row],[Account Deposit Amount]]-Table33[[#This Row],[Account Withdrawl Amount]], )</f>
        <v>0</v>
      </c>
      <c r="P300" s="243">
        <f>IF(Table33[[#This Row],[Category]]="Insignia",Table33[[#This Row],[Account Deposit Amount]]-Table33[[#This Row],[Account Withdrawl Amount]], )</f>
        <v>0</v>
      </c>
      <c r="Q300" s="243">
        <f>IF(Table33[[#This Row],[Category]]="Activities/Program",Table33[[#This Row],[Account Deposit Amount]]-Table33[[#This Row],[Account Withdrawl Amount]], )</f>
        <v>0</v>
      </c>
      <c r="R300" s="243">
        <f>IF(Table33[[#This Row],[Category]]="Travel",Table33[[#This Row],[Account Deposit Amount]]-Table33[[#This Row],[Account Withdrawl Amount]], )</f>
        <v>0</v>
      </c>
      <c r="S300" s="243">
        <f>IF(Table33[[#This Row],[Category]]="Parties Food &amp; Beverages",Table33[[#This Row],[Account Deposit Amount]]-Table33[[#This Row],[Account Withdrawl Amount]], )</f>
        <v>0</v>
      </c>
      <c r="T300" s="243">
        <f>IF(Table33[[#This Row],[Category]]="Service Projects Donation",Table33[[#This Row],[Account Deposit Amount]]-Table33[[#This Row],[Account Withdrawl Amount]], )</f>
        <v>0</v>
      </c>
      <c r="U300" s="243">
        <f>IF(Table33[[#This Row],[Category]]="Cookie Debt",Table33[[#This Row],[Account Deposit Amount]]-Table33[[#This Row],[Account Withdrawl Amount]], )</f>
        <v>0</v>
      </c>
      <c r="V300" s="243">
        <f>IF(Table33[[#This Row],[Category]]="Other Expense",Table33[[#This Row],[Account Deposit Amount]]-Table33[[#This Row],[Account Withdrawl Amount]], )</f>
        <v>0</v>
      </c>
    </row>
    <row r="301" spans="1:22">
      <c r="A301" s="225"/>
      <c r="B301" s="241"/>
      <c r="C301" s="225"/>
      <c r="D301" s="225"/>
      <c r="E301" s="242"/>
      <c r="F301" s="242"/>
      <c r="G301" s="243">
        <f t="shared" si="8"/>
        <v>0</v>
      </c>
      <c r="H301" s="225"/>
      <c r="I301" s="243">
        <f>IF(Table33[[#This Row],[Category]]="Fall Product",Table33[[#This Row],[Account Deposit Amount]]-Table33[[#This Row],[Account Withdrawl Amount]], )</f>
        <v>0</v>
      </c>
      <c r="J301" s="243">
        <f>IF(Table33[[#This Row],[Category]]="Cookies",Table33[[#This Row],[Account Deposit Amount]]-Table33[[#This Row],[Account Withdrawl Amount]], )</f>
        <v>0</v>
      </c>
      <c r="K301" s="243">
        <f>IF(Table33[[#This Row],[Category]]="Additional Money Earning Activities",Table33[[#This Row],[Account Deposit Amount]]-Table33[[#This Row],[Account Withdrawl Amount]], )</f>
        <v>0</v>
      </c>
      <c r="L301" s="243">
        <f>IF(Table33[[#This Row],[Category]]="Sponsorships",Table33[[#This Row],[Account Deposit Amount]]-Table33[[#This Row],[Account Withdrawl Amount]], )</f>
        <v>0</v>
      </c>
      <c r="M301" s="243">
        <f>IF(Table33[[#This Row],[Category]]="Troop Dues",Table33[[#This Row],[Account Deposit Amount]]-Table33[[#This Row],[Account Withdrawl Amount]], )</f>
        <v>0</v>
      </c>
      <c r="N301" s="243">
        <f>IF(Table33[[#This Row],[Category]]="Other Income",Table33[[#This Row],[Account Deposit Amount]]-Table33[[#This Row],[Account Withdrawl Amount]], )</f>
        <v>0</v>
      </c>
      <c r="O301" s="243">
        <f>IF(Table33[[#This Row],[Category]]="Registration",Table33[[#This Row],[Account Deposit Amount]]-Table33[[#This Row],[Account Withdrawl Amount]], )</f>
        <v>0</v>
      </c>
      <c r="P301" s="243">
        <f>IF(Table33[[#This Row],[Category]]="Insignia",Table33[[#This Row],[Account Deposit Amount]]-Table33[[#This Row],[Account Withdrawl Amount]], )</f>
        <v>0</v>
      </c>
      <c r="Q301" s="243">
        <f>IF(Table33[[#This Row],[Category]]="Activities/Program",Table33[[#This Row],[Account Deposit Amount]]-Table33[[#This Row],[Account Withdrawl Amount]], )</f>
        <v>0</v>
      </c>
      <c r="R301" s="243">
        <f>IF(Table33[[#This Row],[Category]]="Travel",Table33[[#This Row],[Account Deposit Amount]]-Table33[[#This Row],[Account Withdrawl Amount]], )</f>
        <v>0</v>
      </c>
      <c r="S301" s="243">
        <f>IF(Table33[[#This Row],[Category]]="Parties Food &amp; Beverages",Table33[[#This Row],[Account Deposit Amount]]-Table33[[#This Row],[Account Withdrawl Amount]], )</f>
        <v>0</v>
      </c>
      <c r="T301" s="243">
        <f>IF(Table33[[#This Row],[Category]]="Service Projects Donation",Table33[[#This Row],[Account Deposit Amount]]-Table33[[#This Row],[Account Withdrawl Amount]], )</f>
        <v>0</v>
      </c>
      <c r="U301" s="243">
        <f>IF(Table33[[#This Row],[Category]]="Cookie Debt",Table33[[#This Row],[Account Deposit Amount]]-Table33[[#This Row],[Account Withdrawl Amount]], )</f>
        <v>0</v>
      </c>
      <c r="V301" s="243">
        <f>IF(Table33[[#This Row],[Category]]="Other Expense",Table33[[#This Row],[Account Deposit Amount]]-Table33[[#This Row],[Account Withdrawl Amount]], )</f>
        <v>0</v>
      </c>
    </row>
    <row r="302" spans="1:22">
      <c r="A302" s="225"/>
      <c r="B302" s="241"/>
      <c r="C302" s="225"/>
      <c r="D302" s="225"/>
      <c r="E302" s="242"/>
      <c r="F302" s="242"/>
      <c r="G302" s="243">
        <f t="shared" si="8"/>
        <v>0</v>
      </c>
      <c r="H302" s="225"/>
      <c r="I302" s="243">
        <f>IF(Table33[[#This Row],[Category]]="Fall Product",Table33[[#This Row],[Account Deposit Amount]]-Table33[[#This Row],[Account Withdrawl Amount]], )</f>
        <v>0</v>
      </c>
      <c r="J302" s="243">
        <f>IF(Table33[[#This Row],[Category]]="Cookies",Table33[[#This Row],[Account Deposit Amount]]-Table33[[#This Row],[Account Withdrawl Amount]], )</f>
        <v>0</v>
      </c>
      <c r="K302" s="243">
        <f>IF(Table33[[#This Row],[Category]]="Additional Money Earning Activities",Table33[[#This Row],[Account Deposit Amount]]-Table33[[#This Row],[Account Withdrawl Amount]], )</f>
        <v>0</v>
      </c>
      <c r="L302" s="243">
        <f>IF(Table33[[#This Row],[Category]]="Sponsorships",Table33[[#This Row],[Account Deposit Amount]]-Table33[[#This Row],[Account Withdrawl Amount]], )</f>
        <v>0</v>
      </c>
      <c r="M302" s="243">
        <f>IF(Table33[[#This Row],[Category]]="Troop Dues",Table33[[#This Row],[Account Deposit Amount]]-Table33[[#This Row],[Account Withdrawl Amount]], )</f>
        <v>0</v>
      </c>
      <c r="N302" s="243">
        <f>IF(Table33[[#This Row],[Category]]="Other Income",Table33[[#This Row],[Account Deposit Amount]]-Table33[[#This Row],[Account Withdrawl Amount]], )</f>
        <v>0</v>
      </c>
      <c r="O302" s="243">
        <f>IF(Table33[[#This Row],[Category]]="Registration",Table33[[#This Row],[Account Deposit Amount]]-Table33[[#This Row],[Account Withdrawl Amount]], )</f>
        <v>0</v>
      </c>
      <c r="P302" s="243">
        <f>IF(Table33[[#This Row],[Category]]="Insignia",Table33[[#This Row],[Account Deposit Amount]]-Table33[[#This Row],[Account Withdrawl Amount]], )</f>
        <v>0</v>
      </c>
      <c r="Q302" s="243">
        <f>IF(Table33[[#This Row],[Category]]="Activities/Program",Table33[[#This Row],[Account Deposit Amount]]-Table33[[#This Row],[Account Withdrawl Amount]], )</f>
        <v>0</v>
      </c>
      <c r="R302" s="243">
        <f>IF(Table33[[#This Row],[Category]]="Travel",Table33[[#This Row],[Account Deposit Amount]]-Table33[[#This Row],[Account Withdrawl Amount]], )</f>
        <v>0</v>
      </c>
      <c r="S302" s="243">
        <f>IF(Table33[[#This Row],[Category]]="Parties Food &amp; Beverages",Table33[[#This Row],[Account Deposit Amount]]-Table33[[#This Row],[Account Withdrawl Amount]], )</f>
        <v>0</v>
      </c>
      <c r="T302" s="243">
        <f>IF(Table33[[#This Row],[Category]]="Service Projects Donation",Table33[[#This Row],[Account Deposit Amount]]-Table33[[#This Row],[Account Withdrawl Amount]], )</f>
        <v>0</v>
      </c>
      <c r="U302" s="243">
        <f>IF(Table33[[#This Row],[Category]]="Cookie Debt",Table33[[#This Row],[Account Deposit Amount]]-Table33[[#This Row],[Account Withdrawl Amount]], )</f>
        <v>0</v>
      </c>
      <c r="V302" s="243">
        <f>IF(Table33[[#This Row],[Category]]="Other Expense",Table33[[#This Row],[Account Deposit Amount]]-Table33[[#This Row],[Account Withdrawl Amount]], )</f>
        <v>0</v>
      </c>
    </row>
    <row r="303" spans="1:22">
      <c r="A303" s="225"/>
      <c r="B303" s="241"/>
      <c r="C303" s="225"/>
      <c r="D303" s="225"/>
      <c r="E303" s="242"/>
      <c r="F303" s="242"/>
      <c r="G303" s="243">
        <f t="shared" si="8"/>
        <v>0</v>
      </c>
      <c r="H303" s="225"/>
      <c r="I303" s="243">
        <f>IF(Table33[[#This Row],[Category]]="Fall Product",Table33[[#This Row],[Account Deposit Amount]]-Table33[[#This Row],[Account Withdrawl Amount]], )</f>
        <v>0</v>
      </c>
      <c r="J303" s="243">
        <f>IF(Table33[[#This Row],[Category]]="Cookies",Table33[[#This Row],[Account Deposit Amount]]-Table33[[#This Row],[Account Withdrawl Amount]], )</f>
        <v>0</v>
      </c>
      <c r="K303" s="243">
        <f>IF(Table33[[#This Row],[Category]]="Additional Money Earning Activities",Table33[[#This Row],[Account Deposit Amount]]-Table33[[#This Row],[Account Withdrawl Amount]], )</f>
        <v>0</v>
      </c>
      <c r="L303" s="243">
        <f>IF(Table33[[#This Row],[Category]]="Sponsorships",Table33[[#This Row],[Account Deposit Amount]]-Table33[[#This Row],[Account Withdrawl Amount]], )</f>
        <v>0</v>
      </c>
      <c r="M303" s="243">
        <f>IF(Table33[[#This Row],[Category]]="Troop Dues",Table33[[#This Row],[Account Deposit Amount]]-Table33[[#This Row],[Account Withdrawl Amount]], )</f>
        <v>0</v>
      </c>
      <c r="N303" s="243">
        <f>IF(Table33[[#This Row],[Category]]="Other Income",Table33[[#This Row],[Account Deposit Amount]]-Table33[[#This Row],[Account Withdrawl Amount]], )</f>
        <v>0</v>
      </c>
      <c r="O303" s="243">
        <f>IF(Table33[[#This Row],[Category]]="Registration",Table33[[#This Row],[Account Deposit Amount]]-Table33[[#This Row],[Account Withdrawl Amount]], )</f>
        <v>0</v>
      </c>
      <c r="P303" s="243">
        <f>IF(Table33[[#This Row],[Category]]="Insignia",Table33[[#This Row],[Account Deposit Amount]]-Table33[[#This Row],[Account Withdrawl Amount]], )</f>
        <v>0</v>
      </c>
      <c r="Q303" s="243">
        <f>IF(Table33[[#This Row],[Category]]="Activities/Program",Table33[[#This Row],[Account Deposit Amount]]-Table33[[#This Row],[Account Withdrawl Amount]], )</f>
        <v>0</v>
      </c>
      <c r="R303" s="243">
        <f>IF(Table33[[#This Row],[Category]]="Travel",Table33[[#This Row],[Account Deposit Amount]]-Table33[[#This Row],[Account Withdrawl Amount]], )</f>
        <v>0</v>
      </c>
      <c r="S303" s="243">
        <f>IF(Table33[[#This Row],[Category]]="Parties Food &amp; Beverages",Table33[[#This Row],[Account Deposit Amount]]-Table33[[#This Row],[Account Withdrawl Amount]], )</f>
        <v>0</v>
      </c>
      <c r="T303" s="243">
        <f>IF(Table33[[#This Row],[Category]]="Service Projects Donation",Table33[[#This Row],[Account Deposit Amount]]-Table33[[#This Row],[Account Withdrawl Amount]], )</f>
        <v>0</v>
      </c>
      <c r="U303" s="243">
        <f>IF(Table33[[#This Row],[Category]]="Cookie Debt",Table33[[#This Row],[Account Deposit Amount]]-Table33[[#This Row],[Account Withdrawl Amount]], )</f>
        <v>0</v>
      </c>
      <c r="V303" s="243">
        <f>IF(Table33[[#This Row],[Category]]="Other Expense",Table33[[#This Row],[Account Deposit Amount]]-Table33[[#This Row],[Account Withdrawl Amount]], )</f>
        <v>0</v>
      </c>
    </row>
    <row r="304" spans="1:22">
      <c r="A304" s="225"/>
      <c r="B304" s="241"/>
      <c r="C304" s="225"/>
      <c r="D304" s="225"/>
      <c r="E304" s="242"/>
      <c r="F304" s="242"/>
      <c r="G304" s="243">
        <f t="shared" si="8"/>
        <v>0</v>
      </c>
      <c r="H304" s="225"/>
      <c r="I304" s="243">
        <f>IF(Table33[[#This Row],[Category]]="Fall Product",Table33[[#This Row],[Account Deposit Amount]]-Table33[[#This Row],[Account Withdrawl Amount]], )</f>
        <v>0</v>
      </c>
      <c r="J304" s="243">
        <f>IF(Table33[[#This Row],[Category]]="Cookies",Table33[[#This Row],[Account Deposit Amount]]-Table33[[#This Row],[Account Withdrawl Amount]], )</f>
        <v>0</v>
      </c>
      <c r="K304" s="243">
        <f>IF(Table33[[#This Row],[Category]]="Additional Money Earning Activities",Table33[[#This Row],[Account Deposit Amount]]-Table33[[#This Row],[Account Withdrawl Amount]], )</f>
        <v>0</v>
      </c>
      <c r="L304" s="243">
        <f>IF(Table33[[#This Row],[Category]]="Sponsorships",Table33[[#This Row],[Account Deposit Amount]]-Table33[[#This Row],[Account Withdrawl Amount]], )</f>
        <v>0</v>
      </c>
      <c r="M304" s="243">
        <f>IF(Table33[[#This Row],[Category]]="Troop Dues",Table33[[#This Row],[Account Deposit Amount]]-Table33[[#This Row],[Account Withdrawl Amount]], )</f>
        <v>0</v>
      </c>
      <c r="N304" s="243">
        <f>IF(Table33[[#This Row],[Category]]="Other Income",Table33[[#This Row],[Account Deposit Amount]]-Table33[[#This Row],[Account Withdrawl Amount]], )</f>
        <v>0</v>
      </c>
      <c r="O304" s="243">
        <f>IF(Table33[[#This Row],[Category]]="Registration",Table33[[#This Row],[Account Deposit Amount]]-Table33[[#This Row],[Account Withdrawl Amount]], )</f>
        <v>0</v>
      </c>
      <c r="P304" s="243">
        <f>IF(Table33[[#This Row],[Category]]="Insignia",Table33[[#This Row],[Account Deposit Amount]]-Table33[[#This Row],[Account Withdrawl Amount]], )</f>
        <v>0</v>
      </c>
      <c r="Q304" s="243">
        <f>IF(Table33[[#This Row],[Category]]="Activities/Program",Table33[[#This Row],[Account Deposit Amount]]-Table33[[#This Row],[Account Withdrawl Amount]], )</f>
        <v>0</v>
      </c>
      <c r="R304" s="243">
        <f>IF(Table33[[#This Row],[Category]]="Travel",Table33[[#This Row],[Account Deposit Amount]]-Table33[[#This Row],[Account Withdrawl Amount]], )</f>
        <v>0</v>
      </c>
      <c r="S304" s="243">
        <f>IF(Table33[[#This Row],[Category]]="Parties Food &amp; Beverages",Table33[[#This Row],[Account Deposit Amount]]-Table33[[#This Row],[Account Withdrawl Amount]], )</f>
        <v>0</v>
      </c>
      <c r="T304" s="243">
        <f>IF(Table33[[#This Row],[Category]]="Service Projects Donation",Table33[[#This Row],[Account Deposit Amount]]-Table33[[#This Row],[Account Withdrawl Amount]], )</f>
        <v>0</v>
      </c>
      <c r="U304" s="243">
        <f>IF(Table33[[#This Row],[Category]]="Cookie Debt",Table33[[#This Row],[Account Deposit Amount]]-Table33[[#This Row],[Account Withdrawl Amount]], )</f>
        <v>0</v>
      </c>
      <c r="V304" s="243">
        <f>IF(Table33[[#This Row],[Category]]="Other Expense",Table33[[#This Row],[Account Deposit Amount]]-Table33[[#This Row],[Account Withdrawl Amount]], )</f>
        <v>0</v>
      </c>
    </row>
    <row r="305" spans="1:22">
      <c r="A305" s="225"/>
      <c r="B305" s="241"/>
      <c r="C305" s="225"/>
      <c r="D305" s="225"/>
      <c r="E305" s="242"/>
      <c r="F305" s="242"/>
      <c r="G305" s="243">
        <f t="shared" si="8"/>
        <v>0</v>
      </c>
      <c r="H305" s="225"/>
      <c r="I305" s="243">
        <f>IF(Table33[[#This Row],[Category]]="Fall Product",Table33[[#This Row],[Account Deposit Amount]]-Table33[[#This Row],[Account Withdrawl Amount]], )</f>
        <v>0</v>
      </c>
      <c r="J305" s="243">
        <f>IF(Table33[[#This Row],[Category]]="Cookies",Table33[[#This Row],[Account Deposit Amount]]-Table33[[#This Row],[Account Withdrawl Amount]], )</f>
        <v>0</v>
      </c>
      <c r="K305" s="243">
        <f>IF(Table33[[#This Row],[Category]]="Additional Money Earning Activities",Table33[[#This Row],[Account Deposit Amount]]-Table33[[#This Row],[Account Withdrawl Amount]], )</f>
        <v>0</v>
      </c>
      <c r="L305" s="243">
        <f>IF(Table33[[#This Row],[Category]]="Sponsorships",Table33[[#This Row],[Account Deposit Amount]]-Table33[[#This Row],[Account Withdrawl Amount]], )</f>
        <v>0</v>
      </c>
      <c r="M305" s="243">
        <f>IF(Table33[[#This Row],[Category]]="Troop Dues",Table33[[#This Row],[Account Deposit Amount]]-Table33[[#This Row],[Account Withdrawl Amount]], )</f>
        <v>0</v>
      </c>
      <c r="N305" s="243">
        <f>IF(Table33[[#This Row],[Category]]="Other Income",Table33[[#This Row],[Account Deposit Amount]]-Table33[[#This Row],[Account Withdrawl Amount]], )</f>
        <v>0</v>
      </c>
      <c r="O305" s="243">
        <f>IF(Table33[[#This Row],[Category]]="Registration",Table33[[#This Row],[Account Deposit Amount]]-Table33[[#This Row],[Account Withdrawl Amount]], )</f>
        <v>0</v>
      </c>
      <c r="P305" s="243">
        <f>IF(Table33[[#This Row],[Category]]="Insignia",Table33[[#This Row],[Account Deposit Amount]]-Table33[[#This Row],[Account Withdrawl Amount]], )</f>
        <v>0</v>
      </c>
      <c r="Q305" s="243">
        <f>IF(Table33[[#This Row],[Category]]="Activities/Program",Table33[[#This Row],[Account Deposit Amount]]-Table33[[#This Row],[Account Withdrawl Amount]], )</f>
        <v>0</v>
      </c>
      <c r="R305" s="243">
        <f>IF(Table33[[#This Row],[Category]]="Travel",Table33[[#This Row],[Account Deposit Amount]]-Table33[[#This Row],[Account Withdrawl Amount]], )</f>
        <v>0</v>
      </c>
      <c r="S305" s="243">
        <f>IF(Table33[[#This Row],[Category]]="Parties Food &amp; Beverages",Table33[[#This Row],[Account Deposit Amount]]-Table33[[#This Row],[Account Withdrawl Amount]], )</f>
        <v>0</v>
      </c>
      <c r="T305" s="243">
        <f>IF(Table33[[#This Row],[Category]]="Service Projects Donation",Table33[[#This Row],[Account Deposit Amount]]-Table33[[#This Row],[Account Withdrawl Amount]], )</f>
        <v>0</v>
      </c>
      <c r="U305" s="243">
        <f>IF(Table33[[#This Row],[Category]]="Cookie Debt",Table33[[#This Row],[Account Deposit Amount]]-Table33[[#This Row],[Account Withdrawl Amount]], )</f>
        <v>0</v>
      </c>
      <c r="V305" s="243">
        <f>IF(Table33[[#This Row],[Category]]="Other Expense",Table33[[#This Row],[Account Deposit Amount]]-Table33[[#This Row],[Account Withdrawl Amount]], )</f>
        <v>0</v>
      </c>
    </row>
    <row r="306" spans="1:22">
      <c r="A306" s="225"/>
      <c r="B306" s="241"/>
      <c r="C306" s="225"/>
      <c r="D306" s="225"/>
      <c r="E306" s="242"/>
      <c r="F306" s="242"/>
      <c r="G306" s="243">
        <f t="shared" si="8"/>
        <v>0</v>
      </c>
      <c r="H306" s="225"/>
      <c r="I306" s="243">
        <f>IF(Table33[[#This Row],[Category]]="Fall Product",Table33[[#This Row],[Account Deposit Amount]]-Table33[[#This Row],[Account Withdrawl Amount]], )</f>
        <v>0</v>
      </c>
      <c r="J306" s="243">
        <f>IF(Table33[[#This Row],[Category]]="Cookies",Table33[[#This Row],[Account Deposit Amount]]-Table33[[#This Row],[Account Withdrawl Amount]], )</f>
        <v>0</v>
      </c>
      <c r="K306" s="243">
        <f>IF(Table33[[#This Row],[Category]]="Additional Money Earning Activities",Table33[[#This Row],[Account Deposit Amount]]-Table33[[#This Row],[Account Withdrawl Amount]], )</f>
        <v>0</v>
      </c>
      <c r="L306" s="243">
        <f>IF(Table33[[#This Row],[Category]]="Sponsorships",Table33[[#This Row],[Account Deposit Amount]]-Table33[[#This Row],[Account Withdrawl Amount]], )</f>
        <v>0</v>
      </c>
      <c r="M306" s="243">
        <f>IF(Table33[[#This Row],[Category]]="Troop Dues",Table33[[#This Row],[Account Deposit Amount]]-Table33[[#This Row],[Account Withdrawl Amount]], )</f>
        <v>0</v>
      </c>
      <c r="N306" s="243">
        <f>IF(Table33[[#This Row],[Category]]="Other Income",Table33[[#This Row],[Account Deposit Amount]]-Table33[[#This Row],[Account Withdrawl Amount]], )</f>
        <v>0</v>
      </c>
      <c r="O306" s="243">
        <f>IF(Table33[[#This Row],[Category]]="Registration",Table33[[#This Row],[Account Deposit Amount]]-Table33[[#This Row],[Account Withdrawl Amount]], )</f>
        <v>0</v>
      </c>
      <c r="P306" s="243">
        <f>IF(Table33[[#This Row],[Category]]="Insignia",Table33[[#This Row],[Account Deposit Amount]]-Table33[[#This Row],[Account Withdrawl Amount]], )</f>
        <v>0</v>
      </c>
      <c r="Q306" s="243">
        <f>IF(Table33[[#This Row],[Category]]="Activities/Program",Table33[[#This Row],[Account Deposit Amount]]-Table33[[#This Row],[Account Withdrawl Amount]], )</f>
        <v>0</v>
      </c>
      <c r="R306" s="243">
        <f>IF(Table33[[#This Row],[Category]]="Travel",Table33[[#This Row],[Account Deposit Amount]]-Table33[[#This Row],[Account Withdrawl Amount]], )</f>
        <v>0</v>
      </c>
      <c r="S306" s="243">
        <f>IF(Table33[[#This Row],[Category]]="Parties Food &amp; Beverages",Table33[[#This Row],[Account Deposit Amount]]-Table33[[#This Row],[Account Withdrawl Amount]], )</f>
        <v>0</v>
      </c>
      <c r="T306" s="243">
        <f>IF(Table33[[#This Row],[Category]]="Service Projects Donation",Table33[[#This Row],[Account Deposit Amount]]-Table33[[#This Row],[Account Withdrawl Amount]], )</f>
        <v>0</v>
      </c>
      <c r="U306" s="243">
        <f>IF(Table33[[#This Row],[Category]]="Cookie Debt",Table33[[#This Row],[Account Deposit Amount]]-Table33[[#This Row],[Account Withdrawl Amount]], )</f>
        <v>0</v>
      </c>
      <c r="V306" s="243">
        <f>IF(Table33[[#This Row],[Category]]="Other Expense",Table33[[#This Row],[Account Deposit Amount]]-Table33[[#This Row],[Account Withdrawl Amount]], )</f>
        <v>0</v>
      </c>
    </row>
    <row r="307" spans="1:22">
      <c r="A307" s="225"/>
      <c r="B307" s="241"/>
      <c r="C307" s="225"/>
      <c r="D307" s="225"/>
      <c r="E307" s="242"/>
      <c r="F307" s="242"/>
      <c r="G307" s="243">
        <f t="shared" si="8"/>
        <v>0</v>
      </c>
      <c r="H307" s="225"/>
      <c r="I307" s="243">
        <f>IF(Table33[[#This Row],[Category]]="Fall Product",Table33[[#This Row],[Account Deposit Amount]]-Table33[[#This Row],[Account Withdrawl Amount]], )</f>
        <v>0</v>
      </c>
      <c r="J307" s="243">
        <f>IF(Table33[[#This Row],[Category]]="Cookies",Table33[[#This Row],[Account Deposit Amount]]-Table33[[#This Row],[Account Withdrawl Amount]], )</f>
        <v>0</v>
      </c>
      <c r="K307" s="243">
        <f>IF(Table33[[#This Row],[Category]]="Additional Money Earning Activities",Table33[[#This Row],[Account Deposit Amount]]-Table33[[#This Row],[Account Withdrawl Amount]], )</f>
        <v>0</v>
      </c>
      <c r="L307" s="243">
        <f>IF(Table33[[#This Row],[Category]]="Sponsorships",Table33[[#This Row],[Account Deposit Amount]]-Table33[[#This Row],[Account Withdrawl Amount]], )</f>
        <v>0</v>
      </c>
      <c r="M307" s="243">
        <f>IF(Table33[[#This Row],[Category]]="Troop Dues",Table33[[#This Row],[Account Deposit Amount]]-Table33[[#This Row],[Account Withdrawl Amount]], )</f>
        <v>0</v>
      </c>
      <c r="N307" s="243">
        <f>IF(Table33[[#This Row],[Category]]="Other Income",Table33[[#This Row],[Account Deposit Amount]]-Table33[[#This Row],[Account Withdrawl Amount]], )</f>
        <v>0</v>
      </c>
      <c r="O307" s="243">
        <f>IF(Table33[[#This Row],[Category]]="Registration",Table33[[#This Row],[Account Deposit Amount]]-Table33[[#This Row],[Account Withdrawl Amount]], )</f>
        <v>0</v>
      </c>
      <c r="P307" s="243">
        <f>IF(Table33[[#This Row],[Category]]="Insignia",Table33[[#This Row],[Account Deposit Amount]]-Table33[[#This Row],[Account Withdrawl Amount]], )</f>
        <v>0</v>
      </c>
      <c r="Q307" s="243">
        <f>IF(Table33[[#This Row],[Category]]="Activities/Program",Table33[[#This Row],[Account Deposit Amount]]-Table33[[#This Row],[Account Withdrawl Amount]], )</f>
        <v>0</v>
      </c>
      <c r="R307" s="243">
        <f>IF(Table33[[#This Row],[Category]]="Travel",Table33[[#This Row],[Account Deposit Amount]]-Table33[[#This Row],[Account Withdrawl Amount]], )</f>
        <v>0</v>
      </c>
      <c r="S307" s="243">
        <f>IF(Table33[[#This Row],[Category]]="Parties Food &amp; Beverages",Table33[[#This Row],[Account Deposit Amount]]-Table33[[#This Row],[Account Withdrawl Amount]], )</f>
        <v>0</v>
      </c>
      <c r="T307" s="243">
        <f>IF(Table33[[#This Row],[Category]]="Service Projects Donation",Table33[[#This Row],[Account Deposit Amount]]-Table33[[#This Row],[Account Withdrawl Amount]], )</f>
        <v>0</v>
      </c>
      <c r="U307" s="243">
        <f>IF(Table33[[#This Row],[Category]]="Cookie Debt",Table33[[#This Row],[Account Deposit Amount]]-Table33[[#This Row],[Account Withdrawl Amount]], )</f>
        <v>0</v>
      </c>
      <c r="V307" s="243">
        <f>IF(Table33[[#This Row],[Category]]="Other Expense",Table33[[#This Row],[Account Deposit Amount]]-Table33[[#This Row],[Account Withdrawl Amount]], )</f>
        <v>0</v>
      </c>
    </row>
    <row r="308" spans="1:22">
      <c r="A308" s="225"/>
      <c r="B308" s="241"/>
      <c r="C308" s="225"/>
      <c r="D308" s="225"/>
      <c r="E308" s="242"/>
      <c r="F308" s="242"/>
      <c r="G308" s="243">
        <f t="shared" si="8"/>
        <v>0</v>
      </c>
      <c r="H308" s="225"/>
      <c r="I308" s="243">
        <f>IF(Table33[[#This Row],[Category]]="Fall Product",Table33[[#This Row],[Account Deposit Amount]]-Table33[[#This Row],[Account Withdrawl Amount]], )</f>
        <v>0</v>
      </c>
      <c r="J308" s="243">
        <f>IF(Table33[[#This Row],[Category]]="Cookies",Table33[[#This Row],[Account Deposit Amount]]-Table33[[#This Row],[Account Withdrawl Amount]], )</f>
        <v>0</v>
      </c>
      <c r="K308" s="243">
        <f>IF(Table33[[#This Row],[Category]]="Additional Money Earning Activities",Table33[[#This Row],[Account Deposit Amount]]-Table33[[#This Row],[Account Withdrawl Amount]], )</f>
        <v>0</v>
      </c>
      <c r="L308" s="243">
        <f>IF(Table33[[#This Row],[Category]]="Sponsorships",Table33[[#This Row],[Account Deposit Amount]]-Table33[[#This Row],[Account Withdrawl Amount]], )</f>
        <v>0</v>
      </c>
      <c r="M308" s="243">
        <f>IF(Table33[[#This Row],[Category]]="Troop Dues",Table33[[#This Row],[Account Deposit Amount]]-Table33[[#This Row],[Account Withdrawl Amount]], )</f>
        <v>0</v>
      </c>
      <c r="N308" s="243">
        <f>IF(Table33[[#This Row],[Category]]="Other Income",Table33[[#This Row],[Account Deposit Amount]]-Table33[[#This Row],[Account Withdrawl Amount]], )</f>
        <v>0</v>
      </c>
      <c r="O308" s="243">
        <f>IF(Table33[[#This Row],[Category]]="Registration",Table33[[#This Row],[Account Deposit Amount]]-Table33[[#This Row],[Account Withdrawl Amount]], )</f>
        <v>0</v>
      </c>
      <c r="P308" s="243">
        <f>IF(Table33[[#This Row],[Category]]="Insignia",Table33[[#This Row],[Account Deposit Amount]]-Table33[[#This Row],[Account Withdrawl Amount]], )</f>
        <v>0</v>
      </c>
      <c r="Q308" s="243">
        <f>IF(Table33[[#This Row],[Category]]="Activities/Program",Table33[[#This Row],[Account Deposit Amount]]-Table33[[#This Row],[Account Withdrawl Amount]], )</f>
        <v>0</v>
      </c>
      <c r="R308" s="243">
        <f>IF(Table33[[#This Row],[Category]]="Travel",Table33[[#This Row],[Account Deposit Amount]]-Table33[[#This Row],[Account Withdrawl Amount]], )</f>
        <v>0</v>
      </c>
      <c r="S308" s="243">
        <f>IF(Table33[[#This Row],[Category]]="Parties Food &amp; Beverages",Table33[[#This Row],[Account Deposit Amount]]-Table33[[#This Row],[Account Withdrawl Amount]], )</f>
        <v>0</v>
      </c>
      <c r="T308" s="243">
        <f>IF(Table33[[#This Row],[Category]]="Service Projects Donation",Table33[[#This Row],[Account Deposit Amount]]-Table33[[#This Row],[Account Withdrawl Amount]], )</f>
        <v>0</v>
      </c>
      <c r="U308" s="243">
        <f>IF(Table33[[#This Row],[Category]]="Cookie Debt",Table33[[#This Row],[Account Deposit Amount]]-Table33[[#This Row],[Account Withdrawl Amount]], )</f>
        <v>0</v>
      </c>
      <c r="V308" s="243">
        <f>IF(Table33[[#This Row],[Category]]="Other Expense",Table33[[#This Row],[Account Deposit Amount]]-Table33[[#This Row],[Account Withdrawl Amount]], )</f>
        <v>0</v>
      </c>
    </row>
    <row r="309" spans="1:22">
      <c r="A309" s="225"/>
      <c r="B309" s="241"/>
      <c r="C309" s="225"/>
      <c r="D309" s="225"/>
      <c r="E309" s="242"/>
      <c r="F309" s="242"/>
      <c r="G309" s="243">
        <f t="shared" si="8"/>
        <v>0</v>
      </c>
      <c r="H309" s="225"/>
      <c r="I309" s="243">
        <f>IF(Table33[[#This Row],[Category]]="Fall Product",Table33[[#This Row],[Account Deposit Amount]]-Table33[[#This Row],[Account Withdrawl Amount]], )</f>
        <v>0</v>
      </c>
      <c r="J309" s="243">
        <f>IF(Table33[[#This Row],[Category]]="Cookies",Table33[[#This Row],[Account Deposit Amount]]-Table33[[#This Row],[Account Withdrawl Amount]], )</f>
        <v>0</v>
      </c>
      <c r="K309" s="243">
        <f>IF(Table33[[#This Row],[Category]]="Additional Money Earning Activities",Table33[[#This Row],[Account Deposit Amount]]-Table33[[#This Row],[Account Withdrawl Amount]], )</f>
        <v>0</v>
      </c>
      <c r="L309" s="243">
        <f>IF(Table33[[#This Row],[Category]]="Sponsorships",Table33[[#This Row],[Account Deposit Amount]]-Table33[[#This Row],[Account Withdrawl Amount]], )</f>
        <v>0</v>
      </c>
      <c r="M309" s="243">
        <f>IF(Table33[[#This Row],[Category]]="Troop Dues",Table33[[#This Row],[Account Deposit Amount]]-Table33[[#This Row],[Account Withdrawl Amount]], )</f>
        <v>0</v>
      </c>
      <c r="N309" s="243">
        <f>IF(Table33[[#This Row],[Category]]="Other Income",Table33[[#This Row],[Account Deposit Amount]]-Table33[[#This Row],[Account Withdrawl Amount]], )</f>
        <v>0</v>
      </c>
      <c r="O309" s="243">
        <f>IF(Table33[[#This Row],[Category]]="Registration",Table33[[#This Row],[Account Deposit Amount]]-Table33[[#This Row],[Account Withdrawl Amount]], )</f>
        <v>0</v>
      </c>
      <c r="P309" s="243">
        <f>IF(Table33[[#This Row],[Category]]="Insignia",Table33[[#This Row],[Account Deposit Amount]]-Table33[[#This Row],[Account Withdrawl Amount]], )</f>
        <v>0</v>
      </c>
      <c r="Q309" s="243">
        <f>IF(Table33[[#This Row],[Category]]="Activities/Program",Table33[[#This Row],[Account Deposit Amount]]-Table33[[#This Row],[Account Withdrawl Amount]], )</f>
        <v>0</v>
      </c>
      <c r="R309" s="243">
        <f>IF(Table33[[#This Row],[Category]]="Travel",Table33[[#This Row],[Account Deposit Amount]]-Table33[[#This Row],[Account Withdrawl Amount]], )</f>
        <v>0</v>
      </c>
      <c r="S309" s="243">
        <f>IF(Table33[[#This Row],[Category]]="Parties Food &amp; Beverages",Table33[[#This Row],[Account Deposit Amount]]-Table33[[#This Row],[Account Withdrawl Amount]], )</f>
        <v>0</v>
      </c>
      <c r="T309" s="243">
        <f>IF(Table33[[#This Row],[Category]]="Service Projects Donation",Table33[[#This Row],[Account Deposit Amount]]-Table33[[#This Row],[Account Withdrawl Amount]], )</f>
        <v>0</v>
      </c>
      <c r="U309" s="243">
        <f>IF(Table33[[#This Row],[Category]]="Cookie Debt",Table33[[#This Row],[Account Deposit Amount]]-Table33[[#This Row],[Account Withdrawl Amount]], )</f>
        <v>0</v>
      </c>
      <c r="V309" s="243">
        <f>IF(Table33[[#This Row],[Category]]="Other Expense",Table33[[#This Row],[Account Deposit Amount]]-Table33[[#This Row],[Account Withdrawl Amount]], )</f>
        <v>0</v>
      </c>
    </row>
    <row r="310" spans="1:22">
      <c r="A310" s="225"/>
      <c r="B310" s="241"/>
      <c r="C310" s="225"/>
      <c r="D310" s="225"/>
      <c r="E310" s="242"/>
      <c r="F310" s="242"/>
      <c r="G310" s="243">
        <f t="shared" si="8"/>
        <v>0</v>
      </c>
      <c r="H310" s="225"/>
      <c r="I310" s="243">
        <f>IF(Table33[[#This Row],[Category]]="Fall Product",Table33[[#This Row],[Account Deposit Amount]]-Table33[[#This Row],[Account Withdrawl Amount]], )</f>
        <v>0</v>
      </c>
      <c r="J310" s="243">
        <f>IF(Table33[[#This Row],[Category]]="Cookies",Table33[[#This Row],[Account Deposit Amount]]-Table33[[#This Row],[Account Withdrawl Amount]], )</f>
        <v>0</v>
      </c>
      <c r="K310" s="243">
        <f>IF(Table33[[#This Row],[Category]]="Additional Money Earning Activities",Table33[[#This Row],[Account Deposit Amount]]-Table33[[#This Row],[Account Withdrawl Amount]], )</f>
        <v>0</v>
      </c>
      <c r="L310" s="243">
        <f>IF(Table33[[#This Row],[Category]]="Sponsorships",Table33[[#This Row],[Account Deposit Amount]]-Table33[[#This Row],[Account Withdrawl Amount]], )</f>
        <v>0</v>
      </c>
      <c r="M310" s="243">
        <f>IF(Table33[[#This Row],[Category]]="Troop Dues",Table33[[#This Row],[Account Deposit Amount]]-Table33[[#This Row],[Account Withdrawl Amount]], )</f>
        <v>0</v>
      </c>
      <c r="N310" s="243">
        <f>IF(Table33[[#This Row],[Category]]="Other Income",Table33[[#This Row],[Account Deposit Amount]]-Table33[[#This Row],[Account Withdrawl Amount]], )</f>
        <v>0</v>
      </c>
      <c r="O310" s="243">
        <f>IF(Table33[[#This Row],[Category]]="Registration",Table33[[#This Row],[Account Deposit Amount]]-Table33[[#This Row],[Account Withdrawl Amount]], )</f>
        <v>0</v>
      </c>
      <c r="P310" s="243">
        <f>IF(Table33[[#This Row],[Category]]="Insignia",Table33[[#This Row],[Account Deposit Amount]]-Table33[[#This Row],[Account Withdrawl Amount]], )</f>
        <v>0</v>
      </c>
      <c r="Q310" s="243">
        <f>IF(Table33[[#This Row],[Category]]="Activities/Program",Table33[[#This Row],[Account Deposit Amount]]-Table33[[#This Row],[Account Withdrawl Amount]], )</f>
        <v>0</v>
      </c>
      <c r="R310" s="243">
        <f>IF(Table33[[#This Row],[Category]]="Travel",Table33[[#This Row],[Account Deposit Amount]]-Table33[[#This Row],[Account Withdrawl Amount]], )</f>
        <v>0</v>
      </c>
      <c r="S310" s="243">
        <f>IF(Table33[[#This Row],[Category]]="Parties Food &amp; Beverages",Table33[[#This Row],[Account Deposit Amount]]-Table33[[#This Row],[Account Withdrawl Amount]], )</f>
        <v>0</v>
      </c>
      <c r="T310" s="243">
        <f>IF(Table33[[#This Row],[Category]]="Service Projects Donation",Table33[[#This Row],[Account Deposit Amount]]-Table33[[#This Row],[Account Withdrawl Amount]], )</f>
        <v>0</v>
      </c>
      <c r="U310" s="243">
        <f>IF(Table33[[#This Row],[Category]]="Cookie Debt",Table33[[#This Row],[Account Deposit Amount]]-Table33[[#This Row],[Account Withdrawl Amount]], )</f>
        <v>0</v>
      </c>
      <c r="V310" s="243">
        <f>IF(Table33[[#This Row],[Category]]="Other Expense",Table33[[#This Row],[Account Deposit Amount]]-Table33[[#This Row],[Account Withdrawl Amount]], )</f>
        <v>0</v>
      </c>
    </row>
    <row r="311" spans="1:22">
      <c r="A311" s="225"/>
      <c r="B311" s="241"/>
      <c r="C311" s="225"/>
      <c r="D311" s="225"/>
      <c r="E311" s="242"/>
      <c r="F311" s="242"/>
      <c r="G311" s="243">
        <f t="shared" si="8"/>
        <v>0</v>
      </c>
      <c r="H311" s="225"/>
      <c r="I311" s="243">
        <f>IF(Table33[[#This Row],[Category]]="Fall Product",Table33[[#This Row],[Account Deposit Amount]]-Table33[[#This Row],[Account Withdrawl Amount]], )</f>
        <v>0</v>
      </c>
      <c r="J311" s="243">
        <f>IF(Table33[[#This Row],[Category]]="Cookies",Table33[[#This Row],[Account Deposit Amount]]-Table33[[#This Row],[Account Withdrawl Amount]], )</f>
        <v>0</v>
      </c>
      <c r="K311" s="243">
        <f>IF(Table33[[#This Row],[Category]]="Additional Money Earning Activities",Table33[[#This Row],[Account Deposit Amount]]-Table33[[#This Row],[Account Withdrawl Amount]], )</f>
        <v>0</v>
      </c>
      <c r="L311" s="243">
        <f>IF(Table33[[#This Row],[Category]]="Sponsorships",Table33[[#This Row],[Account Deposit Amount]]-Table33[[#This Row],[Account Withdrawl Amount]], )</f>
        <v>0</v>
      </c>
      <c r="M311" s="243">
        <f>IF(Table33[[#This Row],[Category]]="Troop Dues",Table33[[#This Row],[Account Deposit Amount]]-Table33[[#This Row],[Account Withdrawl Amount]], )</f>
        <v>0</v>
      </c>
      <c r="N311" s="243">
        <f>IF(Table33[[#This Row],[Category]]="Other Income",Table33[[#This Row],[Account Deposit Amount]]-Table33[[#This Row],[Account Withdrawl Amount]], )</f>
        <v>0</v>
      </c>
      <c r="O311" s="243">
        <f>IF(Table33[[#This Row],[Category]]="Registration",Table33[[#This Row],[Account Deposit Amount]]-Table33[[#This Row],[Account Withdrawl Amount]], )</f>
        <v>0</v>
      </c>
      <c r="P311" s="243">
        <f>IF(Table33[[#This Row],[Category]]="Insignia",Table33[[#This Row],[Account Deposit Amount]]-Table33[[#This Row],[Account Withdrawl Amount]], )</f>
        <v>0</v>
      </c>
      <c r="Q311" s="243">
        <f>IF(Table33[[#This Row],[Category]]="Activities/Program",Table33[[#This Row],[Account Deposit Amount]]-Table33[[#This Row],[Account Withdrawl Amount]], )</f>
        <v>0</v>
      </c>
      <c r="R311" s="243">
        <f>IF(Table33[[#This Row],[Category]]="Travel",Table33[[#This Row],[Account Deposit Amount]]-Table33[[#This Row],[Account Withdrawl Amount]], )</f>
        <v>0</v>
      </c>
      <c r="S311" s="243">
        <f>IF(Table33[[#This Row],[Category]]="Parties Food &amp; Beverages",Table33[[#This Row],[Account Deposit Amount]]-Table33[[#This Row],[Account Withdrawl Amount]], )</f>
        <v>0</v>
      </c>
      <c r="T311" s="243">
        <f>IF(Table33[[#This Row],[Category]]="Service Projects Donation",Table33[[#This Row],[Account Deposit Amount]]-Table33[[#This Row],[Account Withdrawl Amount]], )</f>
        <v>0</v>
      </c>
      <c r="U311" s="243">
        <f>IF(Table33[[#This Row],[Category]]="Cookie Debt",Table33[[#This Row],[Account Deposit Amount]]-Table33[[#This Row],[Account Withdrawl Amount]], )</f>
        <v>0</v>
      </c>
      <c r="V311" s="243">
        <f>IF(Table33[[#This Row],[Category]]="Other Expense",Table33[[#This Row],[Account Deposit Amount]]-Table33[[#This Row],[Account Withdrawl Amount]], )</f>
        <v>0</v>
      </c>
    </row>
    <row r="312" spans="1:22">
      <c r="A312" s="225"/>
      <c r="B312" s="241"/>
      <c r="C312" s="225"/>
      <c r="D312" s="225"/>
      <c r="E312" s="242"/>
      <c r="F312" s="242"/>
      <c r="G312" s="243">
        <f t="shared" si="8"/>
        <v>0</v>
      </c>
      <c r="H312" s="225"/>
      <c r="I312" s="243">
        <f>IF(Table33[[#This Row],[Category]]="Fall Product",Table33[[#This Row],[Account Deposit Amount]]-Table33[[#This Row],[Account Withdrawl Amount]], )</f>
        <v>0</v>
      </c>
      <c r="J312" s="243">
        <f>IF(Table33[[#This Row],[Category]]="Cookies",Table33[[#This Row],[Account Deposit Amount]]-Table33[[#This Row],[Account Withdrawl Amount]], )</f>
        <v>0</v>
      </c>
      <c r="K312" s="243">
        <f>IF(Table33[[#This Row],[Category]]="Additional Money Earning Activities",Table33[[#This Row],[Account Deposit Amount]]-Table33[[#This Row],[Account Withdrawl Amount]], )</f>
        <v>0</v>
      </c>
      <c r="L312" s="243">
        <f>IF(Table33[[#This Row],[Category]]="Sponsorships",Table33[[#This Row],[Account Deposit Amount]]-Table33[[#This Row],[Account Withdrawl Amount]], )</f>
        <v>0</v>
      </c>
      <c r="M312" s="243">
        <f>IF(Table33[[#This Row],[Category]]="Troop Dues",Table33[[#This Row],[Account Deposit Amount]]-Table33[[#This Row],[Account Withdrawl Amount]], )</f>
        <v>0</v>
      </c>
      <c r="N312" s="243">
        <f>IF(Table33[[#This Row],[Category]]="Other Income",Table33[[#This Row],[Account Deposit Amount]]-Table33[[#This Row],[Account Withdrawl Amount]], )</f>
        <v>0</v>
      </c>
      <c r="O312" s="243">
        <f>IF(Table33[[#This Row],[Category]]="Registration",Table33[[#This Row],[Account Deposit Amount]]-Table33[[#This Row],[Account Withdrawl Amount]], )</f>
        <v>0</v>
      </c>
      <c r="P312" s="243">
        <f>IF(Table33[[#This Row],[Category]]="Insignia",Table33[[#This Row],[Account Deposit Amount]]-Table33[[#This Row],[Account Withdrawl Amount]], )</f>
        <v>0</v>
      </c>
      <c r="Q312" s="243">
        <f>IF(Table33[[#This Row],[Category]]="Activities/Program",Table33[[#This Row],[Account Deposit Amount]]-Table33[[#This Row],[Account Withdrawl Amount]], )</f>
        <v>0</v>
      </c>
      <c r="R312" s="243">
        <f>IF(Table33[[#This Row],[Category]]="Travel",Table33[[#This Row],[Account Deposit Amount]]-Table33[[#This Row],[Account Withdrawl Amount]], )</f>
        <v>0</v>
      </c>
      <c r="S312" s="243">
        <f>IF(Table33[[#This Row],[Category]]="Parties Food &amp; Beverages",Table33[[#This Row],[Account Deposit Amount]]-Table33[[#This Row],[Account Withdrawl Amount]], )</f>
        <v>0</v>
      </c>
      <c r="T312" s="243">
        <f>IF(Table33[[#This Row],[Category]]="Service Projects Donation",Table33[[#This Row],[Account Deposit Amount]]-Table33[[#This Row],[Account Withdrawl Amount]], )</f>
        <v>0</v>
      </c>
      <c r="U312" s="243">
        <f>IF(Table33[[#This Row],[Category]]="Cookie Debt",Table33[[#This Row],[Account Deposit Amount]]-Table33[[#This Row],[Account Withdrawl Amount]], )</f>
        <v>0</v>
      </c>
      <c r="V312" s="243">
        <f>IF(Table33[[#This Row],[Category]]="Other Expense",Table33[[#This Row],[Account Deposit Amount]]-Table33[[#This Row],[Account Withdrawl Amount]], )</f>
        <v>0</v>
      </c>
    </row>
    <row r="313" spans="1:22">
      <c r="A313" s="225"/>
      <c r="B313" s="241"/>
      <c r="C313" s="225"/>
      <c r="D313" s="225"/>
      <c r="E313" s="242"/>
      <c r="F313" s="242"/>
      <c r="G313" s="243">
        <f t="shared" si="8"/>
        <v>0</v>
      </c>
      <c r="H313" s="225"/>
      <c r="I313" s="243">
        <f>IF(Table33[[#This Row],[Category]]="Fall Product",Table33[[#This Row],[Account Deposit Amount]]-Table33[[#This Row],[Account Withdrawl Amount]], )</f>
        <v>0</v>
      </c>
      <c r="J313" s="243">
        <f>IF(Table33[[#This Row],[Category]]="Cookies",Table33[[#This Row],[Account Deposit Amount]]-Table33[[#This Row],[Account Withdrawl Amount]], )</f>
        <v>0</v>
      </c>
      <c r="K313" s="243">
        <f>IF(Table33[[#This Row],[Category]]="Additional Money Earning Activities",Table33[[#This Row],[Account Deposit Amount]]-Table33[[#This Row],[Account Withdrawl Amount]], )</f>
        <v>0</v>
      </c>
      <c r="L313" s="243">
        <f>IF(Table33[[#This Row],[Category]]="Sponsorships",Table33[[#This Row],[Account Deposit Amount]]-Table33[[#This Row],[Account Withdrawl Amount]], )</f>
        <v>0</v>
      </c>
      <c r="M313" s="243">
        <f>IF(Table33[[#This Row],[Category]]="Troop Dues",Table33[[#This Row],[Account Deposit Amount]]-Table33[[#This Row],[Account Withdrawl Amount]], )</f>
        <v>0</v>
      </c>
      <c r="N313" s="243">
        <f>IF(Table33[[#This Row],[Category]]="Other Income",Table33[[#This Row],[Account Deposit Amount]]-Table33[[#This Row],[Account Withdrawl Amount]], )</f>
        <v>0</v>
      </c>
      <c r="O313" s="243">
        <f>IF(Table33[[#This Row],[Category]]="Registration",Table33[[#This Row],[Account Deposit Amount]]-Table33[[#This Row],[Account Withdrawl Amount]], )</f>
        <v>0</v>
      </c>
      <c r="P313" s="243">
        <f>IF(Table33[[#This Row],[Category]]="Insignia",Table33[[#This Row],[Account Deposit Amount]]-Table33[[#This Row],[Account Withdrawl Amount]], )</f>
        <v>0</v>
      </c>
      <c r="Q313" s="243">
        <f>IF(Table33[[#This Row],[Category]]="Activities/Program",Table33[[#This Row],[Account Deposit Amount]]-Table33[[#This Row],[Account Withdrawl Amount]], )</f>
        <v>0</v>
      </c>
      <c r="R313" s="243">
        <f>IF(Table33[[#This Row],[Category]]="Travel",Table33[[#This Row],[Account Deposit Amount]]-Table33[[#This Row],[Account Withdrawl Amount]], )</f>
        <v>0</v>
      </c>
      <c r="S313" s="243">
        <f>IF(Table33[[#This Row],[Category]]="Parties Food &amp; Beverages",Table33[[#This Row],[Account Deposit Amount]]-Table33[[#This Row],[Account Withdrawl Amount]], )</f>
        <v>0</v>
      </c>
      <c r="T313" s="243">
        <f>IF(Table33[[#This Row],[Category]]="Service Projects Donation",Table33[[#This Row],[Account Deposit Amount]]-Table33[[#This Row],[Account Withdrawl Amount]], )</f>
        <v>0</v>
      </c>
      <c r="U313" s="243">
        <f>IF(Table33[[#This Row],[Category]]="Cookie Debt",Table33[[#This Row],[Account Deposit Amount]]-Table33[[#This Row],[Account Withdrawl Amount]], )</f>
        <v>0</v>
      </c>
      <c r="V313" s="243">
        <f>IF(Table33[[#This Row],[Category]]="Other Expense",Table33[[#This Row],[Account Deposit Amount]]-Table33[[#This Row],[Account Withdrawl Amount]], )</f>
        <v>0</v>
      </c>
    </row>
    <row r="314" spans="1:22">
      <c r="A314" s="225"/>
      <c r="B314" s="241"/>
      <c r="C314" s="225"/>
      <c r="D314" s="225"/>
      <c r="E314" s="242"/>
      <c r="F314" s="242"/>
      <c r="G314" s="243">
        <f t="shared" si="8"/>
        <v>0</v>
      </c>
      <c r="H314" s="225"/>
      <c r="I314" s="243">
        <f>IF(Table33[[#This Row],[Category]]="Fall Product",Table33[[#This Row],[Account Deposit Amount]]-Table33[[#This Row],[Account Withdrawl Amount]], )</f>
        <v>0</v>
      </c>
      <c r="J314" s="243">
        <f>IF(Table33[[#This Row],[Category]]="Cookies",Table33[[#This Row],[Account Deposit Amount]]-Table33[[#This Row],[Account Withdrawl Amount]], )</f>
        <v>0</v>
      </c>
      <c r="K314" s="243">
        <f>IF(Table33[[#This Row],[Category]]="Additional Money Earning Activities",Table33[[#This Row],[Account Deposit Amount]]-Table33[[#This Row],[Account Withdrawl Amount]], )</f>
        <v>0</v>
      </c>
      <c r="L314" s="243">
        <f>IF(Table33[[#This Row],[Category]]="Sponsorships",Table33[[#This Row],[Account Deposit Amount]]-Table33[[#This Row],[Account Withdrawl Amount]], )</f>
        <v>0</v>
      </c>
      <c r="M314" s="243">
        <f>IF(Table33[[#This Row],[Category]]="Troop Dues",Table33[[#This Row],[Account Deposit Amount]]-Table33[[#This Row],[Account Withdrawl Amount]], )</f>
        <v>0</v>
      </c>
      <c r="N314" s="243">
        <f>IF(Table33[[#This Row],[Category]]="Other Income",Table33[[#This Row],[Account Deposit Amount]]-Table33[[#This Row],[Account Withdrawl Amount]], )</f>
        <v>0</v>
      </c>
      <c r="O314" s="243">
        <f>IF(Table33[[#This Row],[Category]]="Registration",Table33[[#This Row],[Account Deposit Amount]]-Table33[[#This Row],[Account Withdrawl Amount]], )</f>
        <v>0</v>
      </c>
      <c r="P314" s="243">
        <f>IF(Table33[[#This Row],[Category]]="Insignia",Table33[[#This Row],[Account Deposit Amount]]-Table33[[#This Row],[Account Withdrawl Amount]], )</f>
        <v>0</v>
      </c>
      <c r="Q314" s="243">
        <f>IF(Table33[[#This Row],[Category]]="Activities/Program",Table33[[#This Row],[Account Deposit Amount]]-Table33[[#This Row],[Account Withdrawl Amount]], )</f>
        <v>0</v>
      </c>
      <c r="R314" s="243">
        <f>IF(Table33[[#This Row],[Category]]="Travel",Table33[[#This Row],[Account Deposit Amount]]-Table33[[#This Row],[Account Withdrawl Amount]], )</f>
        <v>0</v>
      </c>
      <c r="S314" s="243">
        <f>IF(Table33[[#This Row],[Category]]="Parties Food &amp; Beverages",Table33[[#This Row],[Account Deposit Amount]]-Table33[[#This Row],[Account Withdrawl Amount]], )</f>
        <v>0</v>
      </c>
      <c r="T314" s="243">
        <f>IF(Table33[[#This Row],[Category]]="Service Projects Donation",Table33[[#This Row],[Account Deposit Amount]]-Table33[[#This Row],[Account Withdrawl Amount]], )</f>
        <v>0</v>
      </c>
      <c r="U314" s="243">
        <f>IF(Table33[[#This Row],[Category]]="Cookie Debt",Table33[[#This Row],[Account Deposit Amount]]-Table33[[#This Row],[Account Withdrawl Amount]], )</f>
        <v>0</v>
      </c>
      <c r="V314" s="243">
        <f>IF(Table33[[#This Row],[Category]]="Other Expense",Table33[[#This Row],[Account Deposit Amount]]-Table33[[#This Row],[Account Withdrawl Amount]], )</f>
        <v>0</v>
      </c>
    </row>
    <row r="315" spans="1:22">
      <c r="A315" s="225"/>
      <c r="B315" s="241"/>
      <c r="C315" s="225"/>
      <c r="D315" s="225"/>
      <c r="E315" s="242"/>
      <c r="F315" s="242"/>
      <c r="G315" s="243">
        <f t="shared" si="8"/>
        <v>0</v>
      </c>
      <c r="H315" s="225"/>
      <c r="I315" s="243">
        <f>IF(Table33[[#This Row],[Category]]="Fall Product",Table33[[#This Row],[Account Deposit Amount]]-Table33[[#This Row],[Account Withdrawl Amount]], )</f>
        <v>0</v>
      </c>
      <c r="J315" s="243">
        <f>IF(Table33[[#This Row],[Category]]="Cookies",Table33[[#This Row],[Account Deposit Amount]]-Table33[[#This Row],[Account Withdrawl Amount]], )</f>
        <v>0</v>
      </c>
      <c r="K315" s="243">
        <f>IF(Table33[[#This Row],[Category]]="Additional Money Earning Activities",Table33[[#This Row],[Account Deposit Amount]]-Table33[[#This Row],[Account Withdrawl Amount]], )</f>
        <v>0</v>
      </c>
      <c r="L315" s="243">
        <f>IF(Table33[[#This Row],[Category]]="Sponsorships",Table33[[#This Row],[Account Deposit Amount]]-Table33[[#This Row],[Account Withdrawl Amount]], )</f>
        <v>0</v>
      </c>
      <c r="M315" s="243">
        <f>IF(Table33[[#This Row],[Category]]="Troop Dues",Table33[[#This Row],[Account Deposit Amount]]-Table33[[#This Row],[Account Withdrawl Amount]], )</f>
        <v>0</v>
      </c>
      <c r="N315" s="243">
        <f>IF(Table33[[#This Row],[Category]]="Other Income",Table33[[#This Row],[Account Deposit Amount]]-Table33[[#This Row],[Account Withdrawl Amount]], )</f>
        <v>0</v>
      </c>
      <c r="O315" s="243">
        <f>IF(Table33[[#This Row],[Category]]="Registration",Table33[[#This Row],[Account Deposit Amount]]-Table33[[#This Row],[Account Withdrawl Amount]], )</f>
        <v>0</v>
      </c>
      <c r="P315" s="243">
        <f>IF(Table33[[#This Row],[Category]]="Insignia",Table33[[#This Row],[Account Deposit Amount]]-Table33[[#This Row],[Account Withdrawl Amount]], )</f>
        <v>0</v>
      </c>
      <c r="Q315" s="243">
        <f>IF(Table33[[#This Row],[Category]]="Activities/Program",Table33[[#This Row],[Account Deposit Amount]]-Table33[[#This Row],[Account Withdrawl Amount]], )</f>
        <v>0</v>
      </c>
      <c r="R315" s="243">
        <f>IF(Table33[[#This Row],[Category]]="Travel",Table33[[#This Row],[Account Deposit Amount]]-Table33[[#This Row],[Account Withdrawl Amount]], )</f>
        <v>0</v>
      </c>
      <c r="S315" s="243">
        <f>IF(Table33[[#This Row],[Category]]="Parties Food &amp; Beverages",Table33[[#This Row],[Account Deposit Amount]]-Table33[[#This Row],[Account Withdrawl Amount]], )</f>
        <v>0</v>
      </c>
      <c r="T315" s="243">
        <f>IF(Table33[[#This Row],[Category]]="Service Projects Donation",Table33[[#This Row],[Account Deposit Amount]]-Table33[[#This Row],[Account Withdrawl Amount]], )</f>
        <v>0</v>
      </c>
      <c r="U315" s="243">
        <f>IF(Table33[[#This Row],[Category]]="Cookie Debt",Table33[[#This Row],[Account Deposit Amount]]-Table33[[#This Row],[Account Withdrawl Amount]], )</f>
        <v>0</v>
      </c>
      <c r="V315" s="243">
        <f>IF(Table33[[#This Row],[Category]]="Other Expense",Table33[[#This Row],[Account Deposit Amount]]-Table33[[#This Row],[Account Withdrawl Amount]], )</f>
        <v>0</v>
      </c>
    </row>
    <row r="316" spans="1:22">
      <c r="A316" s="225"/>
      <c r="B316" s="241"/>
      <c r="C316" s="225"/>
      <c r="D316" s="225"/>
      <c r="E316" s="242"/>
      <c r="F316" s="242"/>
      <c r="G316" s="243">
        <f t="shared" si="8"/>
        <v>0</v>
      </c>
      <c r="H316" s="225"/>
      <c r="I316" s="243">
        <f>IF(Table33[[#This Row],[Category]]="Fall Product",Table33[[#This Row],[Account Deposit Amount]]-Table33[[#This Row],[Account Withdrawl Amount]], )</f>
        <v>0</v>
      </c>
      <c r="J316" s="243">
        <f>IF(Table33[[#This Row],[Category]]="Cookies",Table33[[#This Row],[Account Deposit Amount]]-Table33[[#This Row],[Account Withdrawl Amount]], )</f>
        <v>0</v>
      </c>
      <c r="K316" s="243">
        <f>IF(Table33[[#This Row],[Category]]="Additional Money Earning Activities",Table33[[#This Row],[Account Deposit Amount]]-Table33[[#This Row],[Account Withdrawl Amount]], )</f>
        <v>0</v>
      </c>
      <c r="L316" s="243">
        <f>IF(Table33[[#This Row],[Category]]="Sponsorships",Table33[[#This Row],[Account Deposit Amount]]-Table33[[#This Row],[Account Withdrawl Amount]], )</f>
        <v>0</v>
      </c>
      <c r="M316" s="243">
        <f>IF(Table33[[#This Row],[Category]]="Troop Dues",Table33[[#This Row],[Account Deposit Amount]]-Table33[[#This Row],[Account Withdrawl Amount]], )</f>
        <v>0</v>
      </c>
      <c r="N316" s="243">
        <f>IF(Table33[[#This Row],[Category]]="Other Income",Table33[[#This Row],[Account Deposit Amount]]-Table33[[#This Row],[Account Withdrawl Amount]], )</f>
        <v>0</v>
      </c>
      <c r="O316" s="243">
        <f>IF(Table33[[#This Row],[Category]]="Registration",Table33[[#This Row],[Account Deposit Amount]]-Table33[[#This Row],[Account Withdrawl Amount]], )</f>
        <v>0</v>
      </c>
      <c r="P316" s="243">
        <f>IF(Table33[[#This Row],[Category]]="Insignia",Table33[[#This Row],[Account Deposit Amount]]-Table33[[#This Row],[Account Withdrawl Amount]], )</f>
        <v>0</v>
      </c>
      <c r="Q316" s="243">
        <f>IF(Table33[[#This Row],[Category]]="Activities/Program",Table33[[#This Row],[Account Deposit Amount]]-Table33[[#This Row],[Account Withdrawl Amount]], )</f>
        <v>0</v>
      </c>
      <c r="R316" s="243">
        <f>IF(Table33[[#This Row],[Category]]="Travel",Table33[[#This Row],[Account Deposit Amount]]-Table33[[#This Row],[Account Withdrawl Amount]], )</f>
        <v>0</v>
      </c>
      <c r="S316" s="243">
        <f>IF(Table33[[#This Row],[Category]]="Parties Food &amp; Beverages",Table33[[#This Row],[Account Deposit Amount]]-Table33[[#This Row],[Account Withdrawl Amount]], )</f>
        <v>0</v>
      </c>
      <c r="T316" s="243">
        <f>IF(Table33[[#This Row],[Category]]="Service Projects Donation",Table33[[#This Row],[Account Deposit Amount]]-Table33[[#This Row],[Account Withdrawl Amount]], )</f>
        <v>0</v>
      </c>
      <c r="U316" s="243">
        <f>IF(Table33[[#This Row],[Category]]="Cookie Debt",Table33[[#This Row],[Account Deposit Amount]]-Table33[[#This Row],[Account Withdrawl Amount]], )</f>
        <v>0</v>
      </c>
      <c r="V316" s="243">
        <f>IF(Table33[[#This Row],[Category]]="Other Expense",Table33[[#This Row],[Account Deposit Amount]]-Table33[[#This Row],[Account Withdrawl Amount]], )</f>
        <v>0</v>
      </c>
    </row>
    <row r="317" spans="1:22">
      <c r="A317" s="225"/>
      <c r="B317" s="241"/>
      <c r="C317" s="225"/>
      <c r="D317" s="225"/>
      <c r="E317" s="242"/>
      <c r="F317" s="242"/>
      <c r="G317" s="243">
        <f t="shared" si="8"/>
        <v>0</v>
      </c>
      <c r="H317" s="225"/>
      <c r="I317" s="243">
        <f>IF(Table33[[#This Row],[Category]]="Fall Product",Table33[[#This Row],[Account Deposit Amount]]-Table33[[#This Row],[Account Withdrawl Amount]], )</f>
        <v>0</v>
      </c>
      <c r="J317" s="243">
        <f>IF(Table33[[#This Row],[Category]]="Cookies",Table33[[#This Row],[Account Deposit Amount]]-Table33[[#This Row],[Account Withdrawl Amount]], )</f>
        <v>0</v>
      </c>
      <c r="K317" s="243">
        <f>IF(Table33[[#This Row],[Category]]="Additional Money Earning Activities",Table33[[#This Row],[Account Deposit Amount]]-Table33[[#This Row],[Account Withdrawl Amount]], )</f>
        <v>0</v>
      </c>
      <c r="L317" s="243">
        <f>IF(Table33[[#This Row],[Category]]="Sponsorships",Table33[[#This Row],[Account Deposit Amount]]-Table33[[#This Row],[Account Withdrawl Amount]], )</f>
        <v>0</v>
      </c>
      <c r="M317" s="243">
        <f>IF(Table33[[#This Row],[Category]]="Troop Dues",Table33[[#This Row],[Account Deposit Amount]]-Table33[[#This Row],[Account Withdrawl Amount]], )</f>
        <v>0</v>
      </c>
      <c r="N317" s="243">
        <f>IF(Table33[[#This Row],[Category]]="Other Income",Table33[[#This Row],[Account Deposit Amount]]-Table33[[#This Row],[Account Withdrawl Amount]], )</f>
        <v>0</v>
      </c>
      <c r="O317" s="243">
        <f>IF(Table33[[#This Row],[Category]]="Registration",Table33[[#This Row],[Account Deposit Amount]]-Table33[[#This Row],[Account Withdrawl Amount]], )</f>
        <v>0</v>
      </c>
      <c r="P317" s="243">
        <f>IF(Table33[[#This Row],[Category]]="Insignia",Table33[[#This Row],[Account Deposit Amount]]-Table33[[#This Row],[Account Withdrawl Amount]], )</f>
        <v>0</v>
      </c>
      <c r="Q317" s="243">
        <f>IF(Table33[[#This Row],[Category]]="Activities/Program",Table33[[#This Row],[Account Deposit Amount]]-Table33[[#This Row],[Account Withdrawl Amount]], )</f>
        <v>0</v>
      </c>
      <c r="R317" s="243">
        <f>IF(Table33[[#This Row],[Category]]="Travel",Table33[[#This Row],[Account Deposit Amount]]-Table33[[#This Row],[Account Withdrawl Amount]], )</f>
        <v>0</v>
      </c>
      <c r="S317" s="243">
        <f>IF(Table33[[#This Row],[Category]]="Parties Food &amp; Beverages",Table33[[#This Row],[Account Deposit Amount]]-Table33[[#This Row],[Account Withdrawl Amount]], )</f>
        <v>0</v>
      </c>
      <c r="T317" s="243">
        <f>IF(Table33[[#This Row],[Category]]="Service Projects Donation",Table33[[#This Row],[Account Deposit Amount]]-Table33[[#This Row],[Account Withdrawl Amount]], )</f>
        <v>0</v>
      </c>
      <c r="U317" s="243">
        <f>IF(Table33[[#This Row],[Category]]="Cookie Debt",Table33[[#This Row],[Account Deposit Amount]]-Table33[[#This Row],[Account Withdrawl Amount]], )</f>
        <v>0</v>
      </c>
      <c r="V317" s="243">
        <f>IF(Table33[[#This Row],[Category]]="Other Expense",Table33[[#This Row],[Account Deposit Amount]]-Table33[[#This Row],[Account Withdrawl Amount]], )</f>
        <v>0</v>
      </c>
    </row>
    <row r="318" spans="1:22">
      <c r="A318" s="225"/>
      <c r="B318" s="241"/>
      <c r="C318" s="225"/>
      <c r="D318" s="225"/>
      <c r="E318" s="242"/>
      <c r="F318" s="242"/>
      <c r="G318" s="243">
        <f t="shared" si="8"/>
        <v>0</v>
      </c>
      <c r="H318" s="225"/>
      <c r="I318" s="243">
        <f>IF(Table33[[#This Row],[Category]]="Fall Product",Table33[[#This Row],[Account Deposit Amount]]-Table33[[#This Row],[Account Withdrawl Amount]], )</f>
        <v>0</v>
      </c>
      <c r="J318" s="243">
        <f>IF(Table33[[#This Row],[Category]]="Cookies",Table33[[#This Row],[Account Deposit Amount]]-Table33[[#This Row],[Account Withdrawl Amount]], )</f>
        <v>0</v>
      </c>
      <c r="K318" s="243">
        <f>IF(Table33[[#This Row],[Category]]="Additional Money Earning Activities",Table33[[#This Row],[Account Deposit Amount]]-Table33[[#This Row],[Account Withdrawl Amount]], )</f>
        <v>0</v>
      </c>
      <c r="L318" s="243">
        <f>IF(Table33[[#This Row],[Category]]="Sponsorships",Table33[[#This Row],[Account Deposit Amount]]-Table33[[#This Row],[Account Withdrawl Amount]], )</f>
        <v>0</v>
      </c>
      <c r="M318" s="243">
        <f>IF(Table33[[#This Row],[Category]]="Troop Dues",Table33[[#This Row],[Account Deposit Amount]]-Table33[[#This Row],[Account Withdrawl Amount]], )</f>
        <v>0</v>
      </c>
      <c r="N318" s="243">
        <f>IF(Table33[[#This Row],[Category]]="Other Income",Table33[[#This Row],[Account Deposit Amount]]-Table33[[#This Row],[Account Withdrawl Amount]], )</f>
        <v>0</v>
      </c>
      <c r="O318" s="243">
        <f>IF(Table33[[#This Row],[Category]]="Registration",Table33[[#This Row],[Account Deposit Amount]]-Table33[[#This Row],[Account Withdrawl Amount]], )</f>
        <v>0</v>
      </c>
      <c r="P318" s="243">
        <f>IF(Table33[[#This Row],[Category]]="Insignia",Table33[[#This Row],[Account Deposit Amount]]-Table33[[#This Row],[Account Withdrawl Amount]], )</f>
        <v>0</v>
      </c>
      <c r="Q318" s="243">
        <f>IF(Table33[[#This Row],[Category]]="Activities/Program",Table33[[#This Row],[Account Deposit Amount]]-Table33[[#This Row],[Account Withdrawl Amount]], )</f>
        <v>0</v>
      </c>
      <c r="R318" s="243">
        <f>IF(Table33[[#This Row],[Category]]="Travel",Table33[[#This Row],[Account Deposit Amount]]-Table33[[#This Row],[Account Withdrawl Amount]], )</f>
        <v>0</v>
      </c>
      <c r="S318" s="243">
        <f>IF(Table33[[#This Row],[Category]]="Parties Food &amp; Beverages",Table33[[#This Row],[Account Deposit Amount]]-Table33[[#This Row],[Account Withdrawl Amount]], )</f>
        <v>0</v>
      </c>
      <c r="T318" s="243">
        <f>IF(Table33[[#This Row],[Category]]="Service Projects Donation",Table33[[#This Row],[Account Deposit Amount]]-Table33[[#This Row],[Account Withdrawl Amount]], )</f>
        <v>0</v>
      </c>
      <c r="U318" s="243">
        <f>IF(Table33[[#This Row],[Category]]="Cookie Debt",Table33[[#This Row],[Account Deposit Amount]]-Table33[[#This Row],[Account Withdrawl Amount]], )</f>
        <v>0</v>
      </c>
      <c r="V318" s="243">
        <f>IF(Table33[[#This Row],[Category]]="Other Expense",Table33[[#This Row],[Account Deposit Amount]]-Table33[[#This Row],[Account Withdrawl Amount]], )</f>
        <v>0</v>
      </c>
    </row>
    <row r="319" spans="1:22">
      <c r="A319" s="225"/>
      <c r="B319" s="241"/>
      <c r="C319" s="225"/>
      <c r="D319" s="225"/>
      <c r="E319" s="242"/>
      <c r="F319" s="242"/>
      <c r="G319" s="243">
        <f t="shared" si="8"/>
        <v>0</v>
      </c>
      <c r="H319" s="225"/>
      <c r="I319" s="243">
        <f>IF(Table33[[#This Row],[Category]]="Fall Product",Table33[[#This Row],[Account Deposit Amount]]-Table33[[#This Row],[Account Withdrawl Amount]], )</f>
        <v>0</v>
      </c>
      <c r="J319" s="243">
        <f>IF(Table33[[#This Row],[Category]]="Cookies",Table33[[#This Row],[Account Deposit Amount]]-Table33[[#This Row],[Account Withdrawl Amount]], )</f>
        <v>0</v>
      </c>
      <c r="K319" s="243">
        <f>IF(Table33[[#This Row],[Category]]="Additional Money Earning Activities",Table33[[#This Row],[Account Deposit Amount]]-Table33[[#This Row],[Account Withdrawl Amount]], )</f>
        <v>0</v>
      </c>
      <c r="L319" s="243">
        <f>IF(Table33[[#This Row],[Category]]="Sponsorships",Table33[[#This Row],[Account Deposit Amount]]-Table33[[#This Row],[Account Withdrawl Amount]], )</f>
        <v>0</v>
      </c>
      <c r="M319" s="243">
        <f>IF(Table33[[#This Row],[Category]]="Troop Dues",Table33[[#This Row],[Account Deposit Amount]]-Table33[[#This Row],[Account Withdrawl Amount]], )</f>
        <v>0</v>
      </c>
      <c r="N319" s="243">
        <f>IF(Table33[[#This Row],[Category]]="Other Income",Table33[[#This Row],[Account Deposit Amount]]-Table33[[#This Row],[Account Withdrawl Amount]], )</f>
        <v>0</v>
      </c>
      <c r="O319" s="243">
        <f>IF(Table33[[#This Row],[Category]]="Registration",Table33[[#This Row],[Account Deposit Amount]]-Table33[[#This Row],[Account Withdrawl Amount]], )</f>
        <v>0</v>
      </c>
      <c r="P319" s="243">
        <f>IF(Table33[[#This Row],[Category]]="Insignia",Table33[[#This Row],[Account Deposit Amount]]-Table33[[#This Row],[Account Withdrawl Amount]], )</f>
        <v>0</v>
      </c>
      <c r="Q319" s="243">
        <f>IF(Table33[[#This Row],[Category]]="Activities/Program",Table33[[#This Row],[Account Deposit Amount]]-Table33[[#This Row],[Account Withdrawl Amount]], )</f>
        <v>0</v>
      </c>
      <c r="R319" s="243">
        <f>IF(Table33[[#This Row],[Category]]="Travel",Table33[[#This Row],[Account Deposit Amount]]-Table33[[#This Row],[Account Withdrawl Amount]], )</f>
        <v>0</v>
      </c>
      <c r="S319" s="243">
        <f>IF(Table33[[#This Row],[Category]]="Parties Food &amp; Beverages",Table33[[#This Row],[Account Deposit Amount]]-Table33[[#This Row],[Account Withdrawl Amount]], )</f>
        <v>0</v>
      </c>
      <c r="T319" s="243">
        <f>IF(Table33[[#This Row],[Category]]="Service Projects Donation",Table33[[#This Row],[Account Deposit Amount]]-Table33[[#This Row],[Account Withdrawl Amount]], )</f>
        <v>0</v>
      </c>
      <c r="U319" s="243">
        <f>IF(Table33[[#This Row],[Category]]="Cookie Debt",Table33[[#This Row],[Account Deposit Amount]]-Table33[[#This Row],[Account Withdrawl Amount]], )</f>
        <v>0</v>
      </c>
      <c r="V319" s="243">
        <f>IF(Table33[[#This Row],[Category]]="Other Expense",Table33[[#This Row],[Account Deposit Amount]]-Table33[[#This Row],[Account Withdrawl Amount]], )</f>
        <v>0</v>
      </c>
    </row>
    <row r="320" spans="1:22">
      <c r="A320" s="225"/>
      <c r="B320" s="241"/>
      <c r="C320" s="225"/>
      <c r="D320" s="225"/>
      <c r="E320" s="242"/>
      <c r="F320" s="242"/>
      <c r="G320" s="243">
        <f t="shared" si="8"/>
        <v>0</v>
      </c>
      <c r="H320" s="225"/>
      <c r="I320" s="243">
        <f>IF(Table33[[#This Row],[Category]]="Fall Product",Table33[[#This Row],[Account Deposit Amount]]-Table33[[#This Row],[Account Withdrawl Amount]], )</f>
        <v>0</v>
      </c>
      <c r="J320" s="243">
        <f>IF(Table33[[#This Row],[Category]]="Cookies",Table33[[#This Row],[Account Deposit Amount]]-Table33[[#This Row],[Account Withdrawl Amount]], )</f>
        <v>0</v>
      </c>
      <c r="K320" s="243">
        <f>IF(Table33[[#This Row],[Category]]="Additional Money Earning Activities",Table33[[#This Row],[Account Deposit Amount]]-Table33[[#This Row],[Account Withdrawl Amount]], )</f>
        <v>0</v>
      </c>
      <c r="L320" s="243">
        <f>IF(Table33[[#This Row],[Category]]="Sponsorships",Table33[[#This Row],[Account Deposit Amount]]-Table33[[#This Row],[Account Withdrawl Amount]], )</f>
        <v>0</v>
      </c>
      <c r="M320" s="243">
        <f>IF(Table33[[#This Row],[Category]]="Troop Dues",Table33[[#This Row],[Account Deposit Amount]]-Table33[[#This Row],[Account Withdrawl Amount]], )</f>
        <v>0</v>
      </c>
      <c r="N320" s="243">
        <f>IF(Table33[[#This Row],[Category]]="Other Income",Table33[[#This Row],[Account Deposit Amount]]-Table33[[#This Row],[Account Withdrawl Amount]], )</f>
        <v>0</v>
      </c>
      <c r="O320" s="243">
        <f>IF(Table33[[#This Row],[Category]]="Registration",Table33[[#This Row],[Account Deposit Amount]]-Table33[[#This Row],[Account Withdrawl Amount]], )</f>
        <v>0</v>
      </c>
      <c r="P320" s="243">
        <f>IF(Table33[[#This Row],[Category]]="Insignia",Table33[[#This Row],[Account Deposit Amount]]-Table33[[#This Row],[Account Withdrawl Amount]], )</f>
        <v>0</v>
      </c>
      <c r="Q320" s="243">
        <f>IF(Table33[[#This Row],[Category]]="Activities/Program",Table33[[#This Row],[Account Deposit Amount]]-Table33[[#This Row],[Account Withdrawl Amount]], )</f>
        <v>0</v>
      </c>
      <c r="R320" s="243">
        <f>IF(Table33[[#This Row],[Category]]="Travel",Table33[[#This Row],[Account Deposit Amount]]-Table33[[#This Row],[Account Withdrawl Amount]], )</f>
        <v>0</v>
      </c>
      <c r="S320" s="243">
        <f>IF(Table33[[#This Row],[Category]]="Parties Food &amp; Beverages",Table33[[#This Row],[Account Deposit Amount]]-Table33[[#This Row],[Account Withdrawl Amount]], )</f>
        <v>0</v>
      </c>
      <c r="T320" s="243">
        <f>IF(Table33[[#This Row],[Category]]="Service Projects Donation",Table33[[#This Row],[Account Deposit Amount]]-Table33[[#This Row],[Account Withdrawl Amount]], )</f>
        <v>0</v>
      </c>
      <c r="U320" s="243">
        <f>IF(Table33[[#This Row],[Category]]="Cookie Debt",Table33[[#This Row],[Account Deposit Amount]]-Table33[[#This Row],[Account Withdrawl Amount]], )</f>
        <v>0</v>
      </c>
      <c r="V320" s="243">
        <f>IF(Table33[[#This Row],[Category]]="Other Expense",Table33[[#This Row],[Account Deposit Amount]]-Table33[[#This Row],[Account Withdrawl Amount]], )</f>
        <v>0</v>
      </c>
    </row>
    <row r="321" spans="1:22">
      <c r="A321" s="225"/>
      <c r="B321" s="241"/>
      <c r="C321" s="225"/>
      <c r="D321" s="225"/>
      <c r="E321" s="242"/>
      <c r="F321" s="242"/>
      <c r="G321" s="243">
        <f t="shared" si="8"/>
        <v>0</v>
      </c>
      <c r="H321" s="225"/>
      <c r="I321" s="243">
        <f>IF(Table33[[#This Row],[Category]]="Fall Product",Table33[[#This Row],[Account Deposit Amount]]-Table33[[#This Row],[Account Withdrawl Amount]], )</f>
        <v>0</v>
      </c>
      <c r="J321" s="243">
        <f>IF(Table33[[#This Row],[Category]]="Cookies",Table33[[#This Row],[Account Deposit Amount]]-Table33[[#This Row],[Account Withdrawl Amount]], )</f>
        <v>0</v>
      </c>
      <c r="K321" s="243">
        <f>IF(Table33[[#This Row],[Category]]="Additional Money Earning Activities",Table33[[#This Row],[Account Deposit Amount]]-Table33[[#This Row],[Account Withdrawl Amount]], )</f>
        <v>0</v>
      </c>
      <c r="L321" s="243">
        <f>IF(Table33[[#This Row],[Category]]="Sponsorships",Table33[[#This Row],[Account Deposit Amount]]-Table33[[#This Row],[Account Withdrawl Amount]], )</f>
        <v>0</v>
      </c>
      <c r="M321" s="243">
        <f>IF(Table33[[#This Row],[Category]]="Troop Dues",Table33[[#This Row],[Account Deposit Amount]]-Table33[[#This Row],[Account Withdrawl Amount]], )</f>
        <v>0</v>
      </c>
      <c r="N321" s="243">
        <f>IF(Table33[[#This Row],[Category]]="Other Income",Table33[[#This Row],[Account Deposit Amount]]-Table33[[#This Row],[Account Withdrawl Amount]], )</f>
        <v>0</v>
      </c>
      <c r="O321" s="243">
        <f>IF(Table33[[#This Row],[Category]]="Registration",Table33[[#This Row],[Account Deposit Amount]]-Table33[[#This Row],[Account Withdrawl Amount]], )</f>
        <v>0</v>
      </c>
      <c r="P321" s="243">
        <f>IF(Table33[[#This Row],[Category]]="Insignia",Table33[[#This Row],[Account Deposit Amount]]-Table33[[#This Row],[Account Withdrawl Amount]], )</f>
        <v>0</v>
      </c>
      <c r="Q321" s="243">
        <f>IF(Table33[[#This Row],[Category]]="Activities/Program",Table33[[#This Row],[Account Deposit Amount]]-Table33[[#This Row],[Account Withdrawl Amount]], )</f>
        <v>0</v>
      </c>
      <c r="R321" s="243">
        <f>IF(Table33[[#This Row],[Category]]="Travel",Table33[[#This Row],[Account Deposit Amount]]-Table33[[#This Row],[Account Withdrawl Amount]], )</f>
        <v>0</v>
      </c>
      <c r="S321" s="243">
        <f>IF(Table33[[#This Row],[Category]]="Parties Food &amp; Beverages",Table33[[#This Row],[Account Deposit Amount]]-Table33[[#This Row],[Account Withdrawl Amount]], )</f>
        <v>0</v>
      </c>
      <c r="T321" s="243">
        <f>IF(Table33[[#This Row],[Category]]="Service Projects Donation",Table33[[#This Row],[Account Deposit Amount]]-Table33[[#This Row],[Account Withdrawl Amount]], )</f>
        <v>0</v>
      </c>
      <c r="U321" s="243">
        <f>IF(Table33[[#This Row],[Category]]="Cookie Debt",Table33[[#This Row],[Account Deposit Amount]]-Table33[[#This Row],[Account Withdrawl Amount]], )</f>
        <v>0</v>
      </c>
      <c r="V321" s="243">
        <f>IF(Table33[[#This Row],[Category]]="Other Expense",Table33[[#This Row],[Account Deposit Amount]]-Table33[[#This Row],[Account Withdrawl Amount]], )</f>
        <v>0</v>
      </c>
    </row>
    <row r="322" spans="1:22">
      <c r="A322" s="225"/>
      <c r="B322" s="241"/>
      <c r="C322" s="225"/>
      <c r="D322" s="225"/>
      <c r="E322" s="242"/>
      <c r="F322" s="242"/>
      <c r="G322" s="243">
        <f t="shared" si="8"/>
        <v>0</v>
      </c>
      <c r="H322" s="225"/>
      <c r="I322" s="243">
        <f>IF(Table33[[#This Row],[Category]]="Fall Product",Table33[[#This Row],[Account Deposit Amount]]-Table33[[#This Row],[Account Withdrawl Amount]], )</f>
        <v>0</v>
      </c>
      <c r="J322" s="243">
        <f>IF(Table33[[#This Row],[Category]]="Cookies",Table33[[#This Row],[Account Deposit Amount]]-Table33[[#This Row],[Account Withdrawl Amount]], )</f>
        <v>0</v>
      </c>
      <c r="K322" s="243">
        <f>IF(Table33[[#This Row],[Category]]="Additional Money Earning Activities",Table33[[#This Row],[Account Deposit Amount]]-Table33[[#This Row],[Account Withdrawl Amount]], )</f>
        <v>0</v>
      </c>
      <c r="L322" s="243">
        <f>IF(Table33[[#This Row],[Category]]="Sponsorships",Table33[[#This Row],[Account Deposit Amount]]-Table33[[#This Row],[Account Withdrawl Amount]], )</f>
        <v>0</v>
      </c>
      <c r="M322" s="243">
        <f>IF(Table33[[#This Row],[Category]]="Troop Dues",Table33[[#This Row],[Account Deposit Amount]]-Table33[[#This Row],[Account Withdrawl Amount]], )</f>
        <v>0</v>
      </c>
      <c r="N322" s="243">
        <f>IF(Table33[[#This Row],[Category]]="Other Income",Table33[[#This Row],[Account Deposit Amount]]-Table33[[#This Row],[Account Withdrawl Amount]], )</f>
        <v>0</v>
      </c>
      <c r="O322" s="243">
        <f>IF(Table33[[#This Row],[Category]]="Registration",Table33[[#This Row],[Account Deposit Amount]]-Table33[[#This Row],[Account Withdrawl Amount]], )</f>
        <v>0</v>
      </c>
      <c r="P322" s="243">
        <f>IF(Table33[[#This Row],[Category]]="Insignia",Table33[[#This Row],[Account Deposit Amount]]-Table33[[#This Row],[Account Withdrawl Amount]], )</f>
        <v>0</v>
      </c>
      <c r="Q322" s="243">
        <f>IF(Table33[[#This Row],[Category]]="Activities/Program",Table33[[#This Row],[Account Deposit Amount]]-Table33[[#This Row],[Account Withdrawl Amount]], )</f>
        <v>0</v>
      </c>
      <c r="R322" s="243">
        <f>IF(Table33[[#This Row],[Category]]="Travel",Table33[[#This Row],[Account Deposit Amount]]-Table33[[#This Row],[Account Withdrawl Amount]], )</f>
        <v>0</v>
      </c>
      <c r="S322" s="243">
        <f>IF(Table33[[#This Row],[Category]]="Parties Food &amp; Beverages",Table33[[#This Row],[Account Deposit Amount]]-Table33[[#This Row],[Account Withdrawl Amount]], )</f>
        <v>0</v>
      </c>
      <c r="T322" s="243">
        <f>IF(Table33[[#This Row],[Category]]="Service Projects Donation",Table33[[#This Row],[Account Deposit Amount]]-Table33[[#This Row],[Account Withdrawl Amount]], )</f>
        <v>0</v>
      </c>
      <c r="U322" s="243">
        <f>IF(Table33[[#This Row],[Category]]="Cookie Debt",Table33[[#This Row],[Account Deposit Amount]]-Table33[[#This Row],[Account Withdrawl Amount]], )</f>
        <v>0</v>
      </c>
      <c r="V322" s="243">
        <f>IF(Table33[[#This Row],[Category]]="Other Expense",Table33[[#This Row],[Account Deposit Amount]]-Table33[[#This Row],[Account Withdrawl Amount]], )</f>
        <v>0</v>
      </c>
    </row>
    <row r="323" spans="1:22">
      <c r="A323" s="225"/>
      <c r="B323" s="241"/>
      <c r="C323" s="225"/>
      <c r="D323" s="225"/>
      <c r="E323" s="242"/>
      <c r="F323" s="242"/>
      <c r="G323" s="243">
        <f t="shared" si="8"/>
        <v>0</v>
      </c>
      <c r="H323" s="225"/>
      <c r="I323" s="243">
        <f>IF(Table33[[#This Row],[Category]]="Fall Product",Table33[[#This Row],[Account Deposit Amount]]-Table33[[#This Row],[Account Withdrawl Amount]], )</f>
        <v>0</v>
      </c>
      <c r="J323" s="243">
        <f>IF(Table33[[#This Row],[Category]]="Cookies",Table33[[#This Row],[Account Deposit Amount]]-Table33[[#This Row],[Account Withdrawl Amount]], )</f>
        <v>0</v>
      </c>
      <c r="K323" s="243">
        <f>IF(Table33[[#This Row],[Category]]="Additional Money Earning Activities",Table33[[#This Row],[Account Deposit Amount]]-Table33[[#This Row],[Account Withdrawl Amount]], )</f>
        <v>0</v>
      </c>
      <c r="L323" s="243">
        <f>IF(Table33[[#This Row],[Category]]="Sponsorships",Table33[[#This Row],[Account Deposit Amount]]-Table33[[#This Row],[Account Withdrawl Amount]], )</f>
        <v>0</v>
      </c>
      <c r="M323" s="243">
        <f>IF(Table33[[#This Row],[Category]]="Troop Dues",Table33[[#This Row],[Account Deposit Amount]]-Table33[[#This Row],[Account Withdrawl Amount]], )</f>
        <v>0</v>
      </c>
      <c r="N323" s="243">
        <f>IF(Table33[[#This Row],[Category]]="Other Income",Table33[[#This Row],[Account Deposit Amount]]-Table33[[#This Row],[Account Withdrawl Amount]], )</f>
        <v>0</v>
      </c>
      <c r="O323" s="243">
        <f>IF(Table33[[#This Row],[Category]]="Registration",Table33[[#This Row],[Account Deposit Amount]]-Table33[[#This Row],[Account Withdrawl Amount]], )</f>
        <v>0</v>
      </c>
      <c r="P323" s="243">
        <f>IF(Table33[[#This Row],[Category]]="Insignia",Table33[[#This Row],[Account Deposit Amount]]-Table33[[#This Row],[Account Withdrawl Amount]], )</f>
        <v>0</v>
      </c>
      <c r="Q323" s="243">
        <f>IF(Table33[[#This Row],[Category]]="Activities/Program",Table33[[#This Row],[Account Deposit Amount]]-Table33[[#This Row],[Account Withdrawl Amount]], )</f>
        <v>0</v>
      </c>
      <c r="R323" s="243">
        <f>IF(Table33[[#This Row],[Category]]="Travel",Table33[[#This Row],[Account Deposit Amount]]-Table33[[#This Row],[Account Withdrawl Amount]], )</f>
        <v>0</v>
      </c>
      <c r="S323" s="243">
        <f>IF(Table33[[#This Row],[Category]]="Parties Food &amp; Beverages",Table33[[#This Row],[Account Deposit Amount]]-Table33[[#This Row],[Account Withdrawl Amount]], )</f>
        <v>0</v>
      </c>
      <c r="T323" s="243">
        <f>IF(Table33[[#This Row],[Category]]="Service Projects Donation",Table33[[#This Row],[Account Deposit Amount]]-Table33[[#This Row],[Account Withdrawl Amount]], )</f>
        <v>0</v>
      </c>
      <c r="U323" s="243">
        <f>IF(Table33[[#This Row],[Category]]="Cookie Debt",Table33[[#This Row],[Account Deposit Amount]]-Table33[[#This Row],[Account Withdrawl Amount]], )</f>
        <v>0</v>
      </c>
      <c r="V323" s="243">
        <f>IF(Table33[[#This Row],[Category]]="Other Expense",Table33[[#This Row],[Account Deposit Amount]]-Table33[[#This Row],[Account Withdrawl Amount]], )</f>
        <v>0</v>
      </c>
    </row>
    <row r="324" spans="1:22">
      <c r="A324" s="225"/>
      <c r="B324" s="241"/>
      <c r="C324" s="225"/>
      <c r="D324" s="225"/>
      <c r="E324" s="242"/>
      <c r="F324" s="242"/>
      <c r="G324" s="243">
        <f t="shared" si="8"/>
        <v>0</v>
      </c>
      <c r="H324" s="225"/>
      <c r="I324" s="243">
        <f>IF(Table33[[#This Row],[Category]]="Fall Product",Table33[[#This Row],[Account Deposit Amount]]-Table33[[#This Row],[Account Withdrawl Amount]], )</f>
        <v>0</v>
      </c>
      <c r="J324" s="243">
        <f>IF(Table33[[#This Row],[Category]]="Cookies",Table33[[#This Row],[Account Deposit Amount]]-Table33[[#This Row],[Account Withdrawl Amount]], )</f>
        <v>0</v>
      </c>
      <c r="K324" s="243">
        <f>IF(Table33[[#This Row],[Category]]="Additional Money Earning Activities",Table33[[#This Row],[Account Deposit Amount]]-Table33[[#This Row],[Account Withdrawl Amount]], )</f>
        <v>0</v>
      </c>
      <c r="L324" s="243">
        <f>IF(Table33[[#This Row],[Category]]="Sponsorships",Table33[[#This Row],[Account Deposit Amount]]-Table33[[#This Row],[Account Withdrawl Amount]], )</f>
        <v>0</v>
      </c>
      <c r="M324" s="243">
        <f>IF(Table33[[#This Row],[Category]]="Troop Dues",Table33[[#This Row],[Account Deposit Amount]]-Table33[[#This Row],[Account Withdrawl Amount]], )</f>
        <v>0</v>
      </c>
      <c r="N324" s="243">
        <f>IF(Table33[[#This Row],[Category]]="Other Income",Table33[[#This Row],[Account Deposit Amount]]-Table33[[#This Row],[Account Withdrawl Amount]], )</f>
        <v>0</v>
      </c>
      <c r="O324" s="243">
        <f>IF(Table33[[#This Row],[Category]]="Registration",Table33[[#This Row],[Account Deposit Amount]]-Table33[[#This Row],[Account Withdrawl Amount]], )</f>
        <v>0</v>
      </c>
      <c r="P324" s="243">
        <f>IF(Table33[[#This Row],[Category]]="Insignia",Table33[[#This Row],[Account Deposit Amount]]-Table33[[#This Row],[Account Withdrawl Amount]], )</f>
        <v>0</v>
      </c>
      <c r="Q324" s="243">
        <f>IF(Table33[[#This Row],[Category]]="Activities/Program",Table33[[#This Row],[Account Deposit Amount]]-Table33[[#This Row],[Account Withdrawl Amount]], )</f>
        <v>0</v>
      </c>
      <c r="R324" s="243">
        <f>IF(Table33[[#This Row],[Category]]="Travel",Table33[[#This Row],[Account Deposit Amount]]-Table33[[#This Row],[Account Withdrawl Amount]], )</f>
        <v>0</v>
      </c>
      <c r="S324" s="243">
        <f>IF(Table33[[#This Row],[Category]]="Parties Food &amp; Beverages",Table33[[#This Row],[Account Deposit Amount]]-Table33[[#This Row],[Account Withdrawl Amount]], )</f>
        <v>0</v>
      </c>
      <c r="T324" s="243">
        <f>IF(Table33[[#This Row],[Category]]="Service Projects Donation",Table33[[#This Row],[Account Deposit Amount]]-Table33[[#This Row],[Account Withdrawl Amount]], )</f>
        <v>0</v>
      </c>
      <c r="U324" s="243">
        <f>IF(Table33[[#This Row],[Category]]="Cookie Debt",Table33[[#This Row],[Account Deposit Amount]]-Table33[[#This Row],[Account Withdrawl Amount]], )</f>
        <v>0</v>
      </c>
      <c r="V324" s="243">
        <f>IF(Table33[[#This Row],[Category]]="Other Expense",Table33[[#This Row],[Account Deposit Amount]]-Table33[[#This Row],[Account Withdrawl Amount]], )</f>
        <v>0</v>
      </c>
    </row>
    <row r="325" spans="1:22">
      <c r="A325" s="225"/>
      <c r="B325" s="241"/>
      <c r="C325" s="225"/>
      <c r="D325" s="225"/>
      <c r="E325" s="242"/>
      <c r="F325" s="242"/>
      <c r="G325" s="243">
        <f t="shared" si="8"/>
        <v>0</v>
      </c>
      <c r="H325" s="225"/>
      <c r="I325" s="243">
        <f>IF(Table33[[#This Row],[Category]]="Fall Product",Table33[[#This Row],[Account Deposit Amount]]-Table33[[#This Row],[Account Withdrawl Amount]], )</f>
        <v>0</v>
      </c>
      <c r="J325" s="243">
        <f>IF(Table33[[#This Row],[Category]]="Cookies",Table33[[#This Row],[Account Deposit Amount]]-Table33[[#This Row],[Account Withdrawl Amount]], )</f>
        <v>0</v>
      </c>
      <c r="K325" s="243">
        <f>IF(Table33[[#This Row],[Category]]="Additional Money Earning Activities",Table33[[#This Row],[Account Deposit Amount]]-Table33[[#This Row],[Account Withdrawl Amount]], )</f>
        <v>0</v>
      </c>
      <c r="L325" s="243">
        <f>IF(Table33[[#This Row],[Category]]="Sponsorships",Table33[[#This Row],[Account Deposit Amount]]-Table33[[#This Row],[Account Withdrawl Amount]], )</f>
        <v>0</v>
      </c>
      <c r="M325" s="243">
        <f>IF(Table33[[#This Row],[Category]]="Troop Dues",Table33[[#This Row],[Account Deposit Amount]]-Table33[[#This Row],[Account Withdrawl Amount]], )</f>
        <v>0</v>
      </c>
      <c r="N325" s="243">
        <f>IF(Table33[[#This Row],[Category]]="Other Income",Table33[[#This Row],[Account Deposit Amount]]-Table33[[#This Row],[Account Withdrawl Amount]], )</f>
        <v>0</v>
      </c>
      <c r="O325" s="243">
        <f>IF(Table33[[#This Row],[Category]]="Registration",Table33[[#This Row],[Account Deposit Amount]]-Table33[[#This Row],[Account Withdrawl Amount]], )</f>
        <v>0</v>
      </c>
      <c r="P325" s="243">
        <f>IF(Table33[[#This Row],[Category]]="Insignia",Table33[[#This Row],[Account Deposit Amount]]-Table33[[#This Row],[Account Withdrawl Amount]], )</f>
        <v>0</v>
      </c>
      <c r="Q325" s="243">
        <f>IF(Table33[[#This Row],[Category]]="Activities/Program",Table33[[#This Row],[Account Deposit Amount]]-Table33[[#This Row],[Account Withdrawl Amount]], )</f>
        <v>0</v>
      </c>
      <c r="R325" s="243">
        <f>IF(Table33[[#This Row],[Category]]="Travel",Table33[[#This Row],[Account Deposit Amount]]-Table33[[#This Row],[Account Withdrawl Amount]], )</f>
        <v>0</v>
      </c>
      <c r="S325" s="243">
        <f>IF(Table33[[#This Row],[Category]]="Parties Food &amp; Beverages",Table33[[#This Row],[Account Deposit Amount]]-Table33[[#This Row],[Account Withdrawl Amount]], )</f>
        <v>0</v>
      </c>
      <c r="T325" s="243">
        <f>IF(Table33[[#This Row],[Category]]="Service Projects Donation",Table33[[#This Row],[Account Deposit Amount]]-Table33[[#This Row],[Account Withdrawl Amount]], )</f>
        <v>0</v>
      </c>
      <c r="U325" s="243">
        <f>IF(Table33[[#This Row],[Category]]="Cookie Debt",Table33[[#This Row],[Account Deposit Amount]]-Table33[[#This Row],[Account Withdrawl Amount]], )</f>
        <v>0</v>
      </c>
      <c r="V325" s="243">
        <f>IF(Table33[[#This Row],[Category]]="Other Expense",Table33[[#This Row],[Account Deposit Amount]]-Table33[[#This Row],[Account Withdrawl Amount]], )</f>
        <v>0</v>
      </c>
    </row>
    <row r="326" spans="1:22">
      <c r="A326" s="225"/>
      <c r="B326" s="241"/>
      <c r="C326" s="225"/>
      <c r="D326" s="225"/>
      <c r="E326" s="242"/>
      <c r="F326" s="242"/>
      <c r="G326" s="243">
        <f t="shared" si="8"/>
        <v>0</v>
      </c>
      <c r="H326" s="225"/>
      <c r="I326" s="243">
        <f>IF(Table33[[#This Row],[Category]]="Fall Product",Table33[[#This Row],[Account Deposit Amount]]-Table33[[#This Row],[Account Withdrawl Amount]], )</f>
        <v>0</v>
      </c>
      <c r="J326" s="243">
        <f>IF(Table33[[#This Row],[Category]]="Cookies",Table33[[#This Row],[Account Deposit Amount]]-Table33[[#This Row],[Account Withdrawl Amount]], )</f>
        <v>0</v>
      </c>
      <c r="K326" s="243">
        <f>IF(Table33[[#This Row],[Category]]="Additional Money Earning Activities",Table33[[#This Row],[Account Deposit Amount]]-Table33[[#This Row],[Account Withdrawl Amount]], )</f>
        <v>0</v>
      </c>
      <c r="L326" s="243">
        <f>IF(Table33[[#This Row],[Category]]="Sponsorships",Table33[[#This Row],[Account Deposit Amount]]-Table33[[#This Row],[Account Withdrawl Amount]], )</f>
        <v>0</v>
      </c>
      <c r="M326" s="243">
        <f>IF(Table33[[#This Row],[Category]]="Troop Dues",Table33[[#This Row],[Account Deposit Amount]]-Table33[[#This Row],[Account Withdrawl Amount]], )</f>
        <v>0</v>
      </c>
      <c r="N326" s="243">
        <f>IF(Table33[[#This Row],[Category]]="Other Income",Table33[[#This Row],[Account Deposit Amount]]-Table33[[#This Row],[Account Withdrawl Amount]], )</f>
        <v>0</v>
      </c>
      <c r="O326" s="243">
        <f>IF(Table33[[#This Row],[Category]]="Registration",Table33[[#This Row],[Account Deposit Amount]]-Table33[[#This Row],[Account Withdrawl Amount]], )</f>
        <v>0</v>
      </c>
      <c r="P326" s="243">
        <f>IF(Table33[[#This Row],[Category]]="Insignia",Table33[[#This Row],[Account Deposit Amount]]-Table33[[#This Row],[Account Withdrawl Amount]], )</f>
        <v>0</v>
      </c>
      <c r="Q326" s="243">
        <f>IF(Table33[[#This Row],[Category]]="Activities/Program",Table33[[#This Row],[Account Deposit Amount]]-Table33[[#This Row],[Account Withdrawl Amount]], )</f>
        <v>0</v>
      </c>
      <c r="R326" s="243">
        <f>IF(Table33[[#This Row],[Category]]="Travel",Table33[[#This Row],[Account Deposit Amount]]-Table33[[#This Row],[Account Withdrawl Amount]], )</f>
        <v>0</v>
      </c>
      <c r="S326" s="243">
        <f>IF(Table33[[#This Row],[Category]]="Parties Food &amp; Beverages",Table33[[#This Row],[Account Deposit Amount]]-Table33[[#This Row],[Account Withdrawl Amount]], )</f>
        <v>0</v>
      </c>
      <c r="T326" s="243">
        <f>IF(Table33[[#This Row],[Category]]="Service Projects Donation",Table33[[#This Row],[Account Deposit Amount]]-Table33[[#This Row],[Account Withdrawl Amount]], )</f>
        <v>0</v>
      </c>
      <c r="U326" s="243">
        <f>IF(Table33[[#This Row],[Category]]="Cookie Debt",Table33[[#This Row],[Account Deposit Amount]]-Table33[[#This Row],[Account Withdrawl Amount]], )</f>
        <v>0</v>
      </c>
      <c r="V326" s="243">
        <f>IF(Table33[[#This Row],[Category]]="Other Expense",Table33[[#This Row],[Account Deposit Amount]]-Table33[[#This Row],[Account Withdrawl Amount]], )</f>
        <v>0</v>
      </c>
    </row>
    <row r="327" spans="1:22">
      <c r="A327" s="225"/>
      <c r="B327" s="241"/>
      <c r="C327" s="225"/>
      <c r="D327" s="225"/>
      <c r="E327" s="242"/>
      <c r="F327" s="242"/>
      <c r="G327" s="243">
        <f t="shared" si="8"/>
        <v>0</v>
      </c>
      <c r="H327" s="225"/>
      <c r="I327" s="243">
        <f>IF(Table33[[#This Row],[Category]]="Fall Product",Table33[[#This Row],[Account Deposit Amount]]-Table33[[#This Row],[Account Withdrawl Amount]], )</f>
        <v>0</v>
      </c>
      <c r="J327" s="243">
        <f>IF(Table33[[#This Row],[Category]]="Cookies",Table33[[#This Row],[Account Deposit Amount]]-Table33[[#This Row],[Account Withdrawl Amount]], )</f>
        <v>0</v>
      </c>
      <c r="K327" s="243">
        <f>IF(Table33[[#This Row],[Category]]="Additional Money Earning Activities",Table33[[#This Row],[Account Deposit Amount]]-Table33[[#This Row],[Account Withdrawl Amount]], )</f>
        <v>0</v>
      </c>
      <c r="L327" s="243">
        <f>IF(Table33[[#This Row],[Category]]="Sponsorships",Table33[[#This Row],[Account Deposit Amount]]-Table33[[#This Row],[Account Withdrawl Amount]], )</f>
        <v>0</v>
      </c>
      <c r="M327" s="243">
        <f>IF(Table33[[#This Row],[Category]]="Troop Dues",Table33[[#This Row],[Account Deposit Amount]]-Table33[[#This Row],[Account Withdrawl Amount]], )</f>
        <v>0</v>
      </c>
      <c r="N327" s="243">
        <f>IF(Table33[[#This Row],[Category]]="Other Income",Table33[[#This Row],[Account Deposit Amount]]-Table33[[#This Row],[Account Withdrawl Amount]], )</f>
        <v>0</v>
      </c>
      <c r="O327" s="243">
        <f>IF(Table33[[#This Row],[Category]]="Registration",Table33[[#This Row],[Account Deposit Amount]]-Table33[[#This Row],[Account Withdrawl Amount]], )</f>
        <v>0</v>
      </c>
      <c r="P327" s="243">
        <f>IF(Table33[[#This Row],[Category]]="Insignia",Table33[[#This Row],[Account Deposit Amount]]-Table33[[#This Row],[Account Withdrawl Amount]], )</f>
        <v>0</v>
      </c>
      <c r="Q327" s="243">
        <f>IF(Table33[[#This Row],[Category]]="Activities/Program",Table33[[#This Row],[Account Deposit Amount]]-Table33[[#This Row],[Account Withdrawl Amount]], )</f>
        <v>0</v>
      </c>
      <c r="R327" s="243">
        <f>IF(Table33[[#This Row],[Category]]="Travel",Table33[[#This Row],[Account Deposit Amount]]-Table33[[#This Row],[Account Withdrawl Amount]], )</f>
        <v>0</v>
      </c>
      <c r="S327" s="243">
        <f>IF(Table33[[#This Row],[Category]]="Parties Food &amp; Beverages",Table33[[#This Row],[Account Deposit Amount]]-Table33[[#This Row],[Account Withdrawl Amount]], )</f>
        <v>0</v>
      </c>
      <c r="T327" s="243">
        <f>IF(Table33[[#This Row],[Category]]="Service Projects Donation",Table33[[#This Row],[Account Deposit Amount]]-Table33[[#This Row],[Account Withdrawl Amount]], )</f>
        <v>0</v>
      </c>
      <c r="U327" s="243">
        <f>IF(Table33[[#This Row],[Category]]="Cookie Debt",Table33[[#This Row],[Account Deposit Amount]]-Table33[[#This Row],[Account Withdrawl Amount]], )</f>
        <v>0</v>
      </c>
      <c r="V327" s="243">
        <f>IF(Table33[[#This Row],[Category]]="Other Expense",Table33[[#This Row],[Account Deposit Amount]]-Table33[[#This Row],[Account Withdrawl Amount]], )</f>
        <v>0</v>
      </c>
    </row>
    <row r="328" spans="1:22">
      <c r="A328" s="225"/>
      <c r="B328" s="241"/>
      <c r="C328" s="225"/>
      <c r="D328" s="225"/>
      <c r="E328" s="242"/>
      <c r="F328" s="242"/>
      <c r="G328" s="243">
        <f t="shared" si="8"/>
        <v>0</v>
      </c>
      <c r="H328" s="225"/>
      <c r="I328" s="243">
        <f>IF(Table33[[#This Row],[Category]]="Fall Product",Table33[[#This Row],[Account Deposit Amount]]-Table33[[#This Row],[Account Withdrawl Amount]], )</f>
        <v>0</v>
      </c>
      <c r="J328" s="243">
        <f>IF(Table33[[#This Row],[Category]]="Cookies",Table33[[#This Row],[Account Deposit Amount]]-Table33[[#This Row],[Account Withdrawl Amount]], )</f>
        <v>0</v>
      </c>
      <c r="K328" s="243">
        <f>IF(Table33[[#This Row],[Category]]="Additional Money Earning Activities",Table33[[#This Row],[Account Deposit Amount]]-Table33[[#This Row],[Account Withdrawl Amount]], )</f>
        <v>0</v>
      </c>
      <c r="L328" s="243">
        <f>IF(Table33[[#This Row],[Category]]="Sponsorships",Table33[[#This Row],[Account Deposit Amount]]-Table33[[#This Row],[Account Withdrawl Amount]], )</f>
        <v>0</v>
      </c>
      <c r="M328" s="243">
        <f>IF(Table33[[#This Row],[Category]]="Troop Dues",Table33[[#This Row],[Account Deposit Amount]]-Table33[[#This Row],[Account Withdrawl Amount]], )</f>
        <v>0</v>
      </c>
      <c r="N328" s="243">
        <f>IF(Table33[[#This Row],[Category]]="Other Income",Table33[[#This Row],[Account Deposit Amount]]-Table33[[#This Row],[Account Withdrawl Amount]], )</f>
        <v>0</v>
      </c>
      <c r="O328" s="243">
        <f>IF(Table33[[#This Row],[Category]]="Registration",Table33[[#This Row],[Account Deposit Amount]]-Table33[[#This Row],[Account Withdrawl Amount]], )</f>
        <v>0</v>
      </c>
      <c r="P328" s="243">
        <f>IF(Table33[[#This Row],[Category]]="Insignia",Table33[[#This Row],[Account Deposit Amount]]-Table33[[#This Row],[Account Withdrawl Amount]], )</f>
        <v>0</v>
      </c>
      <c r="Q328" s="243">
        <f>IF(Table33[[#This Row],[Category]]="Activities/Program",Table33[[#This Row],[Account Deposit Amount]]-Table33[[#This Row],[Account Withdrawl Amount]], )</f>
        <v>0</v>
      </c>
      <c r="R328" s="243">
        <f>IF(Table33[[#This Row],[Category]]="Travel",Table33[[#This Row],[Account Deposit Amount]]-Table33[[#This Row],[Account Withdrawl Amount]], )</f>
        <v>0</v>
      </c>
      <c r="S328" s="243">
        <f>IF(Table33[[#This Row],[Category]]="Parties Food &amp; Beverages",Table33[[#This Row],[Account Deposit Amount]]-Table33[[#This Row],[Account Withdrawl Amount]], )</f>
        <v>0</v>
      </c>
      <c r="T328" s="243">
        <f>IF(Table33[[#This Row],[Category]]="Service Projects Donation",Table33[[#This Row],[Account Deposit Amount]]-Table33[[#This Row],[Account Withdrawl Amount]], )</f>
        <v>0</v>
      </c>
      <c r="U328" s="243">
        <f>IF(Table33[[#This Row],[Category]]="Cookie Debt",Table33[[#This Row],[Account Deposit Amount]]-Table33[[#This Row],[Account Withdrawl Amount]], )</f>
        <v>0</v>
      </c>
      <c r="V328" s="243">
        <f>IF(Table33[[#This Row],[Category]]="Other Expense",Table33[[#This Row],[Account Deposit Amount]]-Table33[[#This Row],[Account Withdrawl Amount]], )</f>
        <v>0</v>
      </c>
    </row>
    <row r="329" spans="1:22">
      <c r="A329" s="225"/>
      <c r="B329" s="241"/>
      <c r="C329" s="225"/>
      <c r="D329" s="225"/>
      <c r="E329" s="242"/>
      <c r="F329" s="242"/>
      <c r="G329" s="243">
        <f t="shared" si="8"/>
        <v>0</v>
      </c>
      <c r="H329" s="225"/>
      <c r="I329" s="243">
        <f>IF(Table33[[#This Row],[Category]]="Fall Product",Table33[[#This Row],[Account Deposit Amount]]-Table33[[#This Row],[Account Withdrawl Amount]], )</f>
        <v>0</v>
      </c>
      <c r="J329" s="243">
        <f>IF(Table33[[#This Row],[Category]]="Cookies",Table33[[#This Row],[Account Deposit Amount]]-Table33[[#This Row],[Account Withdrawl Amount]], )</f>
        <v>0</v>
      </c>
      <c r="K329" s="243">
        <f>IF(Table33[[#This Row],[Category]]="Additional Money Earning Activities",Table33[[#This Row],[Account Deposit Amount]]-Table33[[#This Row],[Account Withdrawl Amount]], )</f>
        <v>0</v>
      </c>
      <c r="L329" s="243">
        <f>IF(Table33[[#This Row],[Category]]="Sponsorships",Table33[[#This Row],[Account Deposit Amount]]-Table33[[#This Row],[Account Withdrawl Amount]], )</f>
        <v>0</v>
      </c>
      <c r="M329" s="243">
        <f>IF(Table33[[#This Row],[Category]]="Troop Dues",Table33[[#This Row],[Account Deposit Amount]]-Table33[[#This Row],[Account Withdrawl Amount]], )</f>
        <v>0</v>
      </c>
      <c r="N329" s="243">
        <f>IF(Table33[[#This Row],[Category]]="Other Income",Table33[[#This Row],[Account Deposit Amount]]-Table33[[#This Row],[Account Withdrawl Amount]], )</f>
        <v>0</v>
      </c>
      <c r="O329" s="243">
        <f>IF(Table33[[#This Row],[Category]]="Registration",Table33[[#This Row],[Account Deposit Amount]]-Table33[[#This Row],[Account Withdrawl Amount]], )</f>
        <v>0</v>
      </c>
      <c r="P329" s="243">
        <f>IF(Table33[[#This Row],[Category]]="Insignia",Table33[[#This Row],[Account Deposit Amount]]-Table33[[#This Row],[Account Withdrawl Amount]], )</f>
        <v>0</v>
      </c>
      <c r="Q329" s="243">
        <f>IF(Table33[[#This Row],[Category]]="Activities/Program",Table33[[#This Row],[Account Deposit Amount]]-Table33[[#This Row],[Account Withdrawl Amount]], )</f>
        <v>0</v>
      </c>
      <c r="R329" s="243">
        <f>IF(Table33[[#This Row],[Category]]="Travel",Table33[[#This Row],[Account Deposit Amount]]-Table33[[#This Row],[Account Withdrawl Amount]], )</f>
        <v>0</v>
      </c>
      <c r="S329" s="243">
        <f>IF(Table33[[#This Row],[Category]]="Parties Food &amp; Beverages",Table33[[#This Row],[Account Deposit Amount]]-Table33[[#This Row],[Account Withdrawl Amount]], )</f>
        <v>0</v>
      </c>
      <c r="T329" s="243">
        <f>IF(Table33[[#This Row],[Category]]="Service Projects Donation",Table33[[#This Row],[Account Deposit Amount]]-Table33[[#This Row],[Account Withdrawl Amount]], )</f>
        <v>0</v>
      </c>
      <c r="U329" s="243">
        <f>IF(Table33[[#This Row],[Category]]="Cookie Debt",Table33[[#This Row],[Account Deposit Amount]]-Table33[[#This Row],[Account Withdrawl Amount]], )</f>
        <v>0</v>
      </c>
      <c r="V329" s="243">
        <f>IF(Table33[[#This Row],[Category]]="Other Expense",Table33[[#This Row],[Account Deposit Amount]]-Table33[[#This Row],[Account Withdrawl Amount]], )</f>
        <v>0</v>
      </c>
    </row>
    <row r="330" spans="1:22">
      <c r="A330" s="225"/>
      <c r="B330" s="241"/>
      <c r="C330" s="225"/>
      <c r="D330" s="225"/>
      <c r="E330" s="242"/>
      <c r="F330" s="242"/>
      <c r="G330" s="243">
        <f t="shared" si="8"/>
        <v>0</v>
      </c>
      <c r="H330" s="225"/>
      <c r="I330" s="243">
        <f>IF(Table33[[#This Row],[Category]]="Fall Product",Table33[[#This Row],[Account Deposit Amount]]-Table33[[#This Row],[Account Withdrawl Amount]], )</f>
        <v>0</v>
      </c>
      <c r="J330" s="243">
        <f>IF(Table33[[#This Row],[Category]]="Cookies",Table33[[#This Row],[Account Deposit Amount]]-Table33[[#This Row],[Account Withdrawl Amount]], )</f>
        <v>0</v>
      </c>
      <c r="K330" s="243">
        <f>IF(Table33[[#This Row],[Category]]="Additional Money Earning Activities",Table33[[#This Row],[Account Deposit Amount]]-Table33[[#This Row],[Account Withdrawl Amount]], )</f>
        <v>0</v>
      </c>
      <c r="L330" s="243">
        <f>IF(Table33[[#This Row],[Category]]="Sponsorships",Table33[[#This Row],[Account Deposit Amount]]-Table33[[#This Row],[Account Withdrawl Amount]], )</f>
        <v>0</v>
      </c>
      <c r="M330" s="243">
        <f>IF(Table33[[#This Row],[Category]]="Troop Dues",Table33[[#This Row],[Account Deposit Amount]]-Table33[[#This Row],[Account Withdrawl Amount]], )</f>
        <v>0</v>
      </c>
      <c r="N330" s="243">
        <f>IF(Table33[[#This Row],[Category]]="Other Income",Table33[[#This Row],[Account Deposit Amount]]-Table33[[#This Row],[Account Withdrawl Amount]], )</f>
        <v>0</v>
      </c>
      <c r="O330" s="243">
        <f>IF(Table33[[#This Row],[Category]]="Registration",Table33[[#This Row],[Account Deposit Amount]]-Table33[[#This Row],[Account Withdrawl Amount]], )</f>
        <v>0</v>
      </c>
      <c r="P330" s="243">
        <f>IF(Table33[[#This Row],[Category]]="Insignia",Table33[[#This Row],[Account Deposit Amount]]-Table33[[#This Row],[Account Withdrawl Amount]], )</f>
        <v>0</v>
      </c>
      <c r="Q330" s="243">
        <f>IF(Table33[[#This Row],[Category]]="Activities/Program",Table33[[#This Row],[Account Deposit Amount]]-Table33[[#This Row],[Account Withdrawl Amount]], )</f>
        <v>0</v>
      </c>
      <c r="R330" s="243">
        <f>IF(Table33[[#This Row],[Category]]="Travel",Table33[[#This Row],[Account Deposit Amount]]-Table33[[#This Row],[Account Withdrawl Amount]], )</f>
        <v>0</v>
      </c>
      <c r="S330" s="243">
        <f>IF(Table33[[#This Row],[Category]]="Parties Food &amp; Beverages",Table33[[#This Row],[Account Deposit Amount]]-Table33[[#This Row],[Account Withdrawl Amount]], )</f>
        <v>0</v>
      </c>
      <c r="T330" s="243">
        <f>IF(Table33[[#This Row],[Category]]="Service Projects Donation",Table33[[#This Row],[Account Deposit Amount]]-Table33[[#This Row],[Account Withdrawl Amount]], )</f>
        <v>0</v>
      </c>
      <c r="U330" s="243">
        <f>IF(Table33[[#This Row],[Category]]="Cookie Debt",Table33[[#This Row],[Account Deposit Amount]]-Table33[[#This Row],[Account Withdrawl Amount]], )</f>
        <v>0</v>
      </c>
      <c r="V330" s="243">
        <f>IF(Table33[[#This Row],[Category]]="Other Expense",Table33[[#This Row],[Account Deposit Amount]]-Table33[[#This Row],[Account Withdrawl Amount]], )</f>
        <v>0</v>
      </c>
    </row>
    <row r="331" spans="1:22">
      <c r="A331" s="225"/>
      <c r="B331" s="241"/>
      <c r="C331" s="225"/>
      <c r="D331" s="225"/>
      <c r="E331" s="242"/>
      <c r="F331" s="242"/>
      <c r="G331" s="243">
        <f t="shared" si="8"/>
        <v>0</v>
      </c>
      <c r="H331" s="225"/>
      <c r="I331" s="243">
        <f>IF(Table33[[#This Row],[Category]]="Fall Product",Table33[[#This Row],[Account Deposit Amount]]-Table33[[#This Row],[Account Withdrawl Amount]], )</f>
        <v>0</v>
      </c>
      <c r="J331" s="243">
        <f>IF(Table33[[#This Row],[Category]]="Cookies",Table33[[#This Row],[Account Deposit Amount]]-Table33[[#This Row],[Account Withdrawl Amount]], )</f>
        <v>0</v>
      </c>
      <c r="K331" s="243">
        <f>IF(Table33[[#This Row],[Category]]="Additional Money Earning Activities",Table33[[#This Row],[Account Deposit Amount]]-Table33[[#This Row],[Account Withdrawl Amount]], )</f>
        <v>0</v>
      </c>
      <c r="L331" s="243">
        <f>IF(Table33[[#This Row],[Category]]="Sponsorships",Table33[[#This Row],[Account Deposit Amount]]-Table33[[#This Row],[Account Withdrawl Amount]], )</f>
        <v>0</v>
      </c>
      <c r="M331" s="243">
        <f>IF(Table33[[#This Row],[Category]]="Troop Dues",Table33[[#This Row],[Account Deposit Amount]]-Table33[[#This Row],[Account Withdrawl Amount]], )</f>
        <v>0</v>
      </c>
      <c r="N331" s="243">
        <f>IF(Table33[[#This Row],[Category]]="Other Income",Table33[[#This Row],[Account Deposit Amount]]-Table33[[#This Row],[Account Withdrawl Amount]], )</f>
        <v>0</v>
      </c>
      <c r="O331" s="243">
        <f>IF(Table33[[#This Row],[Category]]="Registration",Table33[[#This Row],[Account Deposit Amount]]-Table33[[#This Row],[Account Withdrawl Amount]], )</f>
        <v>0</v>
      </c>
      <c r="P331" s="243">
        <f>IF(Table33[[#This Row],[Category]]="Insignia",Table33[[#This Row],[Account Deposit Amount]]-Table33[[#This Row],[Account Withdrawl Amount]], )</f>
        <v>0</v>
      </c>
      <c r="Q331" s="243">
        <f>IF(Table33[[#This Row],[Category]]="Activities/Program",Table33[[#This Row],[Account Deposit Amount]]-Table33[[#This Row],[Account Withdrawl Amount]], )</f>
        <v>0</v>
      </c>
      <c r="R331" s="243">
        <f>IF(Table33[[#This Row],[Category]]="Travel",Table33[[#This Row],[Account Deposit Amount]]-Table33[[#This Row],[Account Withdrawl Amount]], )</f>
        <v>0</v>
      </c>
      <c r="S331" s="243">
        <f>IF(Table33[[#This Row],[Category]]="Parties Food &amp; Beverages",Table33[[#This Row],[Account Deposit Amount]]-Table33[[#This Row],[Account Withdrawl Amount]], )</f>
        <v>0</v>
      </c>
      <c r="T331" s="243">
        <f>IF(Table33[[#This Row],[Category]]="Service Projects Donation",Table33[[#This Row],[Account Deposit Amount]]-Table33[[#This Row],[Account Withdrawl Amount]], )</f>
        <v>0</v>
      </c>
      <c r="U331" s="243">
        <f>IF(Table33[[#This Row],[Category]]="Cookie Debt",Table33[[#This Row],[Account Deposit Amount]]-Table33[[#This Row],[Account Withdrawl Amount]], )</f>
        <v>0</v>
      </c>
      <c r="V331" s="243">
        <f>IF(Table33[[#This Row],[Category]]="Other Expense",Table33[[#This Row],[Account Deposit Amount]]-Table33[[#This Row],[Account Withdrawl Amount]], )</f>
        <v>0</v>
      </c>
    </row>
    <row r="332" spans="1:22">
      <c r="A332" s="225"/>
      <c r="B332" s="241"/>
      <c r="C332" s="225"/>
      <c r="D332" s="225"/>
      <c r="E332" s="242"/>
      <c r="F332" s="242"/>
      <c r="G332" s="243">
        <f t="shared" si="8"/>
        <v>0</v>
      </c>
      <c r="H332" s="225"/>
      <c r="I332" s="243">
        <f>IF(Table33[[#This Row],[Category]]="Fall Product",Table33[[#This Row],[Account Deposit Amount]]-Table33[[#This Row],[Account Withdrawl Amount]], )</f>
        <v>0</v>
      </c>
      <c r="J332" s="243">
        <f>IF(Table33[[#This Row],[Category]]="Cookies",Table33[[#This Row],[Account Deposit Amount]]-Table33[[#This Row],[Account Withdrawl Amount]], )</f>
        <v>0</v>
      </c>
      <c r="K332" s="243">
        <f>IF(Table33[[#This Row],[Category]]="Additional Money Earning Activities",Table33[[#This Row],[Account Deposit Amount]]-Table33[[#This Row],[Account Withdrawl Amount]], )</f>
        <v>0</v>
      </c>
      <c r="L332" s="243">
        <f>IF(Table33[[#This Row],[Category]]="Sponsorships",Table33[[#This Row],[Account Deposit Amount]]-Table33[[#This Row],[Account Withdrawl Amount]], )</f>
        <v>0</v>
      </c>
      <c r="M332" s="243">
        <f>IF(Table33[[#This Row],[Category]]="Troop Dues",Table33[[#This Row],[Account Deposit Amount]]-Table33[[#This Row],[Account Withdrawl Amount]], )</f>
        <v>0</v>
      </c>
      <c r="N332" s="243">
        <f>IF(Table33[[#This Row],[Category]]="Other Income",Table33[[#This Row],[Account Deposit Amount]]-Table33[[#This Row],[Account Withdrawl Amount]], )</f>
        <v>0</v>
      </c>
      <c r="O332" s="243">
        <f>IF(Table33[[#This Row],[Category]]="Registration",Table33[[#This Row],[Account Deposit Amount]]-Table33[[#This Row],[Account Withdrawl Amount]], )</f>
        <v>0</v>
      </c>
      <c r="P332" s="243">
        <f>IF(Table33[[#This Row],[Category]]="Insignia",Table33[[#This Row],[Account Deposit Amount]]-Table33[[#This Row],[Account Withdrawl Amount]], )</f>
        <v>0</v>
      </c>
      <c r="Q332" s="243">
        <f>IF(Table33[[#This Row],[Category]]="Activities/Program",Table33[[#This Row],[Account Deposit Amount]]-Table33[[#This Row],[Account Withdrawl Amount]], )</f>
        <v>0</v>
      </c>
      <c r="R332" s="243">
        <f>IF(Table33[[#This Row],[Category]]="Travel",Table33[[#This Row],[Account Deposit Amount]]-Table33[[#This Row],[Account Withdrawl Amount]], )</f>
        <v>0</v>
      </c>
      <c r="S332" s="243">
        <f>IF(Table33[[#This Row],[Category]]="Parties Food &amp; Beverages",Table33[[#This Row],[Account Deposit Amount]]-Table33[[#This Row],[Account Withdrawl Amount]], )</f>
        <v>0</v>
      </c>
      <c r="T332" s="243">
        <f>IF(Table33[[#This Row],[Category]]="Service Projects Donation",Table33[[#This Row],[Account Deposit Amount]]-Table33[[#This Row],[Account Withdrawl Amount]], )</f>
        <v>0</v>
      </c>
      <c r="U332" s="243">
        <f>IF(Table33[[#This Row],[Category]]="Cookie Debt",Table33[[#This Row],[Account Deposit Amount]]-Table33[[#This Row],[Account Withdrawl Amount]], )</f>
        <v>0</v>
      </c>
      <c r="V332" s="243">
        <f>IF(Table33[[#This Row],[Category]]="Other Expense",Table33[[#This Row],[Account Deposit Amount]]-Table33[[#This Row],[Account Withdrawl Amount]], )</f>
        <v>0</v>
      </c>
    </row>
    <row r="333" spans="1:22">
      <c r="A333" s="225"/>
      <c r="B333" s="241"/>
      <c r="C333" s="225"/>
      <c r="D333" s="225"/>
      <c r="E333" s="242"/>
      <c r="F333" s="242"/>
      <c r="G333" s="243">
        <f t="shared" si="8"/>
        <v>0</v>
      </c>
      <c r="H333" s="225"/>
      <c r="I333" s="243">
        <f>IF(Table33[[#This Row],[Category]]="Fall Product",Table33[[#This Row],[Account Deposit Amount]]-Table33[[#This Row],[Account Withdrawl Amount]], )</f>
        <v>0</v>
      </c>
      <c r="J333" s="243">
        <f>IF(Table33[[#This Row],[Category]]="Cookies",Table33[[#This Row],[Account Deposit Amount]]-Table33[[#This Row],[Account Withdrawl Amount]], )</f>
        <v>0</v>
      </c>
      <c r="K333" s="243">
        <f>IF(Table33[[#This Row],[Category]]="Additional Money Earning Activities",Table33[[#This Row],[Account Deposit Amount]]-Table33[[#This Row],[Account Withdrawl Amount]], )</f>
        <v>0</v>
      </c>
      <c r="L333" s="243">
        <f>IF(Table33[[#This Row],[Category]]="Sponsorships",Table33[[#This Row],[Account Deposit Amount]]-Table33[[#This Row],[Account Withdrawl Amount]], )</f>
        <v>0</v>
      </c>
      <c r="M333" s="243">
        <f>IF(Table33[[#This Row],[Category]]="Troop Dues",Table33[[#This Row],[Account Deposit Amount]]-Table33[[#This Row],[Account Withdrawl Amount]], )</f>
        <v>0</v>
      </c>
      <c r="N333" s="243">
        <f>IF(Table33[[#This Row],[Category]]="Other Income",Table33[[#This Row],[Account Deposit Amount]]-Table33[[#This Row],[Account Withdrawl Amount]], )</f>
        <v>0</v>
      </c>
      <c r="O333" s="243">
        <f>IF(Table33[[#This Row],[Category]]="Registration",Table33[[#This Row],[Account Deposit Amount]]-Table33[[#This Row],[Account Withdrawl Amount]], )</f>
        <v>0</v>
      </c>
      <c r="P333" s="243">
        <f>IF(Table33[[#This Row],[Category]]="Insignia",Table33[[#This Row],[Account Deposit Amount]]-Table33[[#This Row],[Account Withdrawl Amount]], )</f>
        <v>0</v>
      </c>
      <c r="Q333" s="243">
        <f>IF(Table33[[#This Row],[Category]]="Activities/Program",Table33[[#This Row],[Account Deposit Amount]]-Table33[[#This Row],[Account Withdrawl Amount]], )</f>
        <v>0</v>
      </c>
      <c r="R333" s="243">
        <f>IF(Table33[[#This Row],[Category]]="Travel",Table33[[#This Row],[Account Deposit Amount]]-Table33[[#This Row],[Account Withdrawl Amount]], )</f>
        <v>0</v>
      </c>
      <c r="S333" s="243">
        <f>IF(Table33[[#This Row],[Category]]="Parties Food &amp; Beverages",Table33[[#This Row],[Account Deposit Amount]]-Table33[[#This Row],[Account Withdrawl Amount]], )</f>
        <v>0</v>
      </c>
      <c r="T333" s="243">
        <f>IF(Table33[[#This Row],[Category]]="Service Projects Donation",Table33[[#This Row],[Account Deposit Amount]]-Table33[[#This Row],[Account Withdrawl Amount]], )</f>
        <v>0</v>
      </c>
      <c r="U333" s="243">
        <f>IF(Table33[[#This Row],[Category]]="Cookie Debt",Table33[[#This Row],[Account Deposit Amount]]-Table33[[#This Row],[Account Withdrawl Amount]], )</f>
        <v>0</v>
      </c>
      <c r="V333" s="243">
        <f>IF(Table33[[#This Row],[Category]]="Other Expense",Table33[[#This Row],[Account Deposit Amount]]-Table33[[#This Row],[Account Withdrawl Amount]], )</f>
        <v>0</v>
      </c>
    </row>
    <row r="334" spans="1:22">
      <c r="A334" s="225"/>
      <c r="B334" s="241"/>
      <c r="C334" s="225"/>
      <c r="D334" s="225"/>
      <c r="E334" s="242"/>
      <c r="F334" s="242"/>
      <c r="G334" s="243">
        <f t="shared" si="8"/>
        <v>0</v>
      </c>
      <c r="H334" s="225"/>
      <c r="I334" s="243">
        <f>IF(Table33[[#This Row],[Category]]="Fall Product",Table33[[#This Row],[Account Deposit Amount]]-Table33[[#This Row],[Account Withdrawl Amount]], )</f>
        <v>0</v>
      </c>
      <c r="J334" s="243">
        <f>IF(Table33[[#This Row],[Category]]="Cookies",Table33[[#This Row],[Account Deposit Amount]]-Table33[[#This Row],[Account Withdrawl Amount]], )</f>
        <v>0</v>
      </c>
      <c r="K334" s="243">
        <f>IF(Table33[[#This Row],[Category]]="Additional Money Earning Activities",Table33[[#This Row],[Account Deposit Amount]]-Table33[[#This Row],[Account Withdrawl Amount]], )</f>
        <v>0</v>
      </c>
      <c r="L334" s="243">
        <f>IF(Table33[[#This Row],[Category]]="Sponsorships",Table33[[#This Row],[Account Deposit Amount]]-Table33[[#This Row],[Account Withdrawl Amount]], )</f>
        <v>0</v>
      </c>
      <c r="M334" s="243">
        <f>IF(Table33[[#This Row],[Category]]="Troop Dues",Table33[[#This Row],[Account Deposit Amount]]-Table33[[#This Row],[Account Withdrawl Amount]], )</f>
        <v>0</v>
      </c>
      <c r="N334" s="243">
        <f>IF(Table33[[#This Row],[Category]]="Other Income",Table33[[#This Row],[Account Deposit Amount]]-Table33[[#This Row],[Account Withdrawl Amount]], )</f>
        <v>0</v>
      </c>
      <c r="O334" s="243">
        <f>IF(Table33[[#This Row],[Category]]="Registration",Table33[[#This Row],[Account Deposit Amount]]-Table33[[#This Row],[Account Withdrawl Amount]], )</f>
        <v>0</v>
      </c>
      <c r="P334" s="243">
        <f>IF(Table33[[#This Row],[Category]]="Insignia",Table33[[#This Row],[Account Deposit Amount]]-Table33[[#This Row],[Account Withdrawl Amount]], )</f>
        <v>0</v>
      </c>
      <c r="Q334" s="243">
        <f>IF(Table33[[#This Row],[Category]]="Activities/Program",Table33[[#This Row],[Account Deposit Amount]]-Table33[[#This Row],[Account Withdrawl Amount]], )</f>
        <v>0</v>
      </c>
      <c r="R334" s="243">
        <f>IF(Table33[[#This Row],[Category]]="Travel",Table33[[#This Row],[Account Deposit Amount]]-Table33[[#This Row],[Account Withdrawl Amount]], )</f>
        <v>0</v>
      </c>
      <c r="S334" s="243">
        <f>IF(Table33[[#This Row],[Category]]="Parties Food &amp; Beverages",Table33[[#This Row],[Account Deposit Amount]]-Table33[[#This Row],[Account Withdrawl Amount]], )</f>
        <v>0</v>
      </c>
      <c r="T334" s="243">
        <f>IF(Table33[[#This Row],[Category]]="Service Projects Donation",Table33[[#This Row],[Account Deposit Amount]]-Table33[[#This Row],[Account Withdrawl Amount]], )</f>
        <v>0</v>
      </c>
      <c r="U334" s="243">
        <f>IF(Table33[[#This Row],[Category]]="Cookie Debt",Table33[[#This Row],[Account Deposit Amount]]-Table33[[#This Row],[Account Withdrawl Amount]], )</f>
        <v>0</v>
      </c>
      <c r="V334" s="243">
        <f>IF(Table33[[#This Row],[Category]]="Other Expense",Table33[[#This Row],[Account Deposit Amount]]-Table33[[#This Row],[Account Withdrawl Amount]], )</f>
        <v>0</v>
      </c>
    </row>
    <row r="335" spans="1:22">
      <c r="A335" s="225"/>
      <c r="B335" s="241"/>
      <c r="C335" s="225"/>
      <c r="D335" s="225"/>
      <c r="E335" s="242"/>
      <c r="F335" s="242"/>
      <c r="G335" s="243">
        <f t="shared" si="8"/>
        <v>0</v>
      </c>
      <c r="H335" s="225"/>
      <c r="I335" s="243">
        <f>IF(Table33[[#This Row],[Category]]="Fall Product",Table33[[#This Row],[Account Deposit Amount]]-Table33[[#This Row],[Account Withdrawl Amount]], )</f>
        <v>0</v>
      </c>
      <c r="J335" s="243">
        <f>IF(Table33[[#This Row],[Category]]="Cookies",Table33[[#This Row],[Account Deposit Amount]]-Table33[[#This Row],[Account Withdrawl Amount]], )</f>
        <v>0</v>
      </c>
      <c r="K335" s="243">
        <f>IF(Table33[[#This Row],[Category]]="Additional Money Earning Activities",Table33[[#This Row],[Account Deposit Amount]]-Table33[[#This Row],[Account Withdrawl Amount]], )</f>
        <v>0</v>
      </c>
      <c r="L335" s="243">
        <f>IF(Table33[[#This Row],[Category]]="Sponsorships",Table33[[#This Row],[Account Deposit Amount]]-Table33[[#This Row],[Account Withdrawl Amount]], )</f>
        <v>0</v>
      </c>
      <c r="M335" s="243">
        <f>IF(Table33[[#This Row],[Category]]="Troop Dues",Table33[[#This Row],[Account Deposit Amount]]-Table33[[#This Row],[Account Withdrawl Amount]], )</f>
        <v>0</v>
      </c>
      <c r="N335" s="243">
        <f>IF(Table33[[#This Row],[Category]]="Other Income",Table33[[#This Row],[Account Deposit Amount]]-Table33[[#This Row],[Account Withdrawl Amount]], )</f>
        <v>0</v>
      </c>
      <c r="O335" s="243">
        <f>IF(Table33[[#This Row],[Category]]="Registration",Table33[[#This Row],[Account Deposit Amount]]-Table33[[#This Row],[Account Withdrawl Amount]], )</f>
        <v>0</v>
      </c>
      <c r="P335" s="243">
        <f>IF(Table33[[#This Row],[Category]]="Insignia",Table33[[#This Row],[Account Deposit Amount]]-Table33[[#This Row],[Account Withdrawl Amount]], )</f>
        <v>0</v>
      </c>
      <c r="Q335" s="243">
        <f>IF(Table33[[#This Row],[Category]]="Activities/Program",Table33[[#This Row],[Account Deposit Amount]]-Table33[[#This Row],[Account Withdrawl Amount]], )</f>
        <v>0</v>
      </c>
      <c r="R335" s="243">
        <f>IF(Table33[[#This Row],[Category]]="Travel",Table33[[#This Row],[Account Deposit Amount]]-Table33[[#This Row],[Account Withdrawl Amount]], )</f>
        <v>0</v>
      </c>
      <c r="S335" s="243">
        <f>IF(Table33[[#This Row],[Category]]="Parties Food &amp; Beverages",Table33[[#This Row],[Account Deposit Amount]]-Table33[[#This Row],[Account Withdrawl Amount]], )</f>
        <v>0</v>
      </c>
      <c r="T335" s="243">
        <f>IF(Table33[[#This Row],[Category]]="Service Projects Donation",Table33[[#This Row],[Account Deposit Amount]]-Table33[[#This Row],[Account Withdrawl Amount]], )</f>
        <v>0</v>
      </c>
      <c r="U335" s="243">
        <f>IF(Table33[[#This Row],[Category]]="Cookie Debt",Table33[[#This Row],[Account Deposit Amount]]-Table33[[#This Row],[Account Withdrawl Amount]], )</f>
        <v>0</v>
      </c>
      <c r="V335" s="243">
        <f>IF(Table33[[#This Row],[Category]]="Other Expense",Table33[[#This Row],[Account Deposit Amount]]-Table33[[#This Row],[Account Withdrawl Amount]], )</f>
        <v>0</v>
      </c>
    </row>
    <row r="336" spans="1:22">
      <c r="A336" s="225"/>
      <c r="B336" s="241"/>
      <c r="C336" s="225"/>
      <c r="D336" s="225"/>
      <c r="E336" s="242"/>
      <c r="F336" s="242"/>
      <c r="G336" s="243">
        <f t="shared" si="8"/>
        <v>0</v>
      </c>
      <c r="H336" s="225"/>
      <c r="I336" s="243">
        <f>IF(Table33[[#This Row],[Category]]="Fall Product",Table33[[#This Row],[Account Deposit Amount]]-Table33[[#This Row],[Account Withdrawl Amount]], )</f>
        <v>0</v>
      </c>
      <c r="J336" s="243">
        <f>IF(Table33[[#This Row],[Category]]="Cookies",Table33[[#This Row],[Account Deposit Amount]]-Table33[[#This Row],[Account Withdrawl Amount]], )</f>
        <v>0</v>
      </c>
      <c r="K336" s="243">
        <f>IF(Table33[[#This Row],[Category]]="Additional Money Earning Activities",Table33[[#This Row],[Account Deposit Amount]]-Table33[[#This Row],[Account Withdrawl Amount]], )</f>
        <v>0</v>
      </c>
      <c r="L336" s="243">
        <f>IF(Table33[[#This Row],[Category]]="Sponsorships",Table33[[#This Row],[Account Deposit Amount]]-Table33[[#This Row],[Account Withdrawl Amount]], )</f>
        <v>0</v>
      </c>
      <c r="M336" s="243">
        <f>IF(Table33[[#This Row],[Category]]="Troop Dues",Table33[[#This Row],[Account Deposit Amount]]-Table33[[#This Row],[Account Withdrawl Amount]], )</f>
        <v>0</v>
      </c>
      <c r="N336" s="243">
        <f>IF(Table33[[#This Row],[Category]]="Other Income",Table33[[#This Row],[Account Deposit Amount]]-Table33[[#This Row],[Account Withdrawl Amount]], )</f>
        <v>0</v>
      </c>
      <c r="O336" s="243">
        <f>IF(Table33[[#This Row],[Category]]="Registration",Table33[[#This Row],[Account Deposit Amount]]-Table33[[#This Row],[Account Withdrawl Amount]], )</f>
        <v>0</v>
      </c>
      <c r="P336" s="243">
        <f>IF(Table33[[#This Row],[Category]]="Insignia",Table33[[#This Row],[Account Deposit Amount]]-Table33[[#This Row],[Account Withdrawl Amount]], )</f>
        <v>0</v>
      </c>
      <c r="Q336" s="243">
        <f>IF(Table33[[#This Row],[Category]]="Activities/Program",Table33[[#This Row],[Account Deposit Amount]]-Table33[[#This Row],[Account Withdrawl Amount]], )</f>
        <v>0</v>
      </c>
      <c r="R336" s="243">
        <f>IF(Table33[[#This Row],[Category]]="Travel",Table33[[#This Row],[Account Deposit Amount]]-Table33[[#This Row],[Account Withdrawl Amount]], )</f>
        <v>0</v>
      </c>
      <c r="S336" s="243">
        <f>IF(Table33[[#This Row],[Category]]="Parties Food &amp; Beverages",Table33[[#This Row],[Account Deposit Amount]]-Table33[[#This Row],[Account Withdrawl Amount]], )</f>
        <v>0</v>
      </c>
      <c r="T336" s="243">
        <f>IF(Table33[[#This Row],[Category]]="Service Projects Donation",Table33[[#This Row],[Account Deposit Amount]]-Table33[[#This Row],[Account Withdrawl Amount]], )</f>
        <v>0</v>
      </c>
      <c r="U336" s="243">
        <f>IF(Table33[[#This Row],[Category]]="Cookie Debt",Table33[[#This Row],[Account Deposit Amount]]-Table33[[#This Row],[Account Withdrawl Amount]], )</f>
        <v>0</v>
      </c>
      <c r="V336" s="243">
        <f>IF(Table33[[#This Row],[Category]]="Other Expense",Table33[[#This Row],[Account Deposit Amount]]-Table33[[#This Row],[Account Withdrawl Amount]], )</f>
        <v>0</v>
      </c>
    </row>
    <row r="337" spans="1:22">
      <c r="A337" s="225"/>
      <c r="B337" s="241"/>
      <c r="C337" s="225"/>
      <c r="D337" s="225"/>
      <c r="E337" s="242"/>
      <c r="F337" s="242"/>
      <c r="G337" s="243">
        <f t="shared" si="8"/>
        <v>0</v>
      </c>
      <c r="H337" s="225"/>
      <c r="I337" s="243">
        <f>IF(Table33[[#This Row],[Category]]="Fall Product",Table33[[#This Row],[Account Deposit Amount]]-Table33[[#This Row],[Account Withdrawl Amount]], )</f>
        <v>0</v>
      </c>
      <c r="J337" s="243">
        <f>IF(Table33[[#This Row],[Category]]="Cookies",Table33[[#This Row],[Account Deposit Amount]]-Table33[[#This Row],[Account Withdrawl Amount]], )</f>
        <v>0</v>
      </c>
      <c r="K337" s="243">
        <f>IF(Table33[[#This Row],[Category]]="Additional Money Earning Activities",Table33[[#This Row],[Account Deposit Amount]]-Table33[[#This Row],[Account Withdrawl Amount]], )</f>
        <v>0</v>
      </c>
      <c r="L337" s="243">
        <f>IF(Table33[[#This Row],[Category]]="Sponsorships",Table33[[#This Row],[Account Deposit Amount]]-Table33[[#This Row],[Account Withdrawl Amount]], )</f>
        <v>0</v>
      </c>
      <c r="M337" s="243">
        <f>IF(Table33[[#This Row],[Category]]="Troop Dues",Table33[[#This Row],[Account Deposit Amount]]-Table33[[#This Row],[Account Withdrawl Amount]], )</f>
        <v>0</v>
      </c>
      <c r="N337" s="243">
        <f>IF(Table33[[#This Row],[Category]]="Other Income",Table33[[#This Row],[Account Deposit Amount]]-Table33[[#This Row],[Account Withdrawl Amount]], )</f>
        <v>0</v>
      </c>
      <c r="O337" s="243">
        <f>IF(Table33[[#This Row],[Category]]="Registration",Table33[[#This Row],[Account Deposit Amount]]-Table33[[#This Row],[Account Withdrawl Amount]], )</f>
        <v>0</v>
      </c>
      <c r="P337" s="243">
        <f>IF(Table33[[#This Row],[Category]]="Insignia",Table33[[#This Row],[Account Deposit Amount]]-Table33[[#This Row],[Account Withdrawl Amount]], )</f>
        <v>0</v>
      </c>
      <c r="Q337" s="243">
        <f>IF(Table33[[#This Row],[Category]]="Activities/Program",Table33[[#This Row],[Account Deposit Amount]]-Table33[[#This Row],[Account Withdrawl Amount]], )</f>
        <v>0</v>
      </c>
      <c r="R337" s="243">
        <f>IF(Table33[[#This Row],[Category]]="Travel",Table33[[#This Row],[Account Deposit Amount]]-Table33[[#This Row],[Account Withdrawl Amount]], )</f>
        <v>0</v>
      </c>
      <c r="S337" s="243">
        <f>IF(Table33[[#This Row],[Category]]="Parties Food &amp; Beverages",Table33[[#This Row],[Account Deposit Amount]]-Table33[[#This Row],[Account Withdrawl Amount]], )</f>
        <v>0</v>
      </c>
      <c r="T337" s="243">
        <f>IF(Table33[[#This Row],[Category]]="Service Projects Donation",Table33[[#This Row],[Account Deposit Amount]]-Table33[[#This Row],[Account Withdrawl Amount]], )</f>
        <v>0</v>
      </c>
      <c r="U337" s="243">
        <f>IF(Table33[[#This Row],[Category]]="Cookie Debt",Table33[[#This Row],[Account Deposit Amount]]-Table33[[#This Row],[Account Withdrawl Amount]], )</f>
        <v>0</v>
      </c>
      <c r="V337" s="243">
        <f>IF(Table33[[#This Row],[Category]]="Other Expense",Table33[[#This Row],[Account Deposit Amount]]-Table33[[#This Row],[Account Withdrawl Amount]], )</f>
        <v>0</v>
      </c>
    </row>
    <row r="338" spans="1:22">
      <c r="A338" s="225"/>
      <c r="B338" s="241"/>
      <c r="C338" s="225"/>
      <c r="D338" s="225"/>
      <c r="E338" s="242"/>
      <c r="F338" s="242"/>
      <c r="G338" s="243">
        <f t="shared" si="8"/>
        <v>0</v>
      </c>
      <c r="H338" s="225"/>
      <c r="I338" s="243">
        <f>IF(Table33[[#This Row],[Category]]="Fall Product",Table33[[#This Row],[Account Deposit Amount]]-Table33[[#This Row],[Account Withdrawl Amount]], )</f>
        <v>0</v>
      </c>
      <c r="J338" s="243">
        <f>IF(Table33[[#This Row],[Category]]="Cookies",Table33[[#This Row],[Account Deposit Amount]]-Table33[[#This Row],[Account Withdrawl Amount]], )</f>
        <v>0</v>
      </c>
      <c r="K338" s="243">
        <f>IF(Table33[[#This Row],[Category]]="Additional Money Earning Activities",Table33[[#This Row],[Account Deposit Amount]]-Table33[[#This Row],[Account Withdrawl Amount]], )</f>
        <v>0</v>
      </c>
      <c r="L338" s="243">
        <f>IF(Table33[[#This Row],[Category]]="Sponsorships",Table33[[#This Row],[Account Deposit Amount]]-Table33[[#This Row],[Account Withdrawl Amount]], )</f>
        <v>0</v>
      </c>
      <c r="M338" s="243">
        <f>IF(Table33[[#This Row],[Category]]="Troop Dues",Table33[[#This Row],[Account Deposit Amount]]-Table33[[#This Row],[Account Withdrawl Amount]], )</f>
        <v>0</v>
      </c>
      <c r="N338" s="243">
        <f>IF(Table33[[#This Row],[Category]]="Other Income",Table33[[#This Row],[Account Deposit Amount]]-Table33[[#This Row],[Account Withdrawl Amount]], )</f>
        <v>0</v>
      </c>
      <c r="O338" s="243">
        <f>IF(Table33[[#This Row],[Category]]="Registration",Table33[[#This Row],[Account Deposit Amount]]-Table33[[#This Row],[Account Withdrawl Amount]], )</f>
        <v>0</v>
      </c>
      <c r="P338" s="243">
        <f>IF(Table33[[#This Row],[Category]]="Insignia",Table33[[#This Row],[Account Deposit Amount]]-Table33[[#This Row],[Account Withdrawl Amount]], )</f>
        <v>0</v>
      </c>
      <c r="Q338" s="243">
        <f>IF(Table33[[#This Row],[Category]]="Activities/Program",Table33[[#This Row],[Account Deposit Amount]]-Table33[[#This Row],[Account Withdrawl Amount]], )</f>
        <v>0</v>
      </c>
      <c r="R338" s="243">
        <f>IF(Table33[[#This Row],[Category]]="Travel",Table33[[#This Row],[Account Deposit Amount]]-Table33[[#This Row],[Account Withdrawl Amount]], )</f>
        <v>0</v>
      </c>
      <c r="S338" s="243">
        <f>IF(Table33[[#This Row],[Category]]="Parties Food &amp; Beverages",Table33[[#This Row],[Account Deposit Amount]]-Table33[[#This Row],[Account Withdrawl Amount]], )</f>
        <v>0</v>
      </c>
      <c r="T338" s="243">
        <f>IF(Table33[[#This Row],[Category]]="Service Projects Donation",Table33[[#This Row],[Account Deposit Amount]]-Table33[[#This Row],[Account Withdrawl Amount]], )</f>
        <v>0</v>
      </c>
      <c r="U338" s="243">
        <f>IF(Table33[[#This Row],[Category]]="Cookie Debt",Table33[[#This Row],[Account Deposit Amount]]-Table33[[#This Row],[Account Withdrawl Amount]], )</f>
        <v>0</v>
      </c>
      <c r="V338" s="243">
        <f>IF(Table33[[#This Row],[Category]]="Other Expense",Table33[[#This Row],[Account Deposit Amount]]-Table33[[#This Row],[Account Withdrawl Amount]], )</f>
        <v>0</v>
      </c>
    </row>
    <row r="339" spans="1:22">
      <c r="A339" s="225"/>
      <c r="B339" s="241"/>
      <c r="C339" s="225"/>
      <c r="D339" s="225"/>
      <c r="E339" s="242"/>
      <c r="F339" s="242"/>
      <c r="G339" s="243">
        <f t="shared" si="8"/>
        <v>0</v>
      </c>
      <c r="H339" s="225"/>
      <c r="I339" s="243">
        <f>IF(Table33[[#This Row],[Category]]="Fall Product",Table33[[#This Row],[Account Deposit Amount]]-Table33[[#This Row],[Account Withdrawl Amount]], )</f>
        <v>0</v>
      </c>
      <c r="J339" s="243">
        <f>IF(Table33[[#This Row],[Category]]="Cookies",Table33[[#This Row],[Account Deposit Amount]]-Table33[[#This Row],[Account Withdrawl Amount]], )</f>
        <v>0</v>
      </c>
      <c r="K339" s="243">
        <f>IF(Table33[[#This Row],[Category]]="Additional Money Earning Activities",Table33[[#This Row],[Account Deposit Amount]]-Table33[[#This Row],[Account Withdrawl Amount]], )</f>
        <v>0</v>
      </c>
      <c r="L339" s="243">
        <f>IF(Table33[[#This Row],[Category]]="Sponsorships",Table33[[#This Row],[Account Deposit Amount]]-Table33[[#This Row],[Account Withdrawl Amount]], )</f>
        <v>0</v>
      </c>
      <c r="M339" s="243">
        <f>IF(Table33[[#This Row],[Category]]="Troop Dues",Table33[[#This Row],[Account Deposit Amount]]-Table33[[#This Row],[Account Withdrawl Amount]], )</f>
        <v>0</v>
      </c>
      <c r="N339" s="243">
        <f>IF(Table33[[#This Row],[Category]]="Other Income",Table33[[#This Row],[Account Deposit Amount]]-Table33[[#This Row],[Account Withdrawl Amount]], )</f>
        <v>0</v>
      </c>
      <c r="O339" s="243">
        <f>IF(Table33[[#This Row],[Category]]="Registration",Table33[[#This Row],[Account Deposit Amount]]-Table33[[#This Row],[Account Withdrawl Amount]], )</f>
        <v>0</v>
      </c>
      <c r="P339" s="243">
        <f>IF(Table33[[#This Row],[Category]]="Insignia",Table33[[#This Row],[Account Deposit Amount]]-Table33[[#This Row],[Account Withdrawl Amount]], )</f>
        <v>0</v>
      </c>
      <c r="Q339" s="243">
        <f>IF(Table33[[#This Row],[Category]]="Activities/Program",Table33[[#This Row],[Account Deposit Amount]]-Table33[[#This Row],[Account Withdrawl Amount]], )</f>
        <v>0</v>
      </c>
      <c r="R339" s="243">
        <f>IF(Table33[[#This Row],[Category]]="Travel",Table33[[#This Row],[Account Deposit Amount]]-Table33[[#This Row],[Account Withdrawl Amount]], )</f>
        <v>0</v>
      </c>
      <c r="S339" s="243">
        <f>IF(Table33[[#This Row],[Category]]="Parties Food &amp; Beverages",Table33[[#This Row],[Account Deposit Amount]]-Table33[[#This Row],[Account Withdrawl Amount]], )</f>
        <v>0</v>
      </c>
      <c r="T339" s="243">
        <f>IF(Table33[[#This Row],[Category]]="Service Projects Donation",Table33[[#This Row],[Account Deposit Amount]]-Table33[[#This Row],[Account Withdrawl Amount]], )</f>
        <v>0</v>
      </c>
      <c r="U339" s="243">
        <f>IF(Table33[[#This Row],[Category]]="Cookie Debt",Table33[[#This Row],[Account Deposit Amount]]-Table33[[#This Row],[Account Withdrawl Amount]], )</f>
        <v>0</v>
      </c>
      <c r="V339" s="243">
        <f>IF(Table33[[#This Row],[Category]]="Other Expense",Table33[[#This Row],[Account Deposit Amount]]-Table33[[#This Row],[Account Withdrawl Amount]], )</f>
        <v>0</v>
      </c>
    </row>
    <row r="340" spans="1:22">
      <c r="A340" s="225"/>
      <c r="B340" s="241"/>
      <c r="C340" s="225"/>
      <c r="D340" s="225"/>
      <c r="E340" s="242"/>
      <c r="F340" s="242"/>
      <c r="G340" s="243">
        <f t="shared" si="8"/>
        <v>0</v>
      </c>
      <c r="H340" s="225"/>
      <c r="I340" s="243">
        <f>IF(Table33[[#This Row],[Category]]="Fall Product",Table33[[#This Row],[Account Deposit Amount]]-Table33[[#This Row],[Account Withdrawl Amount]], )</f>
        <v>0</v>
      </c>
      <c r="J340" s="243">
        <f>IF(Table33[[#This Row],[Category]]="Cookies",Table33[[#This Row],[Account Deposit Amount]]-Table33[[#This Row],[Account Withdrawl Amount]], )</f>
        <v>0</v>
      </c>
      <c r="K340" s="243">
        <f>IF(Table33[[#This Row],[Category]]="Additional Money Earning Activities",Table33[[#This Row],[Account Deposit Amount]]-Table33[[#This Row],[Account Withdrawl Amount]], )</f>
        <v>0</v>
      </c>
      <c r="L340" s="243">
        <f>IF(Table33[[#This Row],[Category]]="Sponsorships",Table33[[#This Row],[Account Deposit Amount]]-Table33[[#This Row],[Account Withdrawl Amount]], )</f>
        <v>0</v>
      </c>
      <c r="M340" s="243">
        <f>IF(Table33[[#This Row],[Category]]="Troop Dues",Table33[[#This Row],[Account Deposit Amount]]-Table33[[#This Row],[Account Withdrawl Amount]], )</f>
        <v>0</v>
      </c>
      <c r="N340" s="243">
        <f>IF(Table33[[#This Row],[Category]]="Other Income",Table33[[#This Row],[Account Deposit Amount]]-Table33[[#This Row],[Account Withdrawl Amount]], )</f>
        <v>0</v>
      </c>
      <c r="O340" s="243">
        <f>IF(Table33[[#This Row],[Category]]="Registration",Table33[[#This Row],[Account Deposit Amount]]-Table33[[#This Row],[Account Withdrawl Amount]], )</f>
        <v>0</v>
      </c>
      <c r="P340" s="243">
        <f>IF(Table33[[#This Row],[Category]]="Insignia",Table33[[#This Row],[Account Deposit Amount]]-Table33[[#This Row],[Account Withdrawl Amount]], )</f>
        <v>0</v>
      </c>
      <c r="Q340" s="243">
        <f>IF(Table33[[#This Row],[Category]]="Activities/Program",Table33[[#This Row],[Account Deposit Amount]]-Table33[[#This Row],[Account Withdrawl Amount]], )</f>
        <v>0</v>
      </c>
      <c r="R340" s="243">
        <f>IF(Table33[[#This Row],[Category]]="Travel",Table33[[#This Row],[Account Deposit Amount]]-Table33[[#This Row],[Account Withdrawl Amount]], )</f>
        <v>0</v>
      </c>
      <c r="S340" s="243">
        <f>IF(Table33[[#This Row],[Category]]="Parties Food &amp; Beverages",Table33[[#This Row],[Account Deposit Amount]]-Table33[[#This Row],[Account Withdrawl Amount]], )</f>
        <v>0</v>
      </c>
      <c r="T340" s="243">
        <f>IF(Table33[[#This Row],[Category]]="Service Projects Donation",Table33[[#This Row],[Account Deposit Amount]]-Table33[[#This Row],[Account Withdrawl Amount]], )</f>
        <v>0</v>
      </c>
      <c r="U340" s="243">
        <f>IF(Table33[[#This Row],[Category]]="Cookie Debt",Table33[[#This Row],[Account Deposit Amount]]-Table33[[#This Row],[Account Withdrawl Amount]], )</f>
        <v>0</v>
      </c>
      <c r="V340" s="243">
        <f>IF(Table33[[#This Row],[Category]]="Other Expense",Table33[[#This Row],[Account Deposit Amount]]-Table33[[#This Row],[Account Withdrawl Amount]], )</f>
        <v>0</v>
      </c>
    </row>
    <row r="341" spans="1:22">
      <c r="A341" s="225"/>
      <c r="B341" s="241"/>
      <c r="C341" s="225"/>
      <c r="D341" s="225"/>
      <c r="E341" s="242"/>
      <c r="F341" s="242"/>
      <c r="G341" s="243">
        <f t="shared" si="8"/>
        <v>0</v>
      </c>
      <c r="H341" s="225"/>
      <c r="I341" s="243">
        <f>IF(Table33[[#This Row],[Category]]="Fall Product",Table33[[#This Row],[Account Deposit Amount]]-Table33[[#This Row],[Account Withdrawl Amount]], )</f>
        <v>0</v>
      </c>
      <c r="J341" s="243">
        <f>IF(Table33[[#This Row],[Category]]="Cookies",Table33[[#This Row],[Account Deposit Amount]]-Table33[[#This Row],[Account Withdrawl Amount]], )</f>
        <v>0</v>
      </c>
      <c r="K341" s="243">
        <f>IF(Table33[[#This Row],[Category]]="Additional Money Earning Activities",Table33[[#This Row],[Account Deposit Amount]]-Table33[[#This Row],[Account Withdrawl Amount]], )</f>
        <v>0</v>
      </c>
      <c r="L341" s="243">
        <f>IF(Table33[[#This Row],[Category]]="Sponsorships",Table33[[#This Row],[Account Deposit Amount]]-Table33[[#This Row],[Account Withdrawl Amount]], )</f>
        <v>0</v>
      </c>
      <c r="M341" s="243">
        <f>IF(Table33[[#This Row],[Category]]="Troop Dues",Table33[[#This Row],[Account Deposit Amount]]-Table33[[#This Row],[Account Withdrawl Amount]], )</f>
        <v>0</v>
      </c>
      <c r="N341" s="243">
        <f>IF(Table33[[#This Row],[Category]]="Other Income",Table33[[#This Row],[Account Deposit Amount]]-Table33[[#This Row],[Account Withdrawl Amount]], )</f>
        <v>0</v>
      </c>
      <c r="O341" s="243">
        <f>IF(Table33[[#This Row],[Category]]="Registration",Table33[[#This Row],[Account Deposit Amount]]-Table33[[#This Row],[Account Withdrawl Amount]], )</f>
        <v>0</v>
      </c>
      <c r="P341" s="243">
        <f>IF(Table33[[#This Row],[Category]]="Insignia",Table33[[#This Row],[Account Deposit Amount]]-Table33[[#This Row],[Account Withdrawl Amount]], )</f>
        <v>0</v>
      </c>
      <c r="Q341" s="243">
        <f>IF(Table33[[#This Row],[Category]]="Activities/Program",Table33[[#This Row],[Account Deposit Amount]]-Table33[[#This Row],[Account Withdrawl Amount]], )</f>
        <v>0</v>
      </c>
      <c r="R341" s="243">
        <f>IF(Table33[[#This Row],[Category]]="Travel",Table33[[#This Row],[Account Deposit Amount]]-Table33[[#This Row],[Account Withdrawl Amount]], )</f>
        <v>0</v>
      </c>
      <c r="S341" s="243">
        <f>IF(Table33[[#This Row],[Category]]="Parties Food &amp; Beverages",Table33[[#This Row],[Account Deposit Amount]]-Table33[[#This Row],[Account Withdrawl Amount]], )</f>
        <v>0</v>
      </c>
      <c r="T341" s="243">
        <f>IF(Table33[[#This Row],[Category]]="Service Projects Donation",Table33[[#This Row],[Account Deposit Amount]]-Table33[[#This Row],[Account Withdrawl Amount]], )</f>
        <v>0</v>
      </c>
      <c r="U341" s="243">
        <f>IF(Table33[[#This Row],[Category]]="Cookie Debt",Table33[[#This Row],[Account Deposit Amount]]-Table33[[#This Row],[Account Withdrawl Amount]], )</f>
        <v>0</v>
      </c>
      <c r="V341" s="243">
        <f>IF(Table33[[#This Row],[Category]]="Other Expense",Table33[[#This Row],[Account Deposit Amount]]-Table33[[#This Row],[Account Withdrawl Amount]], )</f>
        <v>0</v>
      </c>
    </row>
    <row r="342" spans="1:22">
      <c r="A342" s="225"/>
      <c r="B342" s="241"/>
      <c r="C342" s="225"/>
      <c r="D342" s="225"/>
      <c r="E342" s="242"/>
      <c r="F342" s="242"/>
      <c r="G342" s="243">
        <f t="shared" si="8"/>
        <v>0</v>
      </c>
      <c r="H342" s="225"/>
      <c r="I342" s="243">
        <f>IF(Table33[[#This Row],[Category]]="Fall Product",Table33[[#This Row],[Account Deposit Amount]]-Table33[[#This Row],[Account Withdrawl Amount]], )</f>
        <v>0</v>
      </c>
      <c r="J342" s="243">
        <f>IF(Table33[[#This Row],[Category]]="Cookies",Table33[[#This Row],[Account Deposit Amount]]-Table33[[#This Row],[Account Withdrawl Amount]], )</f>
        <v>0</v>
      </c>
      <c r="K342" s="243">
        <f>IF(Table33[[#This Row],[Category]]="Additional Money Earning Activities",Table33[[#This Row],[Account Deposit Amount]]-Table33[[#This Row],[Account Withdrawl Amount]], )</f>
        <v>0</v>
      </c>
      <c r="L342" s="243">
        <f>IF(Table33[[#This Row],[Category]]="Sponsorships",Table33[[#This Row],[Account Deposit Amount]]-Table33[[#This Row],[Account Withdrawl Amount]], )</f>
        <v>0</v>
      </c>
      <c r="M342" s="243">
        <f>IF(Table33[[#This Row],[Category]]="Troop Dues",Table33[[#This Row],[Account Deposit Amount]]-Table33[[#This Row],[Account Withdrawl Amount]], )</f>
        <v>0</v>
      </c>
      <c r="N342" s="243">
        <f>IF(Table33[[#This Row],[Category]]="Other Income",Table33[[#This Row],[Account Deposit Amount]]-Table33[[#This Row],[Account Withdrawl Amount]], )</f>
        <v>0</v>
      </c>
      <c r="O342" s="243">
        <f>IF(Table33[[#This Row],[Category]]="Registration",Table33[[#This Row],[Account Deposit Amount]]-Table33[[#This Row],[Account Withdrawl Amount]], )</f>
        <v>0</v>
      </c>
      <c r="P342" s="243">
        <f>IF(Table33[[#This Row],[Category]]="Insignia",Table33[[#This Row],[Account Deposit Amount]]-Table33[[#This Row],[Account Withdrawl Amount]], )</f>
        <v>0</v>
      </c>
      <c r="Q342" s="243">
        <f>IF(Table33[[#This Row],[Category]]="Activities/Program",Table33[[#This Row],[Account Deposit Amount]]-Table33[[#This Row],[Account Withdrawl Amount]], )</f>
        <v>0</v>
      </c>
      <c r="R342" s="243">
        <f>IF(Table33[[#This Row],[Category]]="Travel",Table33[[#This Row],[Account Deposit Amount]]-Table33[[#This Row],[Account Withdrawl Amount]], )</f>
        <v>0</v>
      </c>
      <c r="S342" s="243">
        <f>IF(Table33[[#This Row],[Category]]="Parties Food &amp; Beverages",Table33[[#This Row],[Account Deposit Amount]]-Table33[[#This Row],[Account Withdrawl Amount]], )</f>
        <v>0</v>
      </c>
      <c r="T342" s="243">
        <f>IF(Table33[[#This Row],[Category]]="Service Projects Donation",Table33[[#This Row],[Account Deposit Amount]]-Table33[[#This Row],[Account Withdrawl Amount]], )</f>
        <v>0</v>
      </c>
      <c r="U342" s="243">
        <f>IF(Table33[[#This Row],[Category]]="Cookie Debt",Table33[[#This Row],[Account Deposit Amount]]-Table33[[#This Row],[Account Withdrawl Amount]], )</f>
        <v>0</v>
      </c>
      <c r="V342" s="243">
        <f>IF(Table33[[#This Row],[Category]]="Other Expense",Table33[[#This Row],[Account Deposit Amount]]-Table33[[#This Row],[Account Withdrawl Amount]], )</f>
        <v>0</v>
      </c>
    </row>
    <row r="343" spans="1:22">
      <c r="A343" s="225"/>
      <c r="B343" s="241"/>
      <c r="C343" s="225"/>
      <c r="D343" s="225"/>
      <c r="E343" s="242"/>
      <c r="F343" s="242"/>
      <c r="G343" s="243">
        <f t="shared" si="8"/>
        <v>0</v>
      </c>
      <c r="H343" s="225"/>
      <c r="I343" s="243">
        <f>IF(Table33[[#This Row],[Category]]="Fall Product",Table33[[#This Row],[Account Deposit Amount]]-Table33[[#This Row],[Account Withdrawl Amount]], )</f>
        <v>0</v>
      </c>
      <c r="J343" s="243">
        <f>IF(Table33[[#This Row],[Category]]="Cookies",Table33[[#This Row],[Account Deposit Amount]]-Table33[[#This Row],[Account Withdrawl Amount]], )</f>
        <v>0</v>
      </c>
      <c r="K343" s="243">
        <f>IF(Table33[[#This Row],[Category]]="Additional Money Earning Activities",Table33[[#This Row],[Account Deposit Amount]]-Table33[[#This Row],[Account Withdrawl Amount]], )</f>
        <v>0</v>
      </c>
      <c r="L343" s="243">
        <f>IF(Table33[[#This Row],[Category]]="Sponsorships",Table33[[#This Row],[Account Deposit Amount]]-Table33[[#This Row],[Account Withdrawl Amount]], )</f>
        <v>0</v>
      </c>
      <c r="M343" s="243">
        <f>IF(Table33[[#This Row],[Category]]="Troop Dues",Table33[[#This Row],[Account Deposit Amount]]-Table33[[#This Row],[Account Withdrawl Amount]], )</f>
        <v>0</v>
      </c>
      <c r="N343" s="243">
        <f>IF(Table33[[#This Row],[Category]]="Other Income",Table33[[#This Row],[Account Deposit Amount]]-Table33[[#This Row],[Account Withdrawl Amount]], )</f>
        <v>0</v>
      </c>
      <c r="O343" s="243">
        <f>IF(Table33[[#This Row],[Category]]="Registration",Table33[[#This Row],[Account Deposit Amount]]-Table33[[#This Row],[Account Withdrawl Amount]], )</f>
        <v>0</v>
      </c>
      <c r="P343" s="243">
        <f>IF(Table33[[#This Row],[Category]]="Insignia",Table33[[#This Row],[Account Deposit Amount]]-Table33[[#This Row],[Account Withdrawl Amount]], )</f>
        <v>0</v>
      </c>
      <c r="Q343" s="243">
        <f>IF(Table33[[#This Row],[Category]]="Activities/Program",Table33[[#This Row],[Account Deposit Amount]]-Table33[[#This Row],[Account Withdrawl Amount]], )</f>
        <v>0</v>
      </c>
      <c r="R343" s="243">
        <f>IF(Table33[[#This Row],[Category]]="Travel",Table33[[#This Row],[Account Deposit Amount]]-Table33[[#This Row],[Account Withdrawl Amount]], )</f>
        <v>0</v>
      </c>
      <c r="S343" s="243">
        <f>IF(Table33[[#This Row],[Category]]="Parties Food &amp; Beverages",Table33[[#This Row],[Account Deposit Amount]]-Table33[[#This Row],[Account Withdrawl Amount]], )</f>
        <v>0</v>
      </c>
      <c r="T343" s="243">
        <f>IF(Table33[[#This Row],[Category]]="Service Projects Donation",Table33[[#This Row],[Account Deposit Amount]]-Table33[[#This Row],[Account Withdrawl Amount]], )</f>
        <v>0</v>
      </c>
      <c r="U343" s="243">
        <f>IF(Table33[[#This Row],[Category]]="Cookie Debt",Table33[[#This Row],[Account Deposit Amount]]-Table33[[#This Row],[Account Withdrawl Amount]], )</f>
        <v>0</v>
      </c>
      <c r="V343" s="243">
        <f>IF(Table33[[#This Row],[Category]]="Other Expense",Table33[[#This Row],[Account Deposit Amount]]-Table33[[#This Row],[Account Withdrawl Amount]], )</f>
        <v>0</v>
      </c>
    </row>
    <row r="344" spans="1:22">
      <c r="A344" s="225"/>
      <c r="B344" s="241"/>
      <c r="C344" s="225"/>
      <c r="D344" s="225"/>
      <c r="E344" s="242"/>
      <c r="F344" s="242"/>
      <c r="G344" s="243">
        <f t="shared" si="8"/>
        <v>0</v>
      </c>
      <c r="H344" s="225"/>
      <c r="I344" s="243">
        <f>IF(Table33[[#This Row],[Category]]="Fall Product",Table33[[#This Row],[Account Deposit Amount]]-Table33[[#This Row],[Account Withdrawl Amount]], )</f>
        <v>0</v>
      </c>
      <c r="J344" s="243">
        <f>IF(Table33[[#This Row],[Category]]="Cookies",Table33[[#This Row],[Account Deposit Amount]]-Table33[[#This Row],[Account Withdrawl Amount]], )</f>
        <v>0</v>
      </c>
      <c r="K344" s="243">
        <f>IF(Table33[[#This Row],[Category]]="Additional Money Earning Activities",Table33[[#This Row],[Account Deposit Amount]]-Table33[[#This Row],[Account Withdrawl Amount]], )</f>
        <v>0</v>
      </c>
      <c r="L344" s="243">
        <f>IF(Table33[[#This Row],[Category]]="Sponsorships",Table33[[#This Row],[Account Deposit Amount]]-Table33[[#This Row],[Account Withdrawl Amount]], )</f>
        <v>0</v>
      </c>
      <c r="M344" s="243">
        <f>IF(Table33[[#This Row],[Category]]="Troop Dues",Table33[[#This Row],[Account Deposit Amount]]-Table33[[#This Row],[Account Withdrawl Amount]], )</f>
        <v>0</v>
      </c>
      <c r="N344" s="243">
        <f>IF(Table33[[#This Row],[Category]]="Other Income",Table33[[#This Row],[Account Deposit Amount]]-Table33[[#This Row],[Account Withdrawl Amount]], )</f>
        <v>0</v>
      </c>
      <c r="O344" s="243">
        <f>IF(Table33[[#This Row],[Category]]="Registration",Table33[[#This Row],[Account Deposit Amount]]-Table33[[#This Row],[Account Withdrawl Amount]], )</f>
        <v>0</v>
      </c>
      <c r="P344" s="243">
        <f>IF(Table33[[#This Row],[Category]]="Insignia",Table33[[#This Row],[Account Deposit Amount]]-Table33[[#This Row],[Account Withdrawl Amount]], )</f>
        <v>0</v>
      </c>
      <c r="Q344" s="243">
        <f>IF(Table33[[#This Row],[Category]]="Activities/Program",Table33[[#This Row],[Account Deposit Amount]]-Table33[[#This Row],[Account Withdrawl Amount]], )</f>
        <v>0</v>
      </c>
      <c r="R344" s="243">
        <f>IF(Table33[[#This Row],[Category]]="Travel",Table33[[#This Row],[Account Deposit Amount]]-Table33[[#This Row],[Account Withdrawl Amount]], )</f>
        <v>0</v>
      </c>
      <c r="S344" s="243">
        <f>IF(Table33[[#This Row],[Category]]="Parties Food &amp; Beverages",Table33[[#This Row],[Account Deposit Amount]]-Table33[[#This Row],[Account Withdrawl Amount]], )</f>
        <v>0</v>
      </c>
      <c r="T344" s="243">
        <f>IF(Table33[[#This Row],[Category]]="Service Projects Donation",Table33[[#This Row],[Account Deposit Amount]]-Table33[[#This Row],[Account Withdrawl Amount]], )</f>
        <v>0</v>
      </c>
      <c r="U344" s="243">
        <f>IF(Table33[[#This Row],[Category]]="Cookie Debt",Table33[[#This Row],[Account Deposit Amount]]-Table33[[#This Row],[Account Withdrawl Amount]], )</f>
        <v>0</v>
      </c>
      <c r="V344" s="243">
        <f>IF(Table33[[#This Row],[Category]]="Other Expense",Table33[[#This Row],[Account Deposit Amount]]-Table33[[#This Row],[Account Withdrawl Amount]], )</f>
        <v>0</v>
      </c>
    </row>
    <row r="345" spans="1:22">
      <c r="A345" s="225"/>
      <c r="B345" s="241"/>
      <c r="C345" s="225"/>
      <c r="D345" s="225"/>
      <c r="E345" s="242"/>
      <c r="F345" s="242"/>
      <c r="G345" s="243">
        <f t="shared" si="8"/>
        <v>0</v>
      </c>
      <c r="H345" s="225"/>
      <c r="I345" s="243">
        <f>IF(Table33[[#This Row],[Category]]="Fall Product",Table33[[#This Row],[Account Deposit Amount]]-Table33[[#This Row],[Account Withdrawl Amount]], )</f>
        <v>0</v>
      </c>
      <c r="J345" s="243">
        <f>IF(Table33[[#This Row],[Category]]="Cookies",Table33[[#This Row],[Account Deposit Amount]]-Table33[[#This Row],[Account Withdrawl Amount]], )</f>
        <v>0</v>
      </c>
      <c r="K345" s="243">
        <f>IF(Table33[[#This Row],[Category]]="Additional Money Earning Activities",Table33[[#This Row],[Account Deposit Amount]]-Table33[[#This Row],[Account Withdrawl Amount]], )</f>
        <v>0</v>
      </c>
      <c r="L345" s="243">
        <f>IF(Table33[[#This Row],[Category]]="Sponsorships",Table33[[#This Row],[Account Deposit Amount]]-Table33[[#This Row],[Account Withdrawl Amount]], )</f>
        <v>0</v>
      </c>
      <c r="M345" s="243">
        <f>IF(Table33[[#This Row],[Category]]="Troop Dues",Table33[[#This Row],[Account Deposit Amount]]-Table33[[#This Row],[Account Withdrawl Amount]], )</f>
        <v>0</v>
      </c>
      <c r="N345" s="243">
        <f>IF(Table33[[#This Row],[Category]]="Other Income",Table33[[#This Row],[Account Deposit Amount]]-Table33[[#This Row],[Account Withdrawl Amount]], )</f>
        <v>0</v>
      </c>
      <c r="O345" s="243">
        <f>IF(Table33[[#This Row],[Category]]="Registration",Table33[[#This Row],[Account Deposit Amount]]-Table33[[#This Row],[Account Withdrawl Amount]], )</f>
        <v>0</v>
      </c>
      <c r="P345" s="243">
        <f>IF(Table33[[#This Row],[Category]]="Insignia",Table33[[#This Row],[Account Deposit Amount]]-Table33[[#This Row],[Account Withdrawl Amount]], )</f>
        <v>0</v>
      </c>
      <c r="Q345" s="243">
        <f>IF(Table33[[#This Row],[Category]]="Activities/Program",Table33[[#This Row],[Account Deposit Amount]]-Table33[[#This Row],[Account Withdrawl Amount]], )</f>
        <v>0</v>
      </c>
      <c r="R345" s="243">
        <f>IF(Table33[[#This Row],[Category]]="Travel",Table33[[#This Row],[Account Deposit Amount]]-Table33[[#This Row],[Account Withdrawl Amount]], )</f>
        <v>0</v>
      </c>
      <c r="S345" s="243">
        <f>IF(Table33[[#This Row],[Category]]="Parties Food &amp; Beverages",Table33[[#This Row],[Account Deposit Amount]]-Table33[[#This Row],[Account Withdrawl Amount]], )</f>
        <v>0</v>
      </c>
      <c r="T345" s="243">
        <f>IF(Table33[[#This Row],[Category]]="Service Projects Donation",Table33[[#This Row],[Account Deposit Amount]]-Table33[[#This Row],[Account Withdrawl Amount]], )</f>
        <v>0</v>
      </c>
      <c r="U345" s="243">
        <f>IF(Table33[[#This Row],[Category]]="Cookie Debt",Table33[[#This Row],[Account Deposit Amount]]-Table33[[#This Row],[Account Withdrawl Amount]], )</f>
        <v>0</v>
      </c>
      <c r="V345" s="243">
        <f>IF(Table33[[#This Row],[Category]]="Other Expense",Table33[[#This Row],[Account Deposit Amount]]-Table33[[#This Row],[Account Withdrawl Amount]], )</f>
        <v>0</v>
      </c>
    </row>
    <row r="346" spans="1:22">
      <c r="A346" s="225"/>
      <c r="B346" s="241"/>
      <c r="C346" s="225"/>
      <c r="D346" s="225"/>
      <c r="E346" s="242"/>
      <c r="F346" s="242"/>
      <c r="G346" s="243">
        <f t="shared" si="8"/>
        <v>0</v>
      </c>
      <c r="H346" s="225"/>
      <c r="I346" s="243">
        <f>IF(Table33[[#This Row],[Category]]="Fall Product",Table33[[#This Row],[Account Deposit Amount]]-Table33[[#This Row],[Account Withdrawl Amount]], )</f>
        <v>0</v>
      </c>
      <c r="J346" s="243">
        <f>IF(Table33[[#This Row],[Category]]="Cookies",Table33[[#This Row],[Account Deposit Amount]]-Table33[[#This Row],[Account Withdrawl Amount]], )</f>
        <v>0</v>
      </c>
      <c r="K346" s="243">
        <f>IF(Table33[[#This Row],[Category]]="Additional Money Earning Activities",Table33[[#This Row],[Account Deposit Amount]]-Table33[[#This Row],[Account Withdrawl Amount]], )</f>
        <v>0</v>
      </c>
      <c r="L346" s="243">
        <f>IF(Table33[[#This Row],[Category]]="Sponsorships",Table33[[#This Row],[Account Deposit Amount]]-Table33[[#This Row],[Account Withdrawl Amount]], )</f>
        <v>0</v>
      </c>
      <c r="M346" s="243">
        <f>IF(Table33[[#This Row],[Category]]="Troop Dues",Table33[[#This Row],[Account Deposit Amount]]-Table33[[#This Row],[Account Withdrawl Amount]], )</f>
        <v>0</v>
      </c>
      <c r="N346" s="243">
        <f>IF(Table33[[#This Row],[Category]]="Other Income",Table33[[#This Row],[Account Deposit Amount]]-Table33[[#This Row],[Account Withdrawl Amount]], )</f>
        <v>0</v>
      </c>
      <c r="O346" s="243">
        <f>IF(Table33[[#This Row],[Category]]="Registration",Table33[[#This Row],[Account Deposit Amount]]-Table33[[#This Row],[Account Withdrawl Amount]], )</f>
        <v>0</v>
      </c>
      <c r="P346" s="243">
        <f>IF(Table33[[#This Row],[Category]]="Insignia",Table33[[#This Row],[Account Deposit Amount]]-Table33[[#This Row],[Account Withdrawl Amount]], )</f>
        <v>0</v>
      </c>
      <c r="Q346" s="243">
        <f>IF(Table33[[#This Row],[Category]]="Activities/Program",Table33[[#This Row],[Account Deposit Amount]]-Table33[[#This Row],[Account Withdrawl Amount]], )</f>
        <v>0</v>
      </c>
      <c r="R346" s="243">
        <f>IF(Table33[[#This Row],[Category]]="Travel",Table33[[#This Row],[Account Deposit Amount]]-Table33[[#This Row],[Account Withdrawl Amount]], )</f>
        <v>0</v>
      </c>
      <c r="S346" s="243">
        <f>IF(Table33[[#This Row],[Category]]="Parties Food &amp; Beverages",Table33[[#This Row],[Account Deposit Amount]]-Table33[[#This Row],[Account Withdrawl Amount]], )</f>
        <v>0</v>
      </c>
      <c r="T346" s="243">
        <f>IF(Table33[[#This Row],[Category]]="Service Projects Donation",Table33[[#This Row],[Account Deposit Amount]]-Table33[[#This Row],[Account Withdrawl Amount]], )</f>
        <v>0</v>
      </c>
      <c r="U346" s="243">
        <f>IF(Table33[[#This Row],[Category]]="Cookie Debt",Table33[[#This Row],[Account Deposit Amount]]-Table33[[#This Row],[Account Withdrawl Amount]], )</f>
        <v>0</v>
      </c>
      <c r="V346" s="243">
        <f>IF(Table33[[#This Row],[Category]]="Other Expense",Table33[[#This Row],[Account Deposit Amount]]-Table33[[#This Row],[Account Withdrawl Amount]], )</f>
        <v>0</v>
      </c>
    </row>
    <row r="347" spans="1:22">
      <c r="A347" s="225"/>
      <c r="B347" s="241"/>
      <c r="C347" s="225"/>
      <c r="D347" s="225"/>
      <c r="E347" s="242"/>
      <c r="F347" s="242"/>
      <c r="G347" s="243">
        <f t="shared" si="8"/>
        <v>0</v>
      </c>
      <c r="H347" s="225"/>
      <c r="I347" s="243">
        <f>IF(Table33[[#This Row],[Category]]="Fall Product",Table33[[#This Row],[Account Deposit Amount]]-Table33[[#This Row],[Account Withdrawl Amount]], )</f>
        <v>0</v>
      </c>
      <c r="J347" s="243">
        <f>IF(Table33[[#This Row],[Category]]="Cookies",Table33[[#This Row],[Account Deposit Amount]]-Table33[[#This Row],[Account Withdrawl Amount]], )</f>
        <v>0</v>
      </c>
      <c r="K347" s="243">
        <f>IF(Table33[[#This Row],[Category]]="Additional Money Earning Activities",Table33[[#This Row],[Account Deposit Amount]]-Table33[[#This Row],[Account Withdrawl Amount]], )</f>
        <v>0</v>
      </c>
      <c r="L347" s="243">
        <f>IF(Table33[[#This Row],[Category]]="Sponsorships",Table33[[#This Row],[Account Deposit Amount]]-Table33[[#This Row],[Account Withdrawl Amount]], )</f>
        <v>0</v>
      </c>
      <c r="M347" s="243">
        <f>IF(Table33[[#This Row],[Category]]="Troop Dues",Table33[[#This Row],[Account Deposit Amount]]-Table33[[#This Row],[Account Withdrawl Amount]], )</f>
        <v>0</v>
      </c>
      <c r="N347" s="243">
        <f>IF(Table33[[#This Row],[Category]]="Other Income",Table33[[#This Row],[Account Deposit Amount]]-Table33[[#This Row],[Account Withdrawl Amount]], )</f>
        <v>0</v>
      </c>
      <c r="O347" s="243">
        <f>IF(Table33[[#This Row],[Category]]="Registration",Table33[[#This Row],[Account Deposit Amount]]-Table33[[#This Row],[Account Withdrawl Amount]], )</f>
        <v>0</v>
      </c>
      <c r="P347" s="243">
        <f>IF(Table33[[#This Row],[Category]]="Insignia",Table33[[#This Row],[Account Deposit Amount]]-Table33[[#This Row],[Account Withdrawl Amount]], )</f>
        <v>0</v>
      </c>
      <c r="Q347" s="243">
        <f>IF(Table33[[#This Row],[Category]]="Activities/Program",Table33[[#This Row],[Account Deposit Amount]]-Table33[[#This Row],[Account Withdrawl Amount]], )</f>
        <v>0</v>
      </c>
      <c r="R347" s="243">
        <f>IF(Table33[[#This Row],[Category]]="Travel",Table33[[#This Row],[Account Deposit Amount]]-Table33[[#This Row],[Account Withdrawl Amount]], )</f>
        <v>0</v>
      </c>
      <c r="S347" s="243">
        <f>IF(Table33[[#This Row],[Category]]="Parties Food &amp; Beverages",Table33[[#This Row],[Account Deposit Amount]]-Table33[[#This Row],[Account Withdrawl Amount]], )</f>
        <v>0</v>
      </c>
      <c r="T347" s="243">
        <f>IF(Table33[[#This Row],[Category]]="Service Projects Donation",Table33[[#This Row],[Account Deposit Amount]]-Table33[[#This Row],[Account Withdrawl Amount]], )</f>
        <v>0</v>
      </c>
      <c r="U347" s="243">
        <f>IF(Table33[[#This Row],[Category]]="Cookie Debt",Table33[[#This Row],[Account Deposit Amount]]-Table33[[#This Row],[Account Withdrawl Amount]], )</f>
        <v>0</v>
      </c>
      <c r="V347" s="243">
        <f>IF(Table33[[#This Row],[Category]]="Other Expense",Table33[[#This Row],[Account Deposit Amount]]-Table33[[#This Row],[Account Withdrawl Amount]], )</f>
        <v>0</v>
      </c>
    </row>
    <row r="348" spans="1:22">
      <c r="A348" s="225"/>
      <c r="B348" s="241"/>
      <c r="C348" s="225"/>
      <c r="D348" s="225"/>
      <c r="E348" s="242"/>
      <c r="F348" s="242"/>
      <c r="G348" s="243">
        <f t="shared" si="8"/>
        <v>0</v>
      </c>
      <c r="H348" s="225"/>
      <c r="I348" s="243">
        <f>IF(Table33[[#This Row],[Category]]="Fall Product",Table33[[#This Row],[Account Deposit Amount]]-Table33[[#This Row],[Account Withdrawl Amount]], )</f>
        <v>0</v>
      </c>
      <c r="J348" s="243">
        <f>IF(Table33[[#This Row],[Category]]="Cookies",Table33[[#This Row],[Account Deposit Amount]]-Table33[[#This Row],[Account Withdrawl Amount]], )</f>
        <v>0</v>
      </c>
      <c r="K348" s="243">
        <f>IF(Table33[[#This Row],[Category]]="Additional Money Earning Activities",Table33[[#This Row],[Account Deposit Amount]]-Table33[[#This Row],[Account Withdrawl Amount]], )</f>
        <v>0</v>
      </c>
      <c r="L348" s="243">
        <f>IF(Table33[[#This Row],[Category]]="Sponsorships",Table33[[#This Row],[Account Deposit Amount]]-Table33[[#This Row],[Account Withdrawl Amount]], )</f>
        <v>0</v>
      </c>
      <c r="M348" s="243">
        <f>IF(Table33[[#This Row],[Category]]="Troop Dues",Table33[[#This Row],[Account Deposit Amount]]-Table33[[#This Row],[Account Withdrawl Amount]], )</f>
        <v>0</v>
      </c>
      <c r="N348" s="243">
        <f>IF(Table33[[#This Row],[Category]]="Other Income",Table33[[#This Row],[Account Deposit Amount]]-Table33[[#This Row],[Account Withdrawl Amount]], )</f>
        <v>0</v>
      </c>
      <c r="O348" s="243">
        <f>IF(Table33[[#This Row],[Category]]="Registration",Table33[[#This Row],[Account Deposit Amount]]-Table33[[#This Row],[Account Withdrawl Amount]], )</f>
        <v>0</v>
      </c>
      <c r="P348" s="243">
        <f>IF(Table33[[#This Row],[Category]]="Insignia",Table33[[#This Row],[Account Deposit Amount]]-Table33[[#This Row],[Account Withdrawl Amount]], )</f>
        <v>0</v>
      </c>
      <c r="Q348" s="243">
        <f>IF(Table33[[#This Row],[Category]]="Activities/Program",Table33[[#This Row],[Account Deposit Amount]]-Table33[[#This Row],[Account Withdrawl Amount]], )</f>
        <v>0</v>
      </c>
      <c r="R348" s="243">
        <f>IF(Table33[[#This Row],[Category]]="Travel",Table33[[#This Row],[Account Deposit Amount]]-Table33[[#This Row],[Account Withdrawl Amount]], )</f>
        <v>0</v>
      </c>
      <c r="S348" s="243">
        <f>IF(Table33[[#This Row],[Category]]="Parties Food &amp; Beverages",Table33[[#This Row],[Account Deposit Amount]]-Table33[[#This Row],[Account Withdrawl Amount]], )</f>
        <v>0</v>
      </c>
      <c r="T348" s="243">
        <f>IF(Table33[[#This Row],[Category]]="Service Projects Donation",Table33[[#This Row],[Account Deposit Amount]]-Table33[[#This Row],[Account Withdrawl Amount]], )</f>
        <v>0</v>
      </c>
      <c r="U348" s="243">
        <f>IF(Table33[[#This Row],[Category]]="Cookie Debt",Table33[[#This Row],[Account Deposit Amount]]-Table33[[#This Row],[Account Withdrawl Amount]], )</f>
        <v>0</v>
      </c>
      <c r="V348" s="243">
        <f>IF(Table33[[#This Row],[Category]]="Other Expense",Table33[[#This Row],[Account Deposit Amount]]-Table33[[#This Row],[Account Withdrawl Amount]], )</f>
        <v>0</v>
      </c>
    </row>
    <row r="349" spans="1:22">
      <c r="A349" s="225"/>
      <c r="B349" s="241"/>
      <c r="C349" s="225"/>
      <c r="D349" s="225"/>
      <c r="E349" s="242"/>
      <c r="F349" s="242"/>
      <c r="G349" s="243">
        <f t="shared" si="8"/>
        <v>0</v>
      </c>
      <c r="H349" s="225"/>
      <c r="I349" s="243">
        <f>IF(Table33[[#This Row],[Category]]="Fall Product",Table33[[#This Row],[Account Deposit Amount]]-Table33[[#This Row],[Account Withdrawl Amount]], )</f>
        <v>0</v>
      </c>
      <c r="J349" s="243">
        <f>IF(Table33[[#This Row],[Category]]="Cookies",Table33[[#This Row],[Account Deposit Amount]]-Table33[[#This Row],[Account Withdrawl Amount]], )</f>
        <v>0</v>
      </c>
      <c r="K349" s="243">
        <f>IF(Table33[[#This Row],[Category]]="Additional Money Earning Activities",Table33[[#This Row],[Account Deposit Amount]]-Table33[[#This Row],[Account Withdrawl Amount]], )</f>
        <v>0</v>
      </c>
      <c r="L349" s="243">
        <f>IF(Table33[[#This Row],[Category]]="Sponsorships",Table33[[#This Row],[Account Deposit Amount]]-Table33[[#This Row],[Account Withdrawl Amount]], )</f>
        <v>0</v>
      </c>
      <c r="M349" s="243">
        <f>IF(Table33[[#This Row],[Category]]="Troop Dues",Table33[[#This Row],[Account Deposit Amount]]-Table33[[#This Row],[Account Withdrawl Amount]], )</f>
        <v>0</v>
      </c>
      <c r="N349" s="243">
        <f>IF(Table33[[#This Row],[Category]]="Other Income",Table33[[#This Row],[Account Deposit Amount]]-Table33[[#This Row],[Account Withdrawl Amount]], )</f>
        <v>0</v>
      </c>
      <c r="O349" s="243">
        <f>IF(Table33[[#This Row],[Category]]="Registration",Table33[[#This Row],[Account Deposit Amount]]-Table33[[#This Row],[Account Withdrawl Amount]], )</f>
        <v>0</v>
      </c>
      <c r="P349" s="243">
        <f>IF(Table33[[#This Row],[Category]]="Insignia",Table33[[#This Row],[Account Deposit Amount]]-Table33[[#This Row],[Account Withdrawl Amount]], )</f>
        <v>0</v>
      </c>
      <c r="Q349" s="243">
        <f>IF(Table33[[#This Row],[Category]]="Activities/Program",Table33[[#This Row],[Account Deposit Amount]]-Table33[[#This Row],[Account Withdrawl Amount]], )</f>
        <v>0</v>
      </c>
      <c r="R349" s="243">
        <f>IF(Table33[[#This Row],[Category]]="Travel",Table33[[#This Row],[Account Deposit Amount]]-Table33[[#This Row],[Account Withdrawl Amount]], )</f>
        <v>0</v>
      </c>
      <c r="S349" s="243">
        <f>IF(Table33[[#This Row],[Category]]="Parties Food &amp; Beverages",Table33[[#This Row],[Account Deposit Amount]]-Table33[[#This Row],[Account Withdrawl Amount]], )</f>
        <v>0</v>
      </c>
      <c r="T349" s="243">
        <f>IF(Table33[[#This Row],[Category]]="Service Projects Donation",Table33[[#This Row],[Account Deposit Amount]]-Table33[[#This Row],[Account Withdrawl Amount]], )</f>
        <v>0</v>
      </c>
      <c r="U349" s="243">
        <f>IF(Table33[[#This Row],[Category]]="Cookie Debt",Table33[[#This Row],[Account Deposit Amount]]-Table33[[#This Row],[Account Withdrawl Amount]], )</f>
        <v>0</v>
      </c>
      <c r="V349" s="243">
        <f>IF(Table33[[#This Row],[Category]]="Other Expense",Table33[[#This Row],[Account Deposit Amount]]-Table33[[#This Row],[Account Withdrawl Amount]], )</f>
        <v>0</v>
      </c>
    </row>
    <row r="350" spans="1:22">
      <c r="A350" s="225"/>
      <c r="B350" s="241"/>
      <c r="C350" s="225"/>
      <c r="D350" s="225"/>
      <c r="E350" s="242"/>
      <c r="F350" s="242"/>
      <c r="G350" s="243">
        <f t="shared" si="8"/>
        <v>0</v>
      </c>
      <c r="H350" s="225"/>
      <c r="I350" s="243">
        <f>IF(Table33[[#This Row],[Category]]="Fall Product",Table33[[#This Row],[Account Deposit Amount]]-Table33[[#This Row],[Account Withdrawl Amount]], )</f>
        <v>0</v>
      </c>
      <c r="J350" s="243">
        <f>IF(Table33[[#This Row],[Category]]="Cookies",Table33[[#This Row],[Account Deposit Amount]]-Table33[[#This Row],[Account Withdrawl Amount]], )</f>
        <v>0</v>
      </c>
      <c r="K350" s="243">
        <f>IF(Table33[[#This Row],[Category]]="Additional Money Earning Activities",Table33[[#This Row],[Account Deposit Amount]]-Table33[[#This Row],[Account Withdrawl Amount]], )</f>
        <v>0</v>
      </c>
      <c r="L350" s="243">
        <f>IF(Table33[[#This Row],[Category]]="Sponsorships",Table33[[#This Row],[Account Deposit Amount]]-Table33[[#This Row],[Account Withdrawl Amount]], )</f>
        <v>0</v>
      </c>
      <c r="M350" s="243">
        <f>IF(Table33[[#This Row],[Category]]="Troop Dues",Table33[[#This Row],[Account Deposit Amount]]-Table33[[#This Row],[Account Withdrawl Amount]], )</f>
        <v>0</v>
      </c>
      <c r="N350" s="243">
        <f>IF(Table33[[#This Row],[Category]]="Other Income",Table33[[#This Row],[Account Deposit Amount]]-Table33[[#This Row],[Account Withdrawl Amount]], )</f>
        <v>0</v>
      </c>
      <c r="O350" s="243">
        <f>IF(Table33[[#This Row],[Category]]="Registration",Table33[[#This Row],[Account Deposit Amount]]-Table33[[#This Row],[Account Withdrawl Amount]], )</f>
        <v>0</v>
      </c>
      <c r="P350" s="243">
        <f>IF(Table33[[#This Row],[Category]]="Insignia",Table33[[#This Row],[Account Deposit Amount]]-Table33[[#This Row],[Account Withdrawl Amount]], )</f>
        <v>0</v>
      </c>
      <c r="Q350" s="243">
        <f>IF(Table33[[#This Row],[Category]]="Activities/Program",Table33[[#This Row],[Account Deposit Amount]]-Table33[[#This Row],[Account Withdrawl Amount]], )</f>
        <v>0</v>
      </c>
      <c r="R350" s="243">
        <f>IF(Table33[[#This Row],[Category]]="Travel",Table33[[#This Row],[Account Deposit Amount]]-Table33[[#This Row],[Account Withdrawl Amount]], )</f>
        <v>0</v>
      </c>
      <c r="S350" s="243">
        <f>IF(Table33[[#This Row],[Category]]="Parties Food &amp; Beverages",Table33[[#This Row],[Account Deposit Amount]]-Table33[[#This Row],[Account Withdrawl Amount]], )</f>
        <v>0</v>
      </c>
      <c r="T350" s="243">
        <f>IF(Table33[[#This Row],[Category]]="Service Projects Donation",Table33[[#This Row],[Account Deposit Amount]]-Table33[[#This Row],[Account Withdrawl Amount]], )</f>
        <v>0</v>
      </c>
      <c r="U350" s="243">
        <f>IF(Table33[[#This Row],[Category]]="Cookie Debt",Table33[[#This Row],[Account Deposit Amount]]-Table33[[#This Row],[Account Withdrawl Amount]], )</f>
        <v>0</v>
      </c>
      <c r="V350" s="243">
        <f>IF(Table33[[#This Row],[Category]]="Other Expense",Table33[[#This Row],[Account Deposit Amount]]-Table33[[#This Row],[Account Withdrawl Amount]], )</f>
        <v>0</v>
      </c>
    </row>
    <row r="351" spans="1:22">
      <c r="A351" s="225"/>
      <c r="B351" s="241"/>
      <c r="C351" s="225"/>
      <c r="D351" s="225"/>
      <c r="E351" s="242"/>
      <c r="F351" s="242"/>
      <c r="G351" s="243">
        <f t="shared" si="8"/>
        <v>0</v>
      </c>
      <c r="H351" s="225"/>
      <c r="I351" s="243">
        <f>IF(Table33[[#This Row],[Category]]="Fall Product",Table33[[#This Row],[Account Deposit Amount]]-Table33[[#This Row],[Account Withdrawl Amount]], )</f>
        <v>0</v>
      </c>
      <c r="J351" s="243">
        <f>IF(Table33[[#This Row],[Category]]="Cookies",Table33[[#This Row],[Account Deposit Amount]]-Table33[[#This Row],[Account Withdrawl Amount]], )</f>
        <v>0</v>
      </c>
      <c r="K351" s="243">
        <f>IF(Table33[[#This Row],[Category]]="Additional Money Earning Activities",Table33[[#This Row],[Account Deposit Amount]]-Table33[[#This Row],[Account Withdrawl Amount]], )</f>
        <v>0</v>
      </c>
      <c r="L351" s="243">
        <f>IF(Table33[[#This Row],[Category]]="Sponsorships",Table33[[#This Row],[Account Deposit Amount]]-Table33[[#This Row],[Account Withdrawl Amount]], )</f>
        <v>0</v>
      </c>
      <c r="M351" s="243">
        <f>IF(Table33[[#This Row],[Category]]="Troop Dues",Table33[[#This Row],[Account Deposit Amount]]-Table33[[#This Row],[Account Withdrawl Amount]], )</f>
        <v>0</v>
      </c>
      <c r="N351" s="243">
        <f>IF(Table33[[#This Row],[Category]]="Other Income",Table33[[#This Row],[Account Deposit Amount]]-Table33[[#This Row],[Account Withdrawl Amount]], )</f>
        <v>0</v>
      </c>
      <c r="O351" s="243">
        <f>IF(Table33[[#This Row],[Category]]="Registration",Table33[[#This Row],[Account Deposit Amount]]-Table33[[#This Row],[Account Withdrawl Amount]], )</f>
        <v>0</v>
      </c>
      <c r="P351" s="243">
        <f>IF(Table33[[#This Row],[Category]]="Insignia",Table33[[#This Row],[Account Deposit Amount]]-Table33[[#This Row],[Account Withdrawl Amount]], )</f>
        <v>0</v>
      </c>
      <c r="Q351" s="243">
        <f>IF(Table33[[#This Row],[Category]]="Activities/Program",Table33[[#This Row],[Account Deposit Amount]]-Table33[[#This Row],[Account Withdrawl Amount]], )</f>
        <v>0</v>
      </c>
      <c r="R351" s="243">
        <f>IF(Table33[[#This Row],[Category]]="Travel",Table33[[#This Row],[Account Deposit Amount]]-Table33[[#This Row],[Account Withdrawl Amount]], )</f>
        <v>0</v>
      </c>
      <c r="S351" s="243">
        <f>IF(Table33[[#This Row],[Category]]="Parties Food &amp; Beverages",Table33[[#This Row],[Account Deposit Amount]]-Table33[[#This Row],[Account Withdrawl Amount]], )</f>
        <v>0</v>
      </c>
      <c r="T351" s="243">
        <f>IF(Table33[[#This Row],[Category]]="Service Projects Donation",Table33[[#This Row],[Account Deposit Amount]]-Table33[[#This Row],[Account Withdrawl Amount]], )</f>
        <v>0</v>
      </c>
      <c r="U351" s="243">
        <f>IF(Table33[[#This Row],[Category]]="Cookie Debt",Table33[[#This Row],[Account Deposit Amount]]-Table33[[#This Row],[Account Withdrawl Amount]], )</f>
        <v>0</v>
      </c>
      <c r="V351" s="243">
        <f>IF(Table33[[#This Row],[Category]]="Other Expense",Table33[[#This Row],[Account Deposit Amount]]-Table33[[#This Row],[Account Withdrawl Amount]], )</f>
        <v>0</v>
      </c>
    </row>
    <row r="352" spans="1:22">
      <c r="A352" s="225"/>
      <c r="B352" s="241"/>
      <c r="C352" s="225"/>
      <c r="D352" s="225"/>
      <c r="E352" s="242"/>
      <c r="F352" s="242"/>
      <c r="G352" s="243">
        <f t="shared" si="8"/>
        <v>0</v>
      </c>
      <c r="H352" s="225"/>
      <c r="I352" s="243">
        <f>IF(Table33[[#This Row],[Category]]="Fall Product",Table33[[#This Row],[Account Deposit Amount]]-Table33[[#This Row],[Account Withdrawl Amount]], )</f>
        <v>0</v>
      </c>
      <c r="J352" s="243">
        <f>IF(Table33[[#This Row],[Category]]="Cookies",Table33[[#This Row],[Account Deposit Amount]]-Table33[[#This Row],[Account Withdrawl Amount]], )</f>
        <v>0</v>
      </c>
      <c r="K352" s="243">
        <f>IF(Table33[[#This Row],[Category]]="Additional Money Earning Activities",Table33[[#This Row],[Account Deposit Amount]]-Table33[[#This Row],[Account Withdrawl Amount]], )</f>
        <v>0</v>
      </c>
      <c r="L352" s="243">
        <f>IF(Table33[[#This Row],[Category]]="Sponsorships",Table33[[#This Row],[Account Deposit Amount]]-Table33[[#This Row],[Account Withdrawl Amount]], )</f>
        <v>0</v>
      </c>
      <c r="M352" s="243">
        <f>IF(Table33[[#This Row],[Category]]="Troop Dues",Table33[[#This Row],[Account Deposit Amount]]-Table33[[#This Row],[Account Withdrawl Amount]], )</f>
        <v>0</v>
      </c>
      <c r="N352" s="243">
        <f>IF(Table33[[#This Row],[Category]]="Other Income",Table33[[#This Row],[Account Deposit Amount]]-Table33[[#This Row],[Account Withdrawl Amount]], )</f>
        <v>0</v>
      </c>
      <c r="O352" s="243">
        <f>IF(Table33[[#This Row],[Category]]="Registration",Table33[[#This Row],[Account Deposit Amount]]-Table33[[#This Row],[Account Withdrawl Amount]], )</f>
        <v>0</v>
      </c>
      <c r="P352" s="243">
        <f>IF(Table33[[#This Row],[Category]]="Insignia",Table33[[#This Row],[Account Deposit Amount]]-Table33[[#This Row],[Account Withdrawl Amount]], )</f>
        <v>0</v>
      </c>
      <c r="Q352" s="243">
        <f>IF(Table33[[#This Row],[Category]]="Activities/Program",Table33[[#This Row],[Account Deposit Amount]]-Table33[[#This Row],[Account Withdrawl Amount]], )</f>
        <v>0</v>
      </c>
      <c r="R352" s="243">
        <f>IF(Table33[[#This Row],[Category]]="Travel",Table33[[#This Row],[Account Deposit Amount]]-Table33[[#This Row],[Account Withdrawl Amount]], )</f>
        <v>0</v>
      </c>
      <c r="S352" s="243">
        <f>IF(Table33[[#This Row],[Category]]="Parties Food &amp; Beverages",Table33[[#This Row],[Account Deposit Amount]]-Table33[[#This Row],[Account Withdrawl Amount]], )</f>
        <v>0</v>
      </c>
      <c r="T352" s="243">
        <f>IF(Table33[[#This Row],[Category]]="Service Projects Donation",Table33[[#This Row],[Account Deposit Amount]]-Table33[[#This Row],[Account Withdrawl Amount]], )</f>
        <v>0</v>
      </c>
      <c r="U352" s="243">
        <f>IF(Table33[[#This Row],[Category]]="Cookie Debt",Table33[[#This Row],[Account Deposit Amount]]-Table33[[#This Row],[Account Withdrawl Amount]], )</f>
        <v>0</v>
      </c>
      <c r="V352" s="243">
        <f>IF(Table33[[#This Row],[Category]]="Other Expense",Table33[[#This Row],[Account Deposit Amount]]-Table33[[#This Row],[Account Withdrawl Amount]], )</f>
        <v>0</v>
      </c>
    </row>
    <row r="353" spans="1:22">
      <c r="A353" s="225"/>
      <c r="B353" s="241"/>
      <c r="C353" s="225"/>
      <c r="D353" s="225"/>
      <c r="E353" s="242"/>
      <c r="F353" s="242"/>
      <c r="G353" s="243">
        <f t="shared" si="8"/>
        <v>0</v>
      </c>
      <c r="H353" s="225"/>
      <c r="I353" s="243">
        <f>IF(Table33[[#This Row],[Category]]="Fall Product",Table33[[#This Row],[Account Deposit Amount]]-Table33[[#This Row],[Account Withdrawl Amount]], )</f>
        <v>0</v>
      </c>
      <c r="J353" s="243">
        <f>IF(Table33[[#This Row],[Category]]="Cookies",Table33[[#This Row],[Account Deposit Amount]]-Table33[[#This Row],[Account Withdrawl Amount]], )</f>
        <v>0</v>
      </c>
      <c r="K353" s="243">
        <f>IF(Table33[[#This Row],[Category]]="Additional Money Earning Activities",Table33[[#This Row],[Account Deposit Amount]]-Table33[[#This Row],[Account Withdrawl Amount]], )</f>
        <v>0</v>
      </c>
      <c r="L353" s="243">
        <f>IF(Table33[[#This Row],[Category]]="Sponsorships",Table33[[#This Row],[Account Deposit Amount]]-Table33[[#This Row],[Account Withdrawl Amount]], )</f>
        <v>0</v>
      </c>
      <c r="M353" s="243">
        <f>IF(Table33[[#This Row],[Category]]="Troop Dues",Table33[[#This Row],[Account Deposit Amount]]-Table33[[#This Row],[Account Withdrawl Amount]], )</f>
        <v>0</v>
      </c>
      <c r="N353" s="243">
        <f>IF(Table33[[#This Row],[Category]]="Other Income",Table33[[#This Row],[Account Deposit Amount]]-Table33[[#This Row],[Account Withdrawl Amount]], )</f>
        <v>0</v>
      </c>
      <c r="O353" s="243">
        <f>IF(Table33[[#This Row],[Category]]="Registration",Table33[[#This Row],[Account Deposit Amount]]-Table33[[#This Row],[Account Withdrawl Amount]], )</f>
        <v>0</v>
      </c>
      <c r="P353" s="243">
        <f>IF(Table33[[#This Row],[Category]]="Insignia",Table33[[#This Row],[Account Deposit Amount]]-Table33[[#This Row],[Account Withdrawl Amount]], )</f>
        <v>0</v>
      </c>
      <c r="Q353" s="243">
        <f>IF(Table33[[#This Row],[Category]]="Activities/Program",Table33[[#This Row],[Account Deposit Amount]]-Table33[[#This Row],[Account Withdrawl Amount]], )</f>
        <v>0</v>
      </c>
      <c r="R353" s="243">
        <f>IF(Table33[[#This Row],[Category]]="Travel",Table33[[#This Row],[Account Deposit Amount]]-Table33[[#This Row],[Account Withdrawl Amount]], )</f>
        <v>0</v>
      </c>
      <c r="S353" s="243">
        <f>IF(Table33[[#This Row],[Category]]="Parties Food &amp; Beverages",Table33[[#This Row],[Account Deposit Amount]]-Table33[[#This Row],[Account Withdrawl Amount]], )</f>
        <v>0</v>
      </c>
      <c r="T353" s="243">
        <f>IF(Table33[[#This Row],[Category]]="Service Projects Donation",Table33[[#This Row],[Account Deposit Amount]]-Table33[[#This Row],[Account Withdrawl Amount]], )</f>
        <v>0</v>
      </c>
      <c r="U353" s="243">
        <f>IF(Table33[[#This Row],[Category]]="Cookie Debt",Table33[[#This Row],[Account Deposit Amount]]-Table33[[#This Row],[Account Withdrawl Amount]], )</f>
        <v>0</v>
      </c>
      <c r="V353" s="243">
        <f>IF(Table33[[#This Row],[Category]]="Other Expense",Table33[[#This Row],[Account Deposit Amount]]-Table33[[#This Row],[Account Withdrawl Amount]], )</f>
        <v>0</v>
      </c>
    </row>
    <row r="354" spans="1:22">
      <c r="A354" s="225"/>
      <c r="B354" s="241"/>
      <c r="C354" s="225"/>
      <c r="D354" s="225"/>
      <c r="E354" s="242"/>
      <c r="F354" s="242"/>
      <c r="G354" s="243">
        <f t="shared" si="8"/>
        <v>0</v>
      </c>
      <c r="H354" s="225"/>
      <c r="I354" s="243">
        <f>IF(Table33[[#This Row],[Category]]="Fall Product",Table33[[#This Row],[Account Deposit Amount]]-Table33[[#This Row],[Account Withdrawl Amount]], )</f>
        <v>0</v>
      </c>
      <c r="J354" s="243">
        <f>IF(Table33[[#This Row],[Category]]="Cookies",Table33[[#This Row],[Account Deposit Amount]]-Table33[[#This Row],[Account Withdrawl Amount]], )</f>
        <v>0</v>
      </c>
      <c r="K354" s="243">
        <f>IF(Table33[[#This Row],[Category]]="Additional Money Earning Activities",Table33[[#This Row],[Account Deposit Amount]]-Table33[[#This Row],[Account Withdrawl Amount]], )</f>
        <v>0</v>
      </c>
      <c r="L354" s="243">
        <f>IF(Table33[[#This Row],[Category]]="Sponsorships",Table33[[#This Row],[Account Deposit Amount]]-Table33[[#This Row],[Account Withdrawl Amount]], )</f>
        <v>0</v>
      </c>
      <c r="M354" s="243">
        <f>IF(Table33[[#This Row],[Category]]="Troop Dues",Table33[[#This Row],[Account Deposit Amount]]-Table33[[#This Row],[Account Withdrawl Amount]], )</f>
        <v>0</v>
      </c>
      <c r="N354" s="243">
        <f>IF(Table33[[#This Row],[Category]]="Other Income",Table33[[#This Row],[Account Deposit Amount]]-Table33[[#This Row],[Account Withdrawl Amount]], )</f>
        <v>0</v>
      </c>
      <c r="O354" s="243">
        <f>IF(Table33[[#This Row],[Category]]="Registration",Table33[[#This Row],[Account Deposit Amount]]-Table33[[#This Row],[Account Withdrawl Amount]], )</f>
        <v>0</v>
      </c>
      <c r="P354" s="243">
        <f>IF(Table33[[#This Row],[Category]]="Insignia",Table33[[#This Row],[Account Deposit Amount]]-Table33[[#This Row],[Account Withdrawl Amount]], )</f>
        <v>0</v>
      </c>
      <c r="Q354" s="243">
        <f>IF(Table33[[#This Row],[Category]]="Activities/Program",Table33[[#This Row],[Account Deposit Amount]]-Table33[[#This Row],[Account Withdrawl Amount]], )</f>
        <v>0</v>
      </c>
      <c r="R354" s="243">
        <f>IF(Table33[[#This Row],[Category]]="Travel",Table33[[#This Row],[Account Deposit Amount]]-Table33[[#This Row],[Account Withdrawl Amount]], )</f>
        <v>0</v>
      </c>
      <c r="S354" s="243">
        <f>IF(Table33[[#This Row],[Category]]="Parties Food &amp; Beverages",Table33[[#This Row],[Account Deposit Amount]]-Table33[[#This Row],[Account Withdrawl Amount]], )</f>
        <v>0</v>
      </c>
      <c r="T354" s="243">
        <f>IF(Table33[[#This Row],[Category]]="Service Projects Donation",Table33[[#This Row],[Account Deposit Amount]]-Table33[[#This Row],[Account Withdrawl Amount]], )</f>
        <v>0</v>
      </c>
      <c r="U354" s="243">
        <f>IF(Table33[[#This Row],[Category]]="Cookie Debt",Table33[[#This Row],[Account Deposit Amount]]-Table33[[#This Row],[Account Withdrawl Amount]], )</f>
        <v>0</v>
      </c>
      <c r="V354" s="243">
        <f>IF(Table33[[#This Row],[Category]]="Other Expense",Table33[[#This Row],[Account Deposit Amount]]-Table33[[#This Row],[Account Withdrawl Amount]], )</f>
        <v>0</v>
      </c>
    </row>
    <row r="355" spans="1:22">
      <c r="A355" s="225"/>
      <c r="B355" s="241"/>
      <c r="C355" s="225"/>
      <c r="D355" s="225"/>
      <c r="E355" s="242"/>
      <c r="F355" s="242"/>
      <c r="G355" s="243">
        <f t="shared" si="8"/>
        <v>0</v>
      </c>
      <c r="H355" s="225"/>
      <c r="I355" s="243">
        <f>IF(Table33[[#This Row],[Category]]="Fall Product",Table33[[#This Row],[Account Deposit Amount]]-Table33[[#This Row],[Account Withdrawl Amount]], )</f>
        <v>0</v>
      </c>
      <c r="J355" s="243">
        <f>IF(Table33[[#This Row],[Category]]="Cookies",Table33[[#This Row],[Account Deposit Amount]]-Table33[[#This Row],[Account Withdrawl Amount]], )</f>
        <v>0</v>
      </c>
      <c r="K355" s="243">
        <f>IF(Table33[[#This Row],[Category]]="Additional Money Earning Activities",Table33[[#This Row],[Account Deposit Amount]]-Table33[[#This Row],[Account Withdrawl Amount]], )</f>
        <v>0</v>
      </c>
      <c r="L355" s="243">
        <f>IF(Table33[[#This Row],[Category]]="Sponsorships",Table33[[#This Row],[Account Deposit Amount]]-Table33[[#This Row],[Account Withdrawl Amount]], )</f>
        <v>0</v>
      </c>
      <c r="M355" s="243">
        <f>IF(Table33[[#This Row],[Category]]="Troop Dues",Table33[[#This Row],[Account Deposit Amount]]-Table33[[#This Row],[Account Withdrawl Amount]], )</f>
        <v>0</v>
      </c>
      <c r="N355" s="243">
        <f>IF(Table33[[#This Row],[Category]]="Other Income",Table33[[#This Row],[Account Deposit Amount]]-Table33[[#This Row],[Account Withdrawl Amount]], )</f>
        <v>0</v>
      </c>
      <c r="O355" s="243">
        <f>IF(Table33[[#This Row],[Category]]="Registration",Table33[[#This Row],[Account Deposit Amount]]-Table33[[#This Row],[Account Withdrawl Amount]], )</f>
        <v>0</v>
      </c>
      <c r="P355" s="243">
        <f>IF(Table33[[#This Row],[Category]]="Insignia",Table33[[#This Row],[Account Deposit Amount]]-Table33[[#This Row],[Account Withdrawl Amount]], )</f>
        <v>0</v>
      </c>
      <c r="Q355" s="243">
        <f>IF(Table33[[#This Row],[Category]]="Activities/Program",Table33[[#This Row],[Account Deposit Amount]]-Table33[[#This Row],[Account Withdrawl Amount]], )</f>
        <v>0</v>
      </c>
      <c r="R355" s="243">
        <f>IF(Table33[[#This Row],[Category]]="Travel",Table33[[#This Row],[Account Deposit Amount]]-Table33[[#This Row],[Account Withdrawl Amount]], )</f>
        <v>0</v>
      </c>
      <c r="S355" s="243">
        <f>IF(Table33[[#This Row],[Category]]="Parties Food &amp; Beverages",Table33[[#This Row],[Account Deposit Amount]]-Table33[[#This Row],[Account Withdrawl Amount]], )</f>
        <v>0</v>
      </c>
      <c r="T355" s="243">
        <f>IF(Table33[[#This Row],[Category]]="Service Projects Donation",Table33[[#This Row],[Account Deposit Amount]]-Table33[[#This Row],[Account Withdrawl Amount]], )</f>
        <v>0</v>
      </c>
      <c r="U355" s="243">
        <f>IF(Table33[[#This Row],[Category]]="Cookie Debt",Table33[[#This Row],[Account Deposit Amount]]-Table33[[#This Row],[Account Withdrawl Amount]], )</f>
        <v>0</v>
      </c>
      <c r="V355" s="243">
        <f>IF(Table33[[#This Row],[Category]]="Other Expense",Table33[[#This Row],[Account Deposit Amount]]-Table33[[#This Row],[Account Withdrawl Amount]], )</f>
        <v>0</v>
      </c>
    </row>
    <row r="356" spans="1:22">
      <c r="A356" s="225"/>
      <c r="B356" s="241"/>
      <c r="C356" s="225"/>
      <c r="D356" s="225"/>
      <c r="E356" s="242"/>
      <c r="F356" s="242"/>
      <c r="G356" s="243">
        <f t="shared" si="8"/>
        <v>0</v>
      </c>
      <c r="H356" s="225"/>
      <c r="I356" s="243">
        <f>IF(Table33[[#This Row],[Category]]="Fall Product",Table33[[#This Row],[Account Deposit Amount]]-Table33[[#This Row],[Account Withdrawl Amount]], )</f>
        <v>0</v>
      </c>
      <c r="J356" s="243">
        <f>IF(Table33[[#This Row],[Category]]="Cookies",Table33[[#This Row],[Account Deposit Amount]]-Table33[[#This Row],[Account Withdrawl Amount]], )</f>
        <v>0</v>
      </c>
      <c r="K356" s="243">
        <f>IF(Table33[[#This Row],[Category]]="Additional Money Earning Activities",Table33[[#This Row],[Account Deposit Amount]]-Table33[[#This Row],[Account Withdrawl Amount]], )</f>
        <v>0</v>
      </c>
      <c r="L356" s="243">
        <f>IF(Table33[[#This Row],[Category]]="Sponsorships",Table33[[#This Row],[Account Deposit Amount]]-Table33[[#This Row],[Account Withdrawl Amount]], )</f>
        <v>0</v>
      </c>
      <c r="M356" s="243">
        <f>IF(Table33[[#This Row],[Category]]="Troop Dues",Table33[[#This Row],[Account Deposit Amount]]-Table33[[#This Row],[Account Withdrawl Amount]], )</f>
        <v>0</v>
      </c>
      <c r="N356" s="243">
        <f>IF(Table33[[#This Row],[Category]]="Other Income",Table33[[#This Row],[Account Deposit Amount]]-Table33[[#This Row],[Account Withdrawl Amount]], )</f>
        <v>0</v>
      </c>
      <c r="O356" s="243">
        <f>IF(Table33[[#This Row],[Category]]="Registration",Table33[[#This Row],[Account Deposit Amount]]-Table33[[#This Row],[Account Withdrawl Amount]], )</f>
        <v>0</v>
      </c>
      <c r="P356" s="243">
        <f>IF(Table33[[#This Row],[Category]]="Insignia",Table33[[#This Row],[Account Deposit Amount]]-Table33[[#This Row],[Account Withdrawl Amount]], )</f>
        <v>0</v>
      </c>
      <c r="Q356" s="243">
        <f>IF(Table33[[#This Row],[Category]]="Activities/Program",Table33[[#This Row],[Account Deposit Amount]]-Table33[[#This Row],[Account Withdrawl Amount]], )</f>
        <v>0</v>
      </c>
      <c r="R356" s="243">
        <f>IF(Table33[[#This Row],[Category]]="Travel",Table33[[#This Row],[Account Deposit Amount]]-Table33[[#This Row],[Account Withdrawl Amount]], )</f>
        <v>0</v>
      </c>
      <c r="S356" s="243">
        <f>IF(Table33[[#This Row],[Category]]="Parties Food &amp; Beverages",Table33[[#This Row],[Account Deposit Amount]]-Table33[[#This Row],[Account Withdrawl Amount]], )</f>
        <v>0</v>
      </c>
      <c r="T356" s="243">
        <f>IF(Table33[[#This Row],[Category]]="Service Projects Donation",Table33[[#This Row],[Account Deposit Amount]]-Table33[[#This Row],[Account Withdrawl Amount]], )</f>
        <v>0</v>
      </c>
      <c r="U356" s="243">
        <f>IF(Table33[[#This Row],[Category]]="Cookie Debt",Table33[[#This Row],[Account Deposit Amount]]-Table33[[#This Row],[Account Withdrawl Amount]], )</f>
        <v>0</v>
      </c>
      <c r="V356" s="243">
        <f>IF(Table33[[#This Row],[Category]]="Other Expense",Table33[[#This Row],[Account Deposit Amount]]-Table33[[#This Row],[Account Withdrawl Amount]], )</f>
        <v>0</v>
      </c>
    </row>
    <row r="357" spans="1:22">
      <c r="A357" s="225"/>
      <c r="B357" s="241"/>
      <c r="C357" s="225"/>
      <c r="D357" s="225"/>
      <c r="E357" s="242"/>
      <c r="F357" s="242"/>
      <c r="G357" s="243">
        <f t="shared" ref="G357:G420" si="9">G356+E357-F357</f>
        <v>0</v>
      </c>
      <c r="H357" s="225"/>
      <c r="I357" s="243">
        <f>IF(Table33[[#This Row],[Category]]="Fall Product",Table33[[#This Row],[Account Deposit Amount]]-Table33[[#This Row],[Account Withdrawl Amount]], )</f>
        <v>0</v>
      </c>
      <c r="J357" s="243">
        <f>IF(Table33[[#This Row],[Category]]="Cookies",Table33[[#This Row],[Account Deposit Amount]]-Table33[[#This Row],[Account Withdrawl Amount]], )</f>
        <v>0</v>
      </c>
      <c r="K357" s="243">
        <f>IF(Table33[[#This Row],[Category]]="Additional Money Earning Activities",Table33[[#This Row],[Account Deposit Amount]]-Table33[[#This Row],[Account Withdrawl Amount]], )</f>
        <v>0</v>
      </c>
      <c r="L357" s="243">
        <f>IF(Table33[[#This Row],[Category]]="Sponsorships",Table33[[#This Row],[Account Deposit Amount]]-Table33[[#This Row],[Account Withdrawl Amount]], )</f>
        <v>0</v>
      </c>
      <c r="M357" s="243">
        <f>IF(Table33[[#This Row],[Category]]="Troop Dues",Table33[[#This Row],[Account Deposit Amount]]-Table33[[#This Row],[Account Withdrawl Amount]], )</f>
        <v>0</v>
      </c>
      <c r="N357" s="243">
        <f>IF(Table33[[#This Row],[Category]]="Other Income",Table33[[#This Row],[Account Deposit Amount]]-Table33[[#This Row],[Account Withdrawl Amount]], )</f>
        <v>0</v>
      </c>
      <c r="O357" s="243">
        <f>IF(Table33[[#This Row],[Category]]="Registration",Table33[[#This Row],[Account Deposit Amount]]-Table33[[#This Row],[Account Withdrawl Amount]], )</f>
        <v>0</v>
      </c>
      <c r="P357" s="243">
        <f>IF(Table33[[#This Row],[Category]]="Insignia",Table33[[#This Row],[Account Deposit Amount]]-Table33[[#This Row],[Account Withdrawl Amount]], )</f>
        <v>0</v>
      </c>
      <c r="Q357" s="243">
        <f>IF(Table33[[#This Row],[Category]]="Activities/Program",Table33[[#This Row],[Account Deposit Amount]]-Table33[[#This Row],[Account Withdrawl Amount]], )</f>
        <v>0</v>
      </c>
      <c r="R357" s="243">
        <f>IF(Table33[[#This Row],[Category]]="Travel",Table33[[#This Row],[Account Deposit Amount]]-Table33[[#This Row],[Account Withdrawl Amount]], )</f>
        <v>0</v>
      </c>
      <c r="S357" s="243">
        <f>IF(Table33[[#This Row],[Category]]="Parties Food &amp; Beverages",Table33[[#This Row],[Account Deposit Amount]]-Table33[[#This Row],[Account Withdrawl Amount]], )</f>
        <v>0</v>
      </c>
      <c r="T357" s="243">
        <f>IF(Table33[[#This Row],[Category]]="Service Projects Donation",Table33[[#This Row],[Account Deposit Amount]]-Table33[[#This Row],[Account Withdrawl Amount]], )</f>
        <v>0</v>
      </c>
      <c r="U357" s="243">
        <f>IF(Table33[[#This Row],[Category]]="Cookie Debt",Table33[[#This Row],[Account Deposit Amount]]-Table33[[#This Row],[Account Withdrawl Amount]], )</f>
        <v>0</v>
      </c>
      <c r="V357" s="243">
        <f>IF(Table33[[#This Row],[Category]]="Other Expense",Table33[[#This Row],[Account Deposit Amount]]-Table33[[#This Row],[Account Withdrawl Amount]], )</f>
        <v>0</v>
      </c>
    </row>
    <row r="358" spans="1:22">
      <c r="A358" s="225"/>
      <c r="B358" s="241"/>
      <c r="C358" s="225"/>
      <c r="D358" s="225"/>
      <c r="E358" s="242"/>
      <c r="F358" s="242"/>
      <c r="G358" s="243">
        <f t="shared" si="9"/>
        <v>0</v>
      </c>
      <c r="H358" s="225"/>
      <c r="I358" s="243">
        <f>IF(Table33[[#This Row],[Category]]="Fall Product",Table33[[#This Row],[Account Deposit Amount]]-Table33[[#This Row],[Account Withdrawl Amount]], )</f>
        <v>0</v>
      </c>
      <c r="J358" s="243">
        <f>IF(Table33[[#This Row],[Category]]="Cookies",Table33[[#This Row],[Account Deposit Amount]]-Table33[[#This Row],[Account Withdrawl Amount]], )</f>
        <v>0</v>
      </c>
      <c r="K358" s="243">
        <f>IF(Table33[[#This Row],[Category]]="Additional Money Earning Activities",Table33[[#This Row],[Account Deposit Amount]]-Table33[[#This Row],[Account Withdrawl Amount]], )</f>
        <v>0</v>
      </c>
      <c r="L358" s="243">
        <f>IF(Table33[[#This Row],[Category]]="Sponsorships",Table33[[#This Row],[Account Deposit Amount]]-Table33[[#This Row],[Account Withdrawl Amount]], )</f>
        <v>0</v>
      </c>
      <c r="M358" s="243">
        <f>IF(Table33[[#This Row],[Category]]="Troop Dues",Table33[[#This Row],[Account Deposit Amount]]-Table33[[#This Row],[Account Withdrawl Amount]], )</f>
        <v>0</v>
      </c>
      <c r="N358" s="243">
        <f>IF(Table33[[#This Row],[Category]]="Other Income",Table33[[#This Row],[Account Deposit Amount]]-Table33[[#This Row],[Account Withdrawl Amount]], )</f>
        <v>0</v>
      </c>
      <c r="O358" s="243">
        <f>IF(Table33[[#This Row],[Category]]="Registration",Table33[[#This Row],[Account Deposit Amount]]-Table33[[#This Row],[Account Withdrawl Amount]], )</f>
        <v>0</v>
      </c>
      <c r="P358" s="243">
        <f>IF(Table33[[#This Row],[Category]]="Insignia",Table33[[#This Row],[Account Deposit Amount]]-Table33[[#This Row],[Account Withdrawl Amount]], )</f>
        <v>0</v>
      </c>
      <c r="Q358" s="243">
        <f>IF(Table33[[#This Row],[Category]]="Activities/Program",Table33[[#This Row],[Account Deposit Amount]]-Table33[[#This Row],[Account Withdrawl Amount]], )</f>
        <v>0</v>
      </c>
      <c r="R358" s="243">
        <f>IF(Table33[[#This Row],[Category]]="Travel",Table33[[#This Row],[Account Deposit Amount]]-Table33[[#This Row],[Account Withdrawl Amount]], )</f>
        <v>0</v>
      </c>
      <c r="S358" s="243">
        <f>IF(Table33[[#This Row],[Category]]="Parties Food &amp; Beverages",Table33[[#This Row],[Account Deposit Amount]]-Table33[[#This Row],[Account Withdrawl Amount]], )</f>
        <v>0</v>
      </c>
      <c r="T358" s="243">
        <f>IF(Table33[[#This Row],[Category]]="Service Projects Donation",Table33[[#This Row],[Account Deposit Amount]]-Table33[[#This Row],[Account Withdrawl Amount]], )</f>
        <v>0</v>
      </c>
      <c r="U358" s="243">
        <f>IF(Table33[[#This Row],[Category]]="Cookie Debt",Table33[[#This Row],[Account Deposit Amount]]-Table33[[#This Row],[Account Withdrawl Amount]], )</f>
        <v>0</v>
      </c>
      <c r="V358" s="243">
        <f>IF(Table33[[#This Row],[Category]]="Other Expense",Table33[[#This Row],[Account Deposit Amount]]-Table33[[#This Row],[Account Withdrawl Amount]], )</f>
        <v>0</v>
      </c>
    </row>
    <row r="359" spans="1:22">
      <c r="A359" s="225"/>
      <c r="B359" s="241"/>
      <c r="C359" s="225"/>
      <c r="D359" s="225"/>
      <c r="E359" s="242"/>
      <c r="F359" s="242"/>
      <c r="G359" s="243">
        <f t="shared" si="9"/>
        <v>0</v>
      </c>
      <c r="H359" s="225"/>
      <c r="I359" s="243">
        <f>IF(Table33[[#This Row],[Category]]="Fall Product",Table33[[#This Row],[Account Deposit Amount]]-Table33[[#This Row],[Account Withdrawl Amount]], )</f>
        <v>0</v>
      </c>
      <c r="J359" s="243">
        <f>IF(Table33[[#This Row],[Category]]="Cookies",Table33[[#This Row],[Account Deposit Amount]]-Table33[[#This Row],[Account Withdrawl Amount]], )</f>
        <v>0</v>
      </c>
      <c r="K359" s="243">
        <f>IF(Table33[[#This Row],[Category]]="Additional Money Earning Activities",Table33[[#This Row],[Account Deposit Amount]]-Table33[[#This Row],[Account Withdrawl Amount]], )</f>
        <v>0</v>
      </c>
      <c r="L359" s="243">
        <f>IF(Table33[[#This Row],[Category]]="Sponsorships",Table33[[#This Row],[Account Deposit Amount]]-Table33[[#This Row],[Account Withdrawl Amount]], )</f>
        <v>0</v>
      </c>
      <c r="M359" s="243">
        <f>IF(Table33[[#This Row],[Category]]="Troop Dues",Table33[[#This Row],[Account Deposit Amount]]-Table33[[#This Row],[Account Withdrawl Amount]], )</f>
        <v>0</v>
      </c>
      <c r="N359" s="243">
        <f>IF(Table33[[#This Row],[Category]]="Other Income",Table33[[#This Row],[Account Deposit Amount]]-Table33[[#This Row],[Account Withdrawl Amount]], )</f>
        <v>0</v>
      </c>
      <c r="O359" s="243">
        <f>IF(Table33[[#This Row],[Category]]="Registration",Table33[[#This Row],[Account Deposit Amount]]-Table33[[#This Row],[Account Withdrawl Amount]], )</f>
        <v>0</v>
      </c>
      <c r="P359" s="243">
        <f>IF(Table33[[#This Row],[Category]]="Insignia",Table33[[#This Row],[Account Deposit Amount]]-Table33[[#This Row],[Account Withdrawl Amount]], )</f>
        <v>0</v>
      </c>
      <c r="Q359" s="243">
        <f>IF(Table33[[#This Row],[Category]]="Activities/Program",Table33[[#This Row],[Account Deposit Amount]]-Table33[[#This Row],[Account Withdrawl Amount]], )</f>
        <v>0</v>
      </c>
      <c r="R359" s="243">
        <f>IF(Table33[[#This Row],[Category]]="Travel",Table33[[#This Row],[Account Deposit Amount]]-Table33[[#This Row],[Account Withdrawl Amount]], )</f>
        <v>0</v>
      </c>
      <c r="S359" s="243">
        <f>IF(Table33[[#This Row],[Category]]="Parties Food &amp; Beverages",Table33[[#This Row],[Account Deposit Amount]]-Table33[[#This Row],[Account Withdrawl Amount]], )</f>
        <v>0</v>
      </c>
      <c r="T359" s="243">
        <f>IF(Table33[[#This Row],[Category]]="Service Projects Donation",Table33[[#This Row],[Account Deposit Amount]]-Table33[[#This Row],[Account Withdrawl Amount]], )</f>
        <v>0</v>
      </c>
      <c r="U359" s="243">
        <f>IF(Table33[[#This Row],[Category]]="Cookie Debt",Table33[[#This Row],[Account Deposit Amount]]-Table33[[#This Row],[Account Withdrawl Amount]], )</f>
        <v>0</v>
      </c>
      <c r="V359" s="243">
        <f>IF(Table33[[#This Row],[Category]]="Other Expense",Table33[[#This Row],[Account Deposit Amount]]-Table33[[#This Row],[Account Withdrawl Amount]], )</f>
        <v>0</v>
      </c>
    </row>
    <row r="360" spans="1:22">
      <c r="A360" s="225"/>
      <c r="B360" s="241"/>
      <c r="C360" s="225"/>
      <c r="D360" s="225"/>
      <c r="E360" s="242"/>
      <c r="F360" s="242"/>
      <c r="G360" s="243">
        <f t="shared" si="9"/>
        <v>0</v>
      </c>
      <c r="H360" s="225"/>
      <c r="I360" s="243">
        <f>IF(Table33[[#This Row],[Category]]="Fall Product",Table33[[#This Row],[Account Deposit Amount]]-Table33[[#This Row],[Account Withdrawl Amount]], )</f>
        <v>0</v>
      </c>
      <c r="J360" s="243">
        <f>IF(Table33[[#This Row],[Category]]="Cookies",Table33[[#This Row],[Account Deposit Amount]]-Table33[[#This Row],[Account Withdrawl Amount]], )</f>
        <v>0</v>
      </c>
      <c r="K360" s="243">
        <f>IF(Table33[[#This Row],[Category]]="Additional Money Earning Activities",Table33[[#This Row],[Account Deposit Amount]]-Table33[[#This Row],[Account Withdrawl Amount]], )</f>
        <v>0</v>
      </c>
      <c r="L360" s="243">
        <f>IF(Table33[[#This Row],[Category]]="Sponsorships",Table33[[#This Row],[Account Deposit Amount]]-Table33[[#This Row],[Account Withdrawl Amount]], )</f>
        <v>0</v>
      </c>
      <c r="M360" s="243">
        <f>IF(Table33[[#This Row],[Category]]="Troop Dues",Table33[[#This Row],[Account Deposit Amount]]-Table33[[#This Row],[Account Withdrawl Amount]], )</f>
        <v>0</v>
      </c>
      <c r="N360" s="243">
        <f>IF(Table33[[#This Row],[Category]]="Other Income",Table33[[#This Row],[Account Deposit Amount]]-Table33[[#This Row],[Account Withdrawl Amount]], )</f>
        <v>0</v>
      </c>
      <c r="O360" s="243">
        <f>IF(Table33[[#This Row],[Category]]="Registration",Table33[[#This Row],[Account Deposit Amount]]-Table33[[#This Row],[Account Withdrawl Amount]], )</f>
        <v>0</v>
      </c>
      <c r="P360" s="243">
        <f>IF(Table33[[#This Row],[Category]]="Insignia",Table33[[#This Row],[Account Deposit Amount]]-Table33[[#This Row],[Account Withdrawl Amount]], )</f>
        <v>0</v>
      </c>
      <c r="Q360" s="243">
        <f>IF(Table33[[#This Row],[Category]]="Activities/Program",Table33[[#This Row],[Account Deposit Amount]]-Table33[[#This Row],[Account Withdrawl Amount]], )</f>
        <v>0</v>
      </c>
      <c r="R360" s="243">
        <f>IF(Table33[[#This Row],[Category]]="Travel",Table33[[#This Row],[Account Deposit Amount]]-Table33[[#This Row],[Account Withdrawl Amount]], )</f>
        <v>0</v>
      </c>
      <c r="S360" s="243">
        <f>IF(Table33[[#This Row],[Category]]="Parties Food &amp; Beverages",Table33[[#This Row],[Account Deposit Amount]]-Table33[[#This Row],[Account Withdrawl Amount]], )</f>
        <v>0</v>
      </c>
      <c r="T360" s="243">
        <f>IF(Table33[[#This Row],[Category]]="Service Projects Donation",Table33[[#This Row],[Account Deposit Amount]]-Table33[[#This Row],[Account Withdrawl Amount]], )</f>
        <v>0</v>
      </c>
      <c r="U360" s="243">
        <f>IF(Table33[[#This Row],[Category]]="Cookie Debt",Table33[[#This Row],[Account Deposit Amount]]-Table33[[#This Row],[Account Withdrawl Amount]], )</f>
        <v>0</v>
      </c>
      <c r="V360" s="243">
        <f>IF(Table33[[#This Row],[Category]]="Other Expense",Table33[[#This Row],[Account Deposit Amount]]-Table33[[#This Row],[Account Withdrawl Amount]], )</f>
        <v>0</v>
      </c>
    </row>
    <row r="361" spans="1:22">
      <c r="A361" s="225"/>
      <c r="B361" s="241"/>
      <c r="C361" s="225"/>
      <c r="D361" s="225"/>
      <c r="E361" s="242"/>
      <c r="F361" s="242"/>
      <c r="G361" s="243">
        <f t="shared" si="9"/>
        <v>0</v>
      </c>
      <c r="H361" s="225"/>
      <c r="I361" s="243">
        <f>IF(Table33[[#This Row],[Category]]="Fall Product",Table33[[#This Row],[Account Deposit Amount]]-Table33[[#This Row],[Account Withdrawl Amount]], )</f>
        <v>0</v>
      </c>
      <c r="J361" s="243">
        <f>IF(Table33[[#This Row],[Category]]="Cookies",Table33[[#This Row],[Account Deposit Amount]]-Table33[[#This Row],[Account Withdrawl Amount]], )</f>
        <v>0</v>
      </c>
      <c r="K361" s="243">
        <f>IF(Table33[[#This Row],[Category]]="Additional Money Earning Activities",Table33[[#This Row],[Account Deposit Amount]]-Table33[[#This Row],[Account Withdrawl Amount]], )</f>
        <v>0</v>
      </c>
      <c r="L361" s="243">
        <f>IF(Table33[[#This Row],[Category]]="Sponsorships",Table33[[#This Row],[Account Deposit Amount]]-Table33[[#This Row],[Account Withdrawl Amount]], )</f>
        <v>0</v>
      </c>
      <c r="M361" s="243">
        <f>IF(Table33[[#This Row],[Category]]="Troop Dues",Table33[[#This Row],[Account Deposit Amount]]-Table33[[#This Row],[Account Withdrawl Amount]], )</f>
        <v>0</v>
      </c>
      <c r="N361" s="243">
        <f>IF(Table33[[#This Row],[Category]]="Other Income",Table33[[#This Row],[Account Deposit Amount]]-Table33[[#This Row],[Account Withdrawl Amount]], )</f>
        <v>0</v>
      </c>
      <c r="O361" s="243">
        <f>IF(Table33[[#This Row],[Category]]="Registration",Table33[[#This Row],[Account Deposit Amount]]-Table33[[#This Row],[Account Withdrawl Amount]], )</f>
        <v>0</v>
      </c>
      <c r="P361" s="243">
        <f>IF(Table33[[#This Row],[Category]]="Insignia",Table33[[#This Row],[Account Deposit Amount]]-Table33[[#This Row],[Account Withdrawl Amount]], )</f>
        <v>0</v>
      </c>
      <c r="Q361" s="243">
        <f>IF(Table33[[#This Row],[Category]]="Activities/Program",Table33[[#This Row],[Account Deposit Amount]]-Table33[[#This Row],[Account Withdrawl Amount]], )</f>
        <v>0</v>
      </c>
      <c r="R361" s="243">
        <f>IF(Table33[[#This Row],[Category]]="Travel",Table33[[#This Row],[Account Deposit Amount]]-Table33[[#This Row],[Account Withdrawl Amount]], )</f>
        <v>0</v>
      </c>
      <c r="S361" s="243">
        <f>IF(Table33[[#This Row],[Category]]="Parties Food &amp; Beverages",Table33[[#This Row],[Account Deposit Amount]]-Table33[[#This Row],[Account Withdrawl Amount]], )</f>
        <v>0</v>
      </c>
      <c r="T361" s="243">
        <f>IF(Table33[[#This Row],[Category]]="Service Projects Donation",Table33[[#This Row],[Account Deposit Amount]]-Table33[[#This Row],[Account Withdrawl Amount]], )</f>
        <v>0</v>
      </c>
      <c r="U361" s="243">
        <f>IF(Table33[[#This Row],[Category]]="Cookie Debt",Table33[[#This Row],[Account Deposit Amount]]-Table33[[#This Row],[Account Withdrawl Amount]], )</f>
        <v>0</v>
      </c>
      <c r="V361" s="243">
        <f>IF(Table33[[#This Row],[Category]]="Other Expense",Table33[[#This Row],[Account Deposit Amount]]-Table33[[#This Row],[Account Withdrawl Amount]], )</f>
        <v>0</v>
      </c>
    </row>
    <row r="362" spans="1:22">
      <c r="A362" s="225"/>
      <c r="B362" s="241"/>
      <c r="C362" s="225"/>
      <c r="D362" s="225"/>
      <c r="E362" s="242"/>
      <c r="F362" s="242"/>
      <c r="G362" s="243">
        <f t="shared" si="9"/>
        <v>0</v>
      </c>
      <c r="H362" s="225"/>
      <c r="I362" s="243">
        <f>IF(Table33[[#This Row],[Category]]="Fall Product",Table33[[#This Row],[Account Deposit Amount]]-Table33[[#This Row],[Account Withdrawl Amount]], )</f>
        <v>0</v>
      </c>
      <c r="J362" s="243">
        <f>IF(Table33[[#This Row],[Category]]="Cookies",Table33[[#This Row],[Account Deposit Amount]]-Table33[[#This Row],[Account Withdrawl Amount]], )</f>
        <v>0</v>
      </c>
      <c r="K362" s="243">
        <f>IF(Table33[[#This Row],[Category]]="Additional Money Earning Activities",Table33[[#This Row],[Account Deposit Amount]]-Table33[[#This Row],[Account Withdrawl Amount]], )</f>
        <v>0</v>
      </c>
      <c r="L362" s="243">
        <f>IF(Table33[[#This Row],[Category]]="Sponsorships",Table33[[#This Row],[Account Deposit Amount]]-Table33[[#This Row],[Account Withdrawl Amount]], )</f>
        <v>0</v>
      </c>
      <c r="M362" s="243">
        <f>IF(Table33[[#This Row],[Category]]="Troop Dues",Table33[[#This Row],[Account Deposit Amount]]-Table33[[#This Row],[Account Withdrawl Amount]], )</f>
        <v>0</v>
      </c>
      <c r="N362" s="243">
        <f>IF(Table33[[#This Row],[Category]]="Other Income",Table33[[#This Row],[Account Deposit Amount]]-Table33[[#This Row],[Account Withdrawl Amount]], )</f>
        <v>0</v>
      </c>
      <c r="O362" s="243">
        <f>IF(Table33[[#This Row],[Category]]="Registration",Table33[[#This Row],[Account Deposit Amount]]-Table33[[#This Row],[Account Withdrawl Amount]], )</f>
        <v>0</v>
      </c>
      <c r="P362" s="243">
        <f>IF(Table33[[#This Row],[Category]]="Insignia",Table33[[#This Row],[Account Deposit Amount]]-Table33[[#This Row],[Account Withdrawl Amount]], )</f>
        <v>0</v>
      </c>
      <c r="Q362" s="243">
        <f>IF(Table33[[#This Row],[Category]]="Activities/Program",Table33[[#This Row],[Account Deposit Amount]]-Table33[[#This Row],[Account Withdrawl Amount]], )</f>
        <v>0</v>
      </c>
      <c r="R362" s="243">
        <f>IF(Table33[[#This Row],[Category]]="Travel",Table33[[#This Row],[Account Deposit Amount]]-Table33[[#This Row],[Account Withdrawl Amount]], )</f>
        <v>0</v>
      </c>
      <c r="S362" s="243">
        <f>IF(Table33[[#This Row],[Category]]="Parties Food &amp; Beverages",Table33[[#This Row],[Account Deposit Amount]]-Table33[[#This Row],[Account Withdrawl Amount]], )</f>
        <v>0</v>
      </c>
      <c r="T362" s="243">
        <f>IF(Table33[[#This Row],[Category]]="Service Projects Donation",Table33[[#This Row],[Account Deposit Amount]]-Table33[[#This Row],[Account Withdrawl Amount]], )</f>
        <v>0</v>
      </c>
      <c r="U362" s="243">
        <f>IF(Table33[[#This Row],[Category]]="Cookie Debt",Table33[[#This Row],[Account Deposit Amount]]-Table33[[#This Row],[Account Withdrawl Amount]], )</f>
        <v>0</v>
      </c>
      <c r="V362" s="243">
        <f>IF(Table33[[#This Row],[Category]]="Other Expense",Table33[[#This Row],[Account Deposit Amount]]-Table33[[#This Row],[Account Withdrawl Amount]], )</f>
        <v>0</v>
      </c>
    </row>
    <row r="363" spans="1:22">
      <c r="A363" s="225"/>
      <c r="B363" s="241"/>
      <c r="C363" s="225"/>
      <c r="D363" s="225"/>
      <c r="E363" s="242"/>
      <c r="F363" s="242"/>
      <c r="G363" s="243">
        <f t="shared" si="9"/>
        <v>0</v>
      </c>
      <c r="H363" s="225"/>
      <c r="I363" s="243">
        <f>IF(Table33[[#This Row],[Category]]="Fall Product",Table33[[#This Row],[Account Deposit Amount]]-Table33[[#This Row],[Account Withdrawl Amount]], )</f>
        <v>0</v>
      </c>
      <c r="J363" s="243">
        <f>IF(Table33[[#This Row],[Category]]="Cookies",Table33[[#This Row],[Account Deposit Amount]]-Table33[[#This Row],[Account Withdrawl Amount]], )</f>
        <v>0</v>
      </c>
      <c r="K363" s="243">
        <f>IF(Table33[[#This Row],[Category]]="Additional Money Earning Activities",Table33[[#This Row],[Account Deposit Amount]]-Table33[[#This Row],[Account Withdrawl Amount]], )</f>
        <v>0</v>
      </c>
      <c r="L363" s="243">
        <f>IF(Table33[[#This Row],[Category]]="Sponsorships",Table33[[#This Row],[Account Deposit Amount]]-Table33[[#This Row],[Account Withdrawl Amount]], )</f>
        <v>0</v>
      </c>
      <c r="M363" s="243">
        <f>IF(Table33[[#This Row],[Category]]="Troop Dues",Table33[[#This Row],[Account Deposit Amount]]-Table33[[#This Row],[Account Withdrawl Amount]], )</f>
        <v>0</v>
      </c>
      <c r="N363" s="243">
        <f>IF(Table33[[#This Row],[Category]]="Other Income",Table33[[#This Row],[Account Deposit Amount]]-Table33[[#This Row],[Account Withdrawl Amount]], )</f>
        <v>0</v>
      </c>
      <c r="O363" s="243">
        <f>IF(Table33[[#This Row],[Category]]="Registration",Table33[[#This Row],[Account Deposit Amount]]-Table33[[#This Row],[Account Withdrawl Amount]], )</f>
        <v>0</v>
      </c>
      <c r="P363" s="243">
        <f>IF(Table33[[#This Row],[Category]]="Insignia",Table33[[#This Row],[Account Deposit Amount]]-Table33[[#This Row],[Account Withdrawl Amount]], )</f>
        <v>0</v>
      </c>
      <c r="Q363" s="243">
        <f>IF(Table33[[#This Row],[Category]]="Activities/Program",Table33[[#This Row],[Account Deposit Amount]]-Table33[[#This Row],[Account Withdrawl Amount]], )</f>
        <v>0</v>
      </c>
      <c r="R363" s="243">
        <f>IF(Table33[[#This Row],[Category]]="Travel",Table33[[#This Row],[Account Deposit Amount]]-Table33[[#This Row],[Account Withdrawl Amount]], )</f>
        <v>0</v>
      </c>
      <c r="S363" s="243">
        <f>IF(Table33[[#This Row],[Category]]="Parties Food &amp; Beverages",Table33[[#This Row],[Account Deposit Amount]]-Table33[[#This Row],[Account Withdrawl Amount]], )</f>
        <v>0</v>
      </c>
      <c r="T363" s="243">
        <f>IF(Table33[[#This Row],[Category]]="Service Projects Donation",Table33[[#This Row],[Account Deposit Amount]]-Table33[[#This Row],[Account Withdrawl Amount]], )</f>
        <v>0</v>
      </c>
      <c r="U363" s="243">
        <f>IF(Table33[[#This Row],[Category]]="Cookie Debt",Table33[[#This Row],[Account Deposit Amount]]-Table33[[#This Row],[Account Withdrawl Amount]], )</f>
        <v>0</v>
      </c>
      <c r="V363" s="243">
        <f>IF(Table33[[#This Row],[Category]]="Other Expense",Table33[[#This Row],[Account Deposit Amount]]-Table33[[#This Row],[Account Withdrawl Amount]], )</f>
        <v>0</v>
      </c>
    </row>
    <row r="364" spans="1:22">
      <c r="A364" s="225"/>
      <c r="B364" s="241"/>
      <c r="C364" s="225"/>
      <c r="D364" s="225"/>
      <c r="E364" s="242"/>
      <c r="F364" s="242"/>
      <c r="G364" s="243">
        <f t="shared" si="9"/>
        <v>0</v>
      </c>
      <c r="H364" s="225"/>
      <c r="I364" s="243">
        <f>IF(Table33[[#This Row],[Category]]="Fall Product",Table33[[#This Row],[Account Deposit Amount]]-Table33[[#This Row],[Account Withdrawl Amount]], )</f>
        <v>0</v>
      </c>
      <c r="J364" s="243">
        <f>IF(Table33[[#This Row],[Category]]="Cookies",Table33[[#This Row],[Account Deposit Amount]]-Table33[[#This Row],[Account Withdrawl Amount]], )</f>
        <v>0</v>
      </c>
      <c r="K364" s="243">
        <f>IF(Table33[[#This Row],[Category]]="Additional Money Earning Activities",Table33[[#This Row],[Account Deposit Amount]]-Table33[[#This Row],[Account Withdrawl Amount]], )</f>
        <v>0</v>
      </c>
      <c r="L364" s="243">
        <f>IF(Table33[[#This Row],[Category]]="Sponsorships",Table33[[#This Row],[Account Deposit Amount]]-Table33[[#This Row],[Account Withdrawl Amount]], )</f>
        <v>0</v>
      </c>
      <c r="M364" s="243">
        <f>IF(Table33[[#This Row],[Category]]="Troop Dues",Table33[[#This Row],[Account Deposit Amount]]-Table33[[#This Row],[Account Withdrawl Amount]], )</f>
        <v>0</v>
      </c>
      <c r="N364" s="243">
        <f>IF(Table33[[#This Row],[Category]]="Other Income",Table33[[#This Row],[Account Deposit Amount]]-Table33[[#This Row],[Account Withdrawl Amount]], )</f>
        <v>0</v>
      </c>
      <c r="O364" s="243">
        <f>IF(Table33[[#This Row],[Category]]="Registration",Table33[[#This Row],[Account Deposit Amount]]-Table33[[#This Row],[Account Withdrawl Amount]], )</f>
        <v>0</v>
      </c>
      <c r="P364" s="243">
        <f>IF(Table33[[#This Row],[Category]]="Insignia",Table33[[#This Row],[Account Deposit Amount]]-Table33[[#This Row],[Account Withdrawl Amount]], )</f>
        <v>0</v>
      </c>
      <c r="Q364" s="243">
        <f>IF(Table33[[#This Row],[Category]]="Activities/Program",Table33[[#This Row],[Account Deposit Amount]]-Table33[[#This Row],[Account Withdrawl Amount]], )</f>
        <v>0</v>
      </c>
      <c r="R364" s="243">
        <f>IF(Table33[[#This Row],[Category]]="Travel",Table33[[#This Row],[Account Deposit Amount]]-Table33[[#This Row],[Account Withdrawl Amount]], )</f>
        <v>0</v>
      </c>
      <c r="S364" s="243">
        <f>IF(Table33[[#This Row],[Category]]="Parties Food &amp; Beverages",Table33[[#This Row],[Account Deposit Amount]]-Table33[[#This Row],[Account Withdrawl Amount]], )</f>
        <v>0</v>
      </c>
      <c r="T364" s="243">
        <f>IF(Table33[[#This Row],[Category]]="Service Projects Donation",Table33[[#This Row],[Account Deposit Amount]]-Table33[[#This Row],[Account Withdrawl Amount]], )</f>
        <v>0</v>
      </c>
      <c r="U364" s="243">
        <f>IF(Table33[[#This Row],[Category]]="Cookie Debt",Table33[[#This Row],[Account Deposit Amount]]-Table33[[#This Row],[Account Withdrawl Amount]], )</f>
        <v>0</v>
      </c>
      <c r="V364" s="243">
        <f>IF(Table33[[#This Row],[Category]]="Other Expense",Table33[[#This Row],[Account Deposit Amount]]-Table33[[#This Row],[Account Withdrawl Amount]], )</f>
        <v>0</v>
      </c>
    </row>
    <row r="365" spans="1:22">
      <c r="A365" s="225"/>
      <c r="B365" s="241"/>
      <c r="C365" s="225"/>
      <c r="D365" s="225"/>
      <c r="E365" s="242"/>
      <c r="F365" s="242"/>
      <c r="G365" s="243">
        <f t="shared" si="9"/>
        <v>0</v>
      </c>
      <c r="H365" s="225"/>
      <c r="I365" s="243">
        <f>IF(Table33[[#This Row],[Category]]="Fall Product",Table33[[#This Row],[Account Deposit Amount]]-Table33[[#This Row],[Account Withdrawl Amount]], )</f>
        <v>0</v>
      </c>
      <c r="J365" s="243">
        <f>IF(Table33[[#This Row],[Category]]="Cookies",Table33[[#This Row],[Account Deposit Amount]]-Table33[[#This Row],[Account Withdrawl Amount]], )</f>
        <v>0</v>
      </c>
      <c r="K365" s="243">
        <f>IF(Table33[[#This Row],[Category]]="Additional Money Earning Activities",Table33[[#This Row],[Account Deposit Amount]]-Table33[[#This Row],[Account Withdrawl Amount]], )</f>
        <v>0</v>
      </c>
      <c r="L365" s="243">
        <f>IF(Table33[[#This Row],[Category]]="Sponsorships",Table33[[#This Row],[Account Deposit Amount]]-Table33[[#This Row],[Account Withdrawl Amount]], )</f>
        <v>0</v>
      </c>
      <c r="M365" s="243">
        <f>IF(Table33[[#This Row],[Category]]="Troop Dues",Table33[[#This Row],[Account Deposit Amount]]-Table33[[#This Row],[Account Withdrawl Amount]], )</f>
        <v>0</v>
      </c>
      <c r="N365" s="243">
        <f>IF(Table33[[#This Row],[Category]]="Other Income",Table33[[#This Row],[Account Deposit Amount]]-Table33[[#This Row],[Account Withdrawl Amount]], )</f>
        <v>0</v>
      </c>
      <c r="O365" s="243">
        <f>IF(Table33[[#This Row],[Category]]="Registration",Table33[[#This Row],[Account Deposit Amount]]-Table33[[#This Row],[Account Withdrawl Amount]], )</f>
        <v>0</v>
      </c>
      <c r="P365" s="243">
        <f>IF(Table33[[#This Row],[Category]]="Insignia",Table33[[#This Row],[Account Deposit Amount]]-Table33[[#This Row],[Account Withdrawl Amount]], )</f>
        <v>0</v>
      </c>
      <c r="Q365" s="243">
        <f>IF(Table33[[#This Row],[Category]]="Activities/Program",Table33[[#This Row],[Account Deposit Amount]]-Table33[[#This Row],[Account Withdrawl Amount]], )</f>
        <v>0</v>
      </c>
      <c r="R365" s="243">
        <f>IF(Table33[[#This Row],[Category]]="Travel",Table33[[#This Row],[Account Deposit Amount]]-Table33[[#This Row],[Account Withdrawl Amount]], )</f>
        <v>0</v>
      </c>
      <c r="S365" s="243">
        <f>IF(Table33[[#This Row],[Category]]="Parties Food &amp; Beverages",Table33[[#This Row],[Account Deposit Amount]]-Table33[[#This Row],[Account Withdrawl Amount]], )</f>
        <v>0</v>
      </c>
      <c r="T365" s="243">
        <f>IF(Table33[[#This Row],[Category]]="Service Projects Donation",Table33[[#This Row],[Account Deposit Amount]]-Table33[[#This Row],[Account Withdrawl Amount]], )</f>
        <v>0</v>
      </c>
      <c r="U365" s="243">
        <f>IF(Table33[[#This Row],[Category]]="Cookie Debt",Table33[[#This Row],[Account Deposit Amount]]-Table33[[#This Row],[Account Withdrawl Amount]], )</f>
        <v>0</v>
      </c>
      <c r="V365" s="243">
        <f>IF(Table33[[#This Row],[Category]]="Other Expense",Table33[[#This Row],[Account Deposit Amount]]-Table33[[#This Row],[Account Withdrawl Amount]], )</f>
        <v>0</v>
      </c>
    </row>
    <row r="366" spans="1:22">
      <c r="A366" s="225"/>
      <c r="B366" s="241"/>
      <c r="C366" s="225"/>
      <c r="D366" s="225"/>
      <c r="E366" s="242"/>
      <c r="F366" s="242"/>
      <c r="G366" s="243">
        <f t="shared" si="9"/>
        <v>0</v>
      </c>
      <c r="H366" s="225"/>
      <c r="I366" s="243">
        <f>IF(Table33[[#This Row],[Category]]="Fall Product",Table33[[#This Row],[Account Deposit Amount]]-Table33[[#This Row],[Account Withdrawl Amount]], )</f>
        <v>0</v>
      </c>
      <c r="J366" s="243">
        <f>IF(Table33[[#This Row],[Category]]="Cookies",Table33[[#This Row],[Account Deposit Amount]]-Table33[[#This Row],[Account Withdrawl Amount]], )</f>
        <v>0</v>
      </c>
      <c r="K366" s="243">
        <f>IF(Table33[[#This Row],[Category]]="Additional Money Earning Activities",Table33[[#This Row],[Account Deposit Amount]]-Table33[[#This Row],[Account Withdrawl Amount]], )</f>
        <v>0</v>
      </c>
      <c r="L366" s="243">
        <f>IF(Table33[[#This Row],[Category]]="Sponsorships",Table33[[#This Row],[Account Deposit Amount]]-Table33[[#This Row],[Account Withdrawl Amount]], )</f>
        <v>0</v>
      </c>
      <c r="M366" s="243">
        <f>IF(Table33[[#This Row],[Category]]="Troop Dues",Table33[[#This Row],[Account Deposit Amount]]-Table33[[#This Row],[Account Withdrawl Amount]], )</f>
        <v>0</v>
      </c>
      <c r="N366" s="243">
        <f>IF(Table33[[#This Row],[Category]]="Other Income",Table33[[#This Row],[Account Deposit Amount]]-Table33[[#This Row],[Account Withdrawl Amount]], )</f>
        <v>0</v>
      </c>
      <c r="O366" s="243">
        <f>IF(Table33[[#This Row],[Category]]="Registration",Table33[[#This Row],[Account Deposit Amount]]-Table33[[#This Row],[Account Withdrawl Amount]], )</f>
        <v>0</v>
      </c>
      <c r="P366" s="243">
        <f>IF(Table33[[#This Row],[Category]]="Insignia",Table33[[#This Row],[Account Deposit Amount]]-Table33[[#This Row],[Account Withdrawl Amount]], )</f>
        <v>0</v>
      </c>
      <c r="Q366" s="243">
        <f>IF(Table33[[#This Row],[Category]]="Activities/Program",Table33[[#This Row],[Account Deposit Amount]]-Table33[[#This Row],[Account Withdrawl Amount]], )</f>
        <v>0</v>
      </c>
      <c r="R366" s="243">
        <f>IF(Table33[[#This Row],[Category]]="Travel",Table33[[#This Row],[Account Deposit Amount]]-Table33[[#This Row],[Account Withdrawl Amount]], )</f>
        <v>0</v>
      </c>
      <c r="S366" s="243">
        <f>IF(Table33[[#This Row],[Category]]="Parties Food &amp; Beverages",Table33[[#This Row],[Account Deposit Amount]]-Table33[[#This Row],[Account Withdrawl Amount]], )</f>
        <v>0</v>
      </c>
      <c r="T366" s="243">
        <f>IF(Table33[[#This Row],[Category]]="Service Projects Donation",Table33[[#This Row],[Account Deposit Amount]]-Table33[[#This Row],[Account Withdrawl Amount]], )</f>
        <v>0</v>
      </c>
      <c r="U366" s="243">
        <f>IF(Table33[[#This Row],[Category]]="Cookie Debt",Table33[[#This Row],[Account Deposit Amount]]-Table33[[#This Row],[Account Withdrawl Amount]], )</f>
        <v>0</v>
      </c>
      <c r="V366" s="243">
        <f>IF(Table33[[#This Row],[Category]]="Other Expense",Table33[[#This Row],[Account Deposit Amount]]-Table33[[#This Row],[Account Withdrawl Amount]], )</f>
        <v>0</v>
      </c>
    </row>
    <row r="367" spans="1:22">
      <c r="A367" s="225"/>
      <c r="B367" s="241"/>
      <c r="C367" s="225"/>
      <c r="D367" s="225"/>
      <c r="E367" s="242"/>
      <c r="F367" s="242"/>
      <c r="G367" s="243">
        <f t="shared" si="9"/>
        <v>0</v>
      </c>
      <c r="H367" s="225"/>
      <c r="I367" s="243">
        <f>IF(Table33[[#This Row],[Category]]="Fall Product",Table33[[#This Row],[Account Deposit Amount]]-Table33[[#This Row],[Account Withdrawl Amount]], )</f>
        <v>0</v>
      </c>
      <c r="J367" s="243">
        <f>IF(Table33[[#This Row],[Category]]="Cookies",Table33[[#This Row],[Account Deposit Amount]]-Table33[[#This Row],[Account Withdrawl Amount]], )</f>
        <v>0</v>
      </c>
      <c r="K367" s="243">
        <f>IF(Table33[[#This Row],[Category]]="Additional Money Earning Activities",Table33[[#This Row],[Account Deposit Amount]]-Table33[[#This Row],[Account Withdrawl Amount]], )</f>
        <v>0</v>
      </c>
      <c r="L367" s="243">
        <f>IF(Table33[[#This Row],[Category]]="Sponsorships",Table33[[#This Row],[Account Deposit Amount]]-Table33[[#This Row],[Account Withdrawl Amount]], )</f>
        <v>0</v>
      </c>
      <c r="M367" s="243">
        <f>IF(Table33[[#This Row],[Category]]="Troop Dues",Table33[[#This Row],[Account Deposit Amount]]-Table33[[#This Row],[Account Withdrawl Amount]], )</f>
        <v>0</v>
      </c>
      <c r="N367" s="243">
        <f>IF(Table33[[#This Row],[Category]]="Other Income",Table33[[#This Row],[Account Deposit Amount]]-Table33[[#This Row],[Account Withdrawl Amount]], )</f>
        <v>0</v>
      </c>
      <c r="O367" s="243">
        <f>IF(Table33[[#This Row],[Category]]="Registration",Table33[[#This Row],[Account Deposit Amount]]-Table33[[#This Row],[Account Withdrawl Amount]], )</f>
        <v>0</v>
      </c>
      <c r="P367" s="243">
        <f>IF(Table33[[#This Row],[Category]]="Insignia",Table33[[#This Row],[Account Deposit Amount]]-Table33[[#This Row],[Account Withdrawl Amount]], )</f>
        <v>0</v>
      </c>
      <c r="Q367" s="243">
        <f>IF(Table33[[#This Row],[Category]]="Activities/Program",Table33[[#This Row],[Account Deposit Amount]]-Table33[[#This Row],[Account Withdrawl Amount]], )</f>
        <v>0</v>
      </c>
      <c r="R367" s="243">
        <f>IF(Table33[[#This Row],[Category]]="Travel",Table33[[#This Row],[Account Deposit Amount]]-Table33[[#This Row],[Account Withdrawl Amount]], )</f>
        <v>0</v>
      </c>
      <c r="S367" s="243">
        <f>IF(Table33[[#This Row],[Category]]="Parties Food &amp; Beverages",Table33[[#This Row],[Account Deposit Amount]]-Table33[[#This Row],[Account Withdrawl Amount]], )</f>
        <v>0</v>
      </c>
      <c r="T367" s="243">
        <f>IF(Table33[[#This Row],[Category]]="Service Projects Donation",Table33[[#This Row],[Account Deposit Amount]]-Table33[[#This Row],[Account Withdrawl Amount]], )</f>
        <v>0</v>
      </c>
      <c r="U367" s="243">
        <f>IF(Table33[[#This Row],[Category]]="Cookie Debt",Table33[[#This Row],[Account Deposit Amount]]-Table33[[#This Row],[Account Withdrawl Amount]], )</f>
        <v>0</v>
      </c>
      <c r="V367" s="243">
        <f>IF(Table33[[#This Row],[Category]]="Other Expense",Table33[[#This Row],[Account Deposit Amount]]-Table33[[#This Row],[Account Withdrawl Amount]], )</f>
        <v>0</v>
      </c>
    </row>
    <row r="368" spans="1:22">
      <c r="A368" s="225"/>
      <c r="B368" s="241"/>
      <c r="C368" s="225"/>
      <c r="D368" s="225"/>
      <c r="E368" s="242"/>
      <c r="F368" s="242"/>
      <c r="G368" s="243">
        <f t="shared" si="9"/>
        <v>0</v>
      </c>
      <c r="H368" s="225"/>
      <c r="I368" s="243">
        <f>IF(Table33[[#This Row],[Category]]="Fall Product",Table33[[#This Row],[Account Deposit Amount]]-Table33[[#This Row],[Account Withdrawl Amount]], )</f>
        <v>0</v>
      </c>
      <c r="J368" s="243">
        <f>IF(Table33[[#This Row],[Category]]="Cookies",Table33[[#This Row],[Account Deposit Amount]]-Table33[[#This Row],[Account Withdrawl Amount]], )</f>
        <v>0</v>
      </c>
      <c r="K368" s="243">
        <f>IF(Table33[[#This Row],[Category]]="Additional Money Earning Activities",Table33[[#This Row],[Account Deposit Amount]]-Table33[[#This Row],[Account Withdrawl Amount]], )</f>
        <v>0</v>
      </c>
      <c r="L368" s="243">
        <f>IF(Table33[[#This Row],[Category]]="Sponsorships",Table33[[#This Row],[Account Deposit Amount]]-Table33[[#This Row],[Account Withdrawl Amount]], )</f>
        <v>0</v>
      </c>
      <c r="M368" s="243">
        <f>IF(Table33[[#This Row],[Category]]="Troop Dues",Table33[[#This Row],[Account Deposit Amount]]-Table33[[#This Row],[Account Withdrawl Amount]], )</f>
        <v>0</v>
      </c>
      <c r="N368" s="243">
        <f>IF(Table33[[#This Row],[Category]]="Other Income",Table33[[#This Row],[Account Deposit Amount]]-Table33[[#This Row],[Account Withdrawl Amount]], )</f>
        <v>0</v>
      </c>
      <c r="O368" s="243">
        <f>IF(Table33[[#This Row],[Category]]="Registration",Table33[[#This Row],[Account Deposit Amount]]-Table33[[#This Row],[Account Withdrawl Amount]], )</f>
        <v>0</v>
      </c>
      <c r="P368" s="243">
        <f>IF(Table33[[#This Row],[Category]]="Insignia",Table33[[#This Row],[Account Deposit Amount]]-Table33[[#This Row],[Account Withdrawl Amount]], )</f>
        <v>0</v>
      </c>
      <c r="Q368" s="243">
        <f>IF(Table33[[#This Row],[Category]]="Activities/Program",Table33[[#This Row],[Account Deposit Amount]]-Table33[[#This Row],[Account Withdrawl Amount]], )</f>
        <v>0</v>
      </c>
      <c r="R368" s="243">
        <f>IF(Table33[[#This Row],[Category]]="Travel",Table33[[#This Row],[Account Deposit Amount]]-Table33[[#This Row],[Account Withdrawl Amount]], )</f>
        <v>0</v>
      </c>
      <c r="S368" s="243">
        <f>IF(Table33[[#This Row],[Category]]="Parties Food &amp; Beverages",Table33[[#This Row],[Account Deposit Amount]]-Table33[[#This Row],[Account Withdrawl Amount]], )</f>
        <v>0</v>
      </c>
      <c r="T368" s="243">
        <f>IF(Table33[[#This Row],[Category]]="Service Projects Donation",Table33[[#This Row],[Account Deposit Amount]]-Table33[[#This Row],[Account Withdrawl Amount]], )</f>
        <v>0</v>
      </c>
      <c r="U368" s="243">
        <f>IF(Table33[[#This Row],[Category]]="Cookie Debt",Table33[[#This Row],[Account Deposit Amount]]-Table33[[#This Row],[Account Withdrawl Amount]], )</f>
        <v>0</v>
      </c>
      <c r="V368" s="243">
        <f>IF(Table33[[#This Row],[Category]]="Other Expense",Table33[[#This Row],[Account Deposit Amount]]-Table33[[#This Row],[Account Withdrawl Amount]], )</f>
        <v>0</v>
      </c>
    </row>
    <row r="369" spans="1:22">
      <c r="A369" s="225"/>
      <c r="B369" s="241"/>
      <c r="C369" s="225"/>
      <c r="D369" s="225"/>
      <c r="E369" s="242"/>
      <c r="F369" s="242"/>
      <c r="G369" s="243">
        <f t="shared" si="9"/>
        <v>0</v>
      </c>
      <c r="H369" s="225"/>
      <c r="I369" s="243">
        <f>IF(Table33[[#This Row],[Category]]="Fall Product",Table33[[#This Row],[Account Deposit Amount]]-Table33[[#This Row],[Account Withdrawl Amount]], )</f>
        <v>0</v>
      </c>
      <c r="J369" s="243">
        <f>IF(Table33[[#This Row],[Category]]="Cookies",Table33[[#This Row],[Account Deposit Amount]]-Table33[[#This Row],[Account Withdrawl Amount]], )</f>
        <v>0</v>
      </c>
      <c r="K369" s="243">
        <f>IF(Table33[[#This Row],[Category]]="Additional Money Earning Activities",Table33[[#This Row],[Account Deposit Amount]]-Table33[[#This Row],[Account Withdrawl Amount]], )</f>
        <v>0</v>
      </c>
      <c r="L369" s="243">
        <f>IF(Table33[[#This Row],[Category]]="Sponsorships",Table33[[#This Row],[Account Deposit Amount]]-Table33[[#This Row],[Account Withdrawl Amount]], )</f>
        <v>0</v>
      </c>
      <c r="M369" s="243">
        <f>IF(Table33[[#This Row],[Category]]="Troop Dues",Table33[[#This Row],[Account Deposit Amount]]-Table33[[#This Row],[Account Withdrawl Amount]], )</f>
        <v>0</v>
      </c>
      <c r="N369" s="243">
        <f>IF(Table33[[#This Row],[Category]]="Other Income",Table33[[#This Row],[Account Deposit Amount]]-Table33[[#This Row],[Account Withdrawl Amount]], )</f>
        <v>0</v>
      </c>
      <c r="O369" s="243">
        <f>IF(Table33[[#This Row],[Category]]="Registration",Table33[[#This Row],[Account Deposit Amount]]-Table33[[#This Row],[Account Withdrawl Amount]], )</f>
        <v>0</v>
      </c>
      <c r="P369" s="243">
        <f>IF(Table33[[#This Row],[Category]]="Insignia",Table33[[#This Row],[Account Deposit Amount]]-Table33[[#This Row],[Account Withdrawl Amount]], )</f>
        <v>0</v>
      </c>
      <c r="Q369" s="243">
        <f>IF(Table33[[#This Row],[Category]]="Activities/Program",Table33[[#This Row],[Account Deposit Amount]]-Table33[[#This Row],[Account Withdrawl Amount]], )</f>
        <v>0</v>
      </c>
      <c r="R369" s="243">
        <f>IF(Table33[[#This Row],[Category]]="Travel",Table33[[#This Row],[Account Deposit Amount]]-Table33[[#This Row],[Account Withdrawl Amount]], )</f>
        <v>0</v>
      </c>
      <c r="S369" s="243">
        <f>IF(Table33[[#This Row],[Category]]="Parties Food &amp; Beverages",Table33[[#This Row],[Account Deposit Amount]]-Table33[[#This Row],[Account Withdrawl Amount]], )</f>
        <v>0</v>
      </c>
      <c r="T369" s="243">
        <f>IF(Table33[[#This Row],[Category]]="Service Projects Donation",Table33[[#This Row],[Account Deposit Amount]]-Table33[[#This Row],[Account Withdrawl Amount]], )</f>
        <v>0</v>
      </c>
      <c r="U369" s="243">
        <f>IF(Table33[[#This Row],[Category]]="Cookie Debt",Table33[[#This Row],[Account Deposit Amount]]-Table33[[#This Row],[Account Withdrawl Amount]], )</f>
        <v>0</v>
      </c>
      <c r="V369" s="243">
        <f>IF(Table33[[#This Row],[Category]]="Other Expense",Table33[[#This Row],[Account Deposit Amount]]-Table33[[#This Row],[Account Withdrawl Amount]], )</f>
        <v>0</v>
      </c>
    </row>
    <row r="370" spans="1:22">
      <c r="A370" s="225"/>
      <c r="B370" s="241"/>
      <c r="C370" s="225"/>
      <c r="D370" s="225"/>
      <c r="E370" s="242"/>
      <c r="F370" s="242"/>
      <c r="G370" s="243">
        <f t="shared" si="9"/>
        <v>0</v>
      </c>
      <c r="H370" s="225"/>
      <c r="I370" s="243">
        <f>IF(Table33[[#This Row],[Category]]="Fall Product",Table33[[#This Row],[Account Deposit Amount]]-Table33[[#This Row],[Account Withdrawl Amount]], )</f>
        <v>0</v>
      </c>
      <c r="J370" s="243">
        <f>IF(Table33[[#This Row],[Category]]="Cookies",Table33[[#This Row],[Account Deposit Amount]]-Table33[[#This Row],[Account Withdrawl Amount]], )</f>
        <v>0</v>
      </c>
      <c r="K370" s="243">
        <f>IF(Table33[[#This Row],[Category]]="Additional Money Earning Activities",Table33[[#This Row],[Account Deposit Amount]]-Table33[[#This Row],[Account Withdrawl Amount]], )</f>
        <v>0</v>
      </c>
      <c r="L370" s="243">
        <f>IF(Table33[[#This Row],[Category]]="Sponsorships",Table33[[#This Row],[Account Deposit Amount]]-Table33[[#This Row],[Account Withdrawl Amount]], )</f>
        <v>0</v>
      </c>
      <c r="M370" s="243">
        <f>IF(Table33[[#This Row],[Category]]="Troop Dues",Table33[[#This Row],[Account Deposit Amount]]-Table33[[#This Row],[Account Withdrawl Amount]], )</f>
        <v>0</v>
      </c>
      <c r="N370" s="243">
        <f>IF(Table33[[#This Row],[Category]]="Other Income",Table33[[#This Row],[Account Deposit Amount]]-Table33[[#This Row],[Account Withdrawl Amount]], )</f>
        <v>0</v>
      </c>
      <c r="O370" s="243">
        <f>IF(Table33[[#This Row],[Category]]="Registration",Table33[[#This Row],[Account Deposit Amount]]-Table33[[#This Row],[Account Withdrawl Amount]], )</f>
        <v>0</v>
      </c>
      <c r="P370" s="243">
        <f>IF(Table33[[#This Row],[Category]]="Insignia",Table33[[#This Row],[Account Deposit Amount]]-Table33[[#This Row],[Account Withdrawl Amount]], )</f>
        <v>0</v>
      </c>
      <c r="Q370" s="243">
        <f>IF(Table33[[#This Row],[Category]]="Activities/Program",Table33[[#This Row],[Account Deposit Amount]]-Table33[[#This Row],[Account Withdrawl Amount]], )</f>
        <v>0</v>
      </c>
      <c r="R370" s="243">
        <f>IF(Table33[[#This Row],[Category]]="Travel",Table33[[#This Row],[Account Deposit Amount]]-Table33[[#This Row],[Account Withdrawl Amount]], )</f>
        <v>0</v>
      </c>
      <c r="S370" s="243">
        <f>IF(Table33[[#This Row],[Category]]="Parties Food &amp; Beverages",Table33[[#This Row],[Account Deposit Amount]]-Table33[[#This Row],[Account Withdrawl Amount]], )</f>
        <v>0</v>
      </c>
      <c r="T370" s="243">
        <f>IF(Table33[[#This Row],[Category]]="Service Projects Donation",Table33[[#This Row],[Account Deposit Amount]]-Table33[[#This Row],[Account Withdrawl Amount]], )</f>
        <v>0</v>
      </c>
      <c r="U370" s="243">
        <f>IF(Table33[[#This Row],[Category]]="Cookie Debt",Table33[[#This Row],[Account Deposit Amount]]-Table33[[#This Row],[Account Withdrawl Amount]], )</f>
        <v>0</v>
      </c>
      <c r="V370" s="243">
        <f>IF(Table33[[#This Row],[Category]]="Other Expense",Table33[[#This Row],[Account Deposit Amount]]-Table33[[#This Row],[Account Withdrawl Amount]], )</f>
        <v>0</v>
      </c>
    </row>
    <row r="371" spans="1:22">
      <c r="A371" s="225"/>
      <c r="B371" s="241"/>
      <c r="C371" s="225"/>
      <c r="D371" s="225"/>
      <c r="E371" s="242"/>
      <c r="F371" s="242"/>
      <c r="G371" s="243">
        <f t="shared" si="9"/>
        <v>0</v>
      </c>
      <c r="H371" s="225"/>
      <c r="I371" s="243">
        <f>IF(Table33[[#This Row],[Category]]="Fall Product",Table33[[#This Row],[Account Deposit Amount]]-Table33[[#This Row],[Account Withdrawl Amount]], )</f>
        <v>0</v>
      </c>
      <c r="J371" s="243">
        <f>IF(Table33[[#This Row],[Category]]="Cookies",Table33[[#This Row],[Account Deposit Amount]]-Table33[[#This Row],[Account Withdrawl Amount]], )</f>
        <v>0</v>
      </c>
      <c r="K371" s="243">
        <f>IF(Table33[[#This Row],[Category]]="Additional Money Earning Activities",Table33[[#This Row],[Account Deposit Amount]]-Table33[[#This Row],[Account Withdrawl Amount]], )</f>
        <v>0</v>
      </c>
      <c r="L371" s="243">
        <f>IF(Table33[[#This Row],[Category]]="Sponsorships",Table33[[#This Row],[Account Deposit Amount]]-Table33[[#This Row],[Account Withdrawl Amount]], )</f>
        <v>0</v>
      </c>
      <c r="M371" s="243">
        <f>IF(Table33[[#This Row],[Category]]="Troop Dues",Table33[[#This Row],[Account Deposit Amount]]-Table33[[#This Row],[Account Withdrawl Amount]], )</f>
        <v>0</v>
      </c>
      <c r="N371" s="243">
        <f>IF(Table33[[#This Row],[Category]]="Other Income",Table33[[#This Row],[Account Deposit Amount]]-Table33[[#This Row],[Account Withdrawl Amount]], )</f>
        <v>0</v>
      </c>
      <c r="O371" s="243">
        <f>IF(Table33[[#This Row],[Category]]="Registration",Table33[[#This Row],[Account Deposit Amount]]-Table33[[#This Row],[Account Withdrawl Amount]], )</f>
        <v>0</v>
      </c>
      <c r="P371" s="243">
        <f>IF(Table33[[#This Row],[Category]]="Insignia",Table33[[#This Row],[Account Deposit Amount]]-Table33[[#This Row],[Account Withdrawl Amount]], )</f>
        <v>0</v>
      </c>
      <c r="Q371" s="243">
        <f>IF(Table33[[#This Row],[Category]]="Activities/Program",Table33[[#This Row],[Account Deposit Amount]]-Table33[[#This Row],[Account Withdrawl Amount]], )</f>
        <v>0</v>
      </c>
      <c r="R371" s="243">
        <f>IF(Table33[[#This Row],[Category]]="Travel",Table33[[#This Row],[Account Deposit Amount]]-Table33[[#This Row],[Account Withdrawl Amount]], )</f>
        <v>0</v>
      </c>
      <c r="S371" s="243">
        <f>IF(Table33[[#This Row],[Category]]="Parties Food &amp; Beverages",Table33[[#This Row],[Account Deposit Amount]]-Table33[[#This Row],[Account Withdrawl Amount]], )</f>
        <v>0</v>
      </c>
      <c r="T371" s="243">
        <f>IF(Table33[[#This Row],[Category]]="Service Projects Donation",Table33[[#This Row],[Account Deposit Amount]]-Table33[[#This Row],[Account Withdrawl Amount]], )</f>
        <v>0</v>
      </c>
      <c r="U371" s="243">
        <f>IF(Table33[[#This Row],[Category]]="Cookie Debt",Table33[[#This Row],[Account Deposit Amount]]-Table33[[#This Row],[Account Withdrawl Amount]], )</f>
        <v>0</v>
      </c>
      <c r="V371" s="243">
        <f>IF(Table33[[#This Row],[Category]]="Other Expense",Table33[[#This Row],[Account Deposit Amount]]-Table33[[#This Row],[Account Withdrawl Amount]], )</f>
        <v>0</v>
      </c>
    </row>
    <row r="372" spans="1:22">
      <c r="A372" s="225"/>
      <c r="B372" s="241"/>
      <c r="C372" s="225"/>
      <c r="D372" s="225"/>
      <c r="E372" s="242"/>
      <c r="F372" s="242"/>
      <c r="G372" s="243">
        <f t="shared" si="9"/>
        <v>0</v>
      </c>
      <c r="H372" s="225"/>
      <c r="I372" s="243">
        <f>IF(Table33[[#This Row],[Category]]="Fall Product",Table33[[#This Row],[Account Deposit Amount]]-Table33[[#This Row],[Account Withdrawl Amount]], )</f>
        <v>0</v>
      </c>
      <c r="J372" s="243">
        <f>IF(Table33[[#This Row],[Category]]="Cookies",Table33[[#This Row],[Account Deposit Amount]]-Table33[[#This Row],[Account Withdrawl Amount]], )</f>
        <v>0</v>
      </c>
      <c r="K372" s="243">
        <f>IF(Table33[[#This Row],[Category]]="Additional Money Earning Activities",Table33[[#This Row],[Account Deposit Amount]]-Table33[[#This Row],[Account Withdrawl Amount]], )</f>
        <v>0</v>
      </c>
      <c r="L372" s="243">
        <f>IF(Table33[[#This Row],[Category]]="Sponsorships",Table33[[#This Row],[Account Deposit Amount]]-Table33[[#This Row],[Account Withdrawl Amount]], )</f>
        <v>0</v>
      </c>
      <c r="M372" s="243">
        <f>IF(Table33[[#This Row],[Category]]="Troop Dues",Table33[[#This Row],[Account Deposit Amount]]-Table33[[#This Row],[Account Withdrawl Amount]], )</f>
        <v>0</v>
      </c>
      <c r="N372" s="243">
        <f>IF(Table33[[#This Row],[Category]]="Other Income",Table33[[#This Row],[Account Deposit Amount]]-Table33[[#This Row],[Account Withdrawl Amount]], )</f>
        <v>0</v>
      </c>
      <c r="O372" s="243">
        <f>IF(Table33[[#This Row],[Category]]="Registration",Table33[[#This Row],[Account Deposit Amount]]-Table33[[#This Row],[Account Withdrawl Amount]], )</f>
        <v>0</v>
      </c>
      <c r="P372" s="243">
        <f>IF(Table33[[#This Row],[Category]]="Insignia",Table33[[#This Row],[Account Deposit Amount]]-Table33[[#This Row],[Account Withdrawl Amount]], )</f>
        <v>0</v>
      </c>
      <c r="Q372" s="243">
        <f>IF(Table33[[#This Row],[Category]]="Activities/Program",Table33[[#This Row],[Account Deposit Amount]]-Table33[[#This Row],[Account Withdrawl Amount]], )</f>
        <v>0</v>
      </c>
      <c r="R372" s="243">
        <f>IF(Table33[[#This Row],[Category]]="Travel",Table33[[#This Row],[Account Deposit Amount]]-Table33[[#This Row],[Account Withdrawl Amount]], )</f>
        <v>0</v>
      </c>
      <c r="S372" s="243">
        <f>IF(Table33[[#This Row],[Category]]="Parties Food &amp; Beverages",Table33[[#This Row],[Account Deposit Amount]]-Table33[[#This Row],[Account Withdrawl Amount]], )</f>
        <v>0</v>
      </c>
      <c r="T372" s="243">
        <f>IF(Table33[[#This Row],[Category]]="Service Projects Donation",Table33[[#This Row],[Account Deposit Amount]]-Table33[[#This Row],[Account Withdrawl Amount]], )</f>
        <v>0</v>
      </c>
      <c r="U372" s="243">
        <f>IF(Table33[[#This Row],[Category]]="Cookie Debt",Table33[[#This Row],[Account Deposit Amount]]-Table33[[#This Row],[Account Withdrawl Amount]], )</f>
        <v>0</v>
      </c>
      <c r="V372" s="243">
        <f>IF(Table33[[#This Row],[Category]]="Other Expense",Table33[[#This Row],[Account Deposit Amount]]-Table33[[#This Row],[Account Withdrawl Amount]], )</f>
        <v>0</v>
      </c>
    </row>
    <row r="373" spans="1:22">
      <c r="A373" s="225"/>
      <c r="B373" s="241"/>
      <c r="C373" s="225"/>
      <c r="D373" s="225"/>
      <c r="E373" s="242"/>
      <c r="F373" s="242"/>
      <c r="G373" s="243">
        <f t="shared" si="9"/>
        <v>0</v>
      </c>
      <c r="H373" s="225"/>
      <c r="I373" s="243">
        <f>IF(Table33[[#This Row],[Category]]="Fall Product",Table33[[#This Row],[Account Deposit Amount]]-Table33[[#This Row],[Account Withdrawl Amount]], )</f>
        <v>0</v>
      </c>
      <c r="J373" s="243">
        <f>IF(Table33[[#This Row],[Category]]="Cookies",Table33[[#This Row],[Account Deposit Amount]]-Table33[[#This Row],[Account Withdrawl Amount]], )</f>
        <v>0</v>
      </c>
      <c r="K373" s="243">
        <f>IF(Table33[[#This Row],[Category]]="Additional Money Earning Activities",Table33[[#This Row],[Account Deposit Amount]]-Table33[[#This Row],[Account Withdrawl Amount]], )</f>
        <v>0</v>
      </c>
      <c r="L373" s="243">
        <f>IF(Table33[[#This Row],[Category]]="Sponsorships",Table33[[#This Row],[Account Deposit Amount]]-Table33[[#This Row],[Account Withdrawl Amount]], )</f>
        <v>0</v>
      </c>
      <c r="M373" s="243">
        <f>IF(Table33[[#This Row],[Category]]="Troop Dues",Table33[[#This Row],[Account Deposit Amount]]-Table33[[#This Row],[Account Withdrawl Amount]], )</f>
        <v>0</v>
      </c>
      <c r="N373" s="243">
        <f>IF(Table33[[#This Row],[Category]]="Other Income",Table33[[#This Row],[Account Deposit Amount]]-Table33[[#This Row],[Account Withdrawl Amount]], )</f>
        <v>0</v>
      </c>
      <c r="O373" s="243">
        <f>IF(Table33[[#This Row],[Category]]="Registration",Table33[[#This Row],[Account Deposit Amount]]-Table33[[#This Row],[Account Withdrawl Amount]], )</f>
        <v>0</v>
      </c>
      <c r="P373" s="243">
        <f>IF(Table33[[#This Row],[Category]]="Insignia",Table33[[#This Row],[Account Deposit Amount]]-Table33[[#This Row],[Account Withdrawl Amount]], )</f>
        <v>0</v>
      </c>
      <c r="Q373" s="243">
        <f>IF(Table33[[#This Row],[Category]]="Activities/Program",Table33[[#This Row],[Account Deposit Amount]]-Table33[[#This Row],[Account Withdrawl Amount]], )</f>
        <v>0</v>
      </c>
      <c r="R373" s="243">
        <f>IF(Table33[[#This Row],[Category]]="Travel",Table33[[#This Row],[Account Deposit Amount]]-Table33[[#This Row],[Account Withdrawl Amount]], )</f>
        <v>0</v>
      </c>
      <c r="S373" s="243">
        <f>IF(Table33[[#This Row],[Category]]="Parties Food &amp; Beverages",Table33[[#This Row],[Account Deposit Amount]]-Table33[[#This Row],[Account Withdrawl Amount]], )</f>
        <v>0</v>
      </c>
      <c r="T373" s="243">
        <f>IF(Table33[[#This Row],[Category]]="Service Projects Donation",Table33[[#This Row],[Account Deposit Amount]]-Table33[[#This Row],[Account Withdrawl Amount]], )</f>
        <v>0</v>
      </c>
      <c r="U373" s="243">
        <f>IF(Table33[[#This Row],[Category]]="Cookie Debt",Table33[[#This Row],[Account Deposit Amount]]-Table33[[#This Row],[Account Withdrawl Amount]], )</f>
        <v>0</v>
      </c>
      <c r="V373" s="243">
        <f>IF(Table33[[#This Row],[Category]]="Other Expense",Table33[[#This Row],[Account Deposit Amount]]-Table33[[#This Row],[Account Withdrawl Amount]], )</f>
        <v>0</v>
      </c>
    </row>
    <row r="374" spans="1:22">
      <c r="A374" s="225"/>
      <c r="B374" s="241"/>
      <c r="C374" s="225"/>
      <c r="D374" s="225"/>
      <c r="E374" s="242"/>
      <c r="F374" s="242"/>
      <c r="G374" s="243">
        <f t="shared" si="9"/>
        <v>0</v>
      </c>
      <c r="H374" s="225"/>
      <c r="I374" s="243">
        <f>IF(Table33[[#This Row],[Category]]="Fall Product",Table33[[#This Row],[Account Deposit Amount]]-Table33[[#This Row],[Account Withdrawl Amount]], )</f>
        <v>0</v>
      </c>
      <c r="J374" s="243">
        <f>IF(Table33[[#This Row],[Category]]="Cookies",Table33[[#This Row],[Account Deposit Amount]]-Table33[[#This Row],[Account Withdrawl Amount]], )</f>
        <v>0</v>
      </c>
      <c r="K374" s="243">
        <f>IF(Table33[[#This Row],[Category]]="Additional Money Earning Activities",Table33[[#This Row],[Account Deposit Amount]]-Table33[[#This Row],[Account Withdrawl Amount]], )</f>
        <v>0</v>
      </c>
      <c r="L374" s="243">
        <f>IF(Table33[[#This Row],[Category]]="Sponsorships",Table33[[#This Row],[Account Deposit Amount]]-Table33[[#This Row],[Account Withdrawl Amount]], )</f>
        <v>0</v>
      </c>
      <c r="M374" s="243">
        <f>IF(Table33[[#This Row],[Category]]="Troop Dues",Table33[[#This Row],[Account Deposit Amount]]-Table33[[#This Row],[Account Withdrawl Amount]], )</f>
        <v>0</v>
      </c>
      <c r="N374" s="243">
        <f>IF(Table33[[#This Row],[Category]]="Other Income",Table33[[#This Row],[Account Deposit Amount]]-Table33[[#This Row],[Account Withdrawl Amount]], )</f>
        <v>0</v>
      </c>
      <c r="O374" s="243">
        <f>IF(Table33[[#This Row],[Category]]="Registration",Table33[[#This Row],[Account Deposit Amount]]-Table33[[#This Row],[Account Withdrawl Amount]], )</f>
        <v>0</v>
      </c>
      <c r="P374" s="243">
        <f>IF(Table33[[#This Row],[Category]]="Insignia",Table33[[#This Row],[Account Deposit Amount]]-Table33[[#This Row],[Account Withdrawl Amount]], )</f>
        <v>0</v>
      </c>
      <c r="Q374" s="243">
        <f>IF(Table33[[#This Row],[Category]]="Activities/Program",Table33[[#This Row],[Account Deposit Amount]]-Table33[[#This Row],[Account Withdrawl Amount]], )</f>
        <v>0</v>
      </c>
      <c r="R374" s="243">
        <f>IF(Table33[[#This Row],[Category]]="Travel",Table33[[#This Row],[Account Deposit Amount]]-Table33[[#This Row],[Account Withdrawl Amount]], )</f>
        <v>0</v>
      </c>
      <c r="S374" s="243">
        <f>IF(Table33[[#This Row],[Category]]="Parties Food &amp; Beverages",Table33[[#This Row],[Account Deposit Amount]]-Table33[[#This Row],[Account Withdrawl Amount]], )</f>
        <v>0</v>
      </c>
      <c r="T374" s="243">
        <f>IF(Table33[[#This Row],[Category]]="Service Projects Donation",Table33[[#This Row],[Account Deposit Amount]]-Table33[[#This Row],[Account Withdrawl Amount]], )</f>
        <v>0</v>
      </c>
      <c r="U374" s="243">
        <f>IF(Table33[[#This Row],[Category]]="Cookie Debt",Table33[[#This Row],[Account Deposit Amount]]-Table33[[#This Row],[Account Withdrawl Amount]], )</f>
        <v>0</v>
      </c>
      <c r="V374" s="243">
        <f>IF(Table33[[#This Row],[Category]]="Other Expense",Table33[[#This Row],[Account Deposit Amount]]-Table33[[#This Row],[Account Withdrawl Amount]], )</f>
        <v>0</v>
      </c>
    </row>
    <row r="375" spans="1:22">
      <c r="A375" s="225"/>
      <c r="B375" s="241"/>
      <c r="C375" s="225"/>
      <c r="D375" s="225"/>
      <c r="E375" s="242"/>
      <c r="F375" s="242"/>
      <c r="G375" s="243">
        <f t="shared" si="9"/>
        <v>0</v>
      </c>
      <c r="H375" s="225"/>
      <c r="I375" s="243">
        <f>IF(Table33[[#This Row],[Category]]="Fall Product",Table33[[#This Row],[Account Deposit Amount]]-Table33[[#This Row],[Account Withdrawl Amount]], )</f>
        <v>0</v>
      </c>
      <c r="J375" s="243">
        <f>IF(Table33[[#This Row],[Category]]="Cookies",Table33[[#This Row],[Account Deposit Amount]]-Table33[[#This Row],[Account Withdrawl Amount]], )</f>
        <v>0</v>
      </c>
      <c r="K375" s="243">
        <f>IF(Table33[[#This Row],[Category]]="Additional Money Earning Activities",Table33[[#This Row],[Account Deposit Amount]]-Table33[[#This Row],[Account Withdrawl Amount]], )</f>
        <v>0</v>
      </c>
      <c r="L375" s="243">
        <f>IF(Table33[[#This Row],[Category]]="Sponsorships",Table33[[#This Row],[Account Deposit Amount]]-Table33[[#This Row],[Account Withdrawl Amount]], )</f>
        <v>0</v>
      </c>
      <c r="M375" s="243">
        <f>IF(Table33[[#This Row],[Category]]="Troop Dues",Table33[[#This Row],[Account Deposit Amount]]-Table33[[#This Row],[Account Withdrawl Amount]], )</f>
        <v>0</v>
      </c>
      <c r="N375" s="243">
        <f>IF(Table33[[#This Row],[Category]]="Other Income",Table33[[#This Row],[Account Deposit Amount]]-Table33[[#This Row],[Account Withdrawl Amount]], )</f>
        <v>0</v>
      </c>
      <c r="O375" s="243">
        <f>IF(Table33[[#This Row],[Category]]="Registration",Table33[[#This Row],[Account Deposit Amount]]-Table33[[#This Row],[Account Withdrawl Amount]], )</f>
        <v>0</v>
      </c>
      <c r="P375" s="243">
        <f>IF(Table33[[#This Row],[Category]]="Insignia",Table33[[#This Row],[Account Deposit Amount]]-Table33[[#This Row],[Account Withdrawl Amount]], )</f>
        <v>0</v>
      </c>
      <c r="Q375" s="243">
        <f>IF(Table33[[#This Row],[Category]]="Activities/Program",Table33[[#This Row],[Account Deposit Amount]]-Table33[[#This Row],[Account Withdrawl Amount]], )</f>
        <v>0</v>
      </c>
      <c r="R375" s="243">
        <f>IF(Table33[[#This Row],[Category]]="Travel",Table33[[#This Row],[Account Deposit Amount]]-Table33[[#This Row],[Account Withdrawl Amount]], )</f>
        <v>0</v>
      </c>
      <c r="S375" s="243">
        <f>IF(Table33[[#This Row],[Category]]="Parties Food &amp; Beverages",Table33[[#This Row],[Account Deposit Amount]]-Table33[[#This Row],[Account Withdrawl Amount]], )</f>
        <v>0</v>
      </c>
      <c r="T375" s="243">
        <f>IF(Table33[[#This Row],[Category]]="Service Projects Donation",Table33[[#This Row],[Account Deposit Amount]]-Table33[[#This Row],[Account Withdrawl Amount]], )</f>
        <v>0</v>
      </c>
      <c r="U375" s="243">
        <f>IF(Table33[[#This Row],[Category]]="Cookie Debt",Table33[[#This Row],[Account Deposit Amount]]-Table33[[#This Row],[Account Withdrawl Amount]], )</f>
        <v>0</v>
      </c>
      <c r="V375" s="243">
        <f>IF(Table33[[#This Row],[Category]]="Other Expense",Table33[[#This Row],[Account Deposit Amount]]-Table33[[#This Row],[Account Withdrawl Amount]], )</f>
        <v>0</v>
      </c>
    </row>
    <row r="376" spans="1:22">
      <c r="A376" s="225"/>
      <c r="B376" s="241"/>
      <c r="C376" s="225"/>
      <c r="D376" s="225"/>
      <c r="E376" s="242"/>
      <c r="F376" s="242"/>
      <c r="G376" s="243">
        <f t="shared" si="9"/>
        <v>0</v>
      </c>
      <c r="H376" s="225"/>
      <c r="I376" s="243">
        <f>IF(Table33[[#This Row],[Category]]="Fall Product",Table33[[#This Row],[Account Deposit Amount]]-Table33[[#This Row],[Account Withdrawl Amount]], )</f>
        <v>0</v>
      </c>
      <c r="J376" s="243">
        <f>IF(Table33[[#This Row],[Category]]="Cookies",Table33[[#This Row],[Account Deposit Amount]]-Table33[[#This Row],[Account Withdrawl Amount]], )</f>
        <v>0</v>
      </c>
      <c r="K376" s="243">
        <f>IF(Table33[[#This Row],[Category]]="Additional Money Earning Activities",Table33[[#This Row],[Account Deposit Amount]]-Table33[[#This Row],[Account Withdrawl Amount]], )</f>
        <v>0</v>
      </c>
      <c r="L376" s="243">
        <f>IF(Table33[[#This Row],[Category]]="Sponsorships",Table33[[#This Row],[Account Deposit Amount]]-Table33[[#This Row],[Account Withdrawl Amount]], )</f>
        <v>0</v>
      </c>
      <c r="M376" s="243">
        <f>IF(Table33[[#This Row],[Category]]="Troop Dues",Table33[[#This Row],[Account Deposit Amount]]-Table33[[#This Row],[Account Withdrawl Amount]], )</f>
        <v>0</v>
      </c>
      <c r="N376" s="243">
        <f>IF(Table33[[#This Row],[Category]]="Other Income",Table33[[#This Row],[Account Deposit Amount]]-Table33[[#This Row],[Account Withdrawl Amount]], )</f>
        <v>0</v>
      </c>
      <c r="O376" s="243">
        <f>IF(Table33[[#This Row],[Category]]="Registration",Table33[[#This Row],[Account Deposit Amount]]-Table33[[#This Row],[Account Withdrawl Amount]], )</f>
        <v>0</v>
      </c>
      <c r="P376" s="243">
        <f>IF(Table33[[#This Row],[Category]]="Insignia",Table33[[#This Row],[Account Deposit Amount]]-Table33[[#This Row],[Account Withdrawl Amount]], )</f>
        <v>0</v>
      </c>
      <c r="Q376" s="243">
        <f>IF(Table33[[#This Row],[Category]]="Activities/Program",Table33[[#This Row],[Account Deposit Amount]]-Table33[[#This Row],[Account Withdrawl Amount]], )</f>
        <v>0</v>
      </c>
      <c r="R376" s="243">
        <f>IF(Table33[[#This Row],[Category]]="Travel",Table33[[#This Row],[Account Deposit Amount]]-Table33[[#This Row],[Account Withdrawl Amount]], )</f>
        <v>0</v>
      </c>
      <c r="S376" s="243">
        <f>IF(Table33[[#This Row],[Category]]="Parties Food &amp; Beverages",Table33[[#This Row],[Account Deposit Amount]]-Table33[[#This Row],[Account Withdrawl Amount]], )</f>
        <v>0</v>
      </c>
      <c r="T376" s="243">
        <f>IF(Table33[[#This Row],[Category]]="Service Projects Donation",Table33[[#This Row],[Account Deposit Amount]]-Table33[[#This Row],[Account Withdrawl Amount]], )</f>
        <v>0</v>
      </c>
      <c r="U376" s="243">
        <f>IF(Table33[[#This Row],[Category]]="Cookie Debt",Table33[[#This Row],[Account Deposit Amount]]-Table33[[#This Row],[Account Withdrawl Amount]], )</f>
        <v>0</v>
      </c>
      <c r="V376" s="243">
        <f>IF(Table33[[#This Row],[Category]]="Other Expense",Table33[[#This Row],[Account Deposit Amount]]-Table33[[#This Row],[Account Withdrawl Amount]], )</f>
        <v>0</v>
      </c>
    </row>
    <row r="377" spans="1:22">
      <c r="A377" s="225"/>
      <c r="B377" s="241"/>
      <c r="C377" s="225"/>
      <c r="D377" s="225"/>
      <c r="E377" s="242"/>
      <c r="F377" s="242"/>
      <c r="G377" s="243">
        <f t="shared" si="9"/>
        <v>0</v>
      </c>
      <c r="H377" s="225"/>
      <c r="I377" s="243">
        <f>IF(Table33[[#This Row],[Category]]="Fall Product",Table33[[#This Row],[Account Deposit Amount]]-Table33[[#This Row],[Account Withdrawl Amount]], )</f>
        <v>0</v>
      </c>
      <c r="J377" s="243">
        <f>IF(Table33[[#This Row],[Category]]="Cookies",Table33[[#This Row],[Account Deposit Amount]]-Table33[[#This Row],[Account Withdrawl Amount]], )</f>
        <v>0</v>
      </c>
      <c r="K377" s="243">
        <f>IF(Table33[[#This Row],[Category]]="Additional Money Earning Activities",Table33[[#This Row],[Account Deposit Amount]]-Table33[[#This Row],[Account Withdrawl Amount]], )</f>
        <v>0</v>
      </c>
      <c r="L377" s="243">
        <f>IF(Table33[[#This Row],[Category]]="Sponsorships",Table33[[#This Row],[Account Deposit Amount]]-Table33[[#This Row],[Account Withdrawl Amount]], )</f>
        <v>0</v>
      </c>
      <c r="M377" s="243">
        <f>IF(Table33[[#This Row],[Category]]="Troop Dues",Table33[[#This Row],[Account Deposit Amount]]-Table33[[#This Row],[Account Withdrawl Amount]], )</f>
        <v>0</v>
      </c>
      <c r="N377" s="243">
        <f>IF(Table33[[#This Row],[Category]]="Other Income",Table33[[#This Row],[Account Deposit Amount]]-Table33[[#This Row],[Account Withdrawl Amount]], )</f>
        <v>0</v>
      </c>
      <c r="O377" s="243">
        <f>IF(Table33[[#This Row],[Category]]="Registration",Table33[[#This Row],[Account Deposit Amount]]-Table33[[#This Row],[Account Withdrawl Amount]], )</f>
        <v>0</v>
      </c>
      <c r="P377" s="243">
        <f>IF(Table33[[#This Row],[Category]]="Insignia",Table33[[#This Row],[Account Deposit Amount]]-Table33[[#This Row],[Account Withdrawl Amount]], )</f>
        <v>0</v>
      </c>
      <c r="Q377" s="243">
        <f>IF(Table33[[#This Row],[Category]]="Activities/Program",Table33[[#This Row],[Account Deposit Amount]]-Table33[[#This Row],[Account Withdrawl Amount]], )</f>
        <v>0</v>
      </c>
      <c r="R377" s="243">
        <f>IF(Table33[[#This Row],[Category]]="Travel",Table33[[#This Row],[Account Deposit Amount]]-Table33[[#This Row],[Account Withdrawl Amount]], )</f>
        <v>0</v>
      </c>
      <c r="S377" s="243">
        <f>IF(Table33[[#This Row],[Category]]="Parties Food &amp; Beverages",Table33[[#This Row],[Account Deposit Amount]]-Table33[[#This Row],[Account Withdrawl Amount]], )</f>
        <v>0</v>
      </c>
      <c r="T377" s="243">
        <f>IF(Table33[[#This Row],[Category]]="Service Projects Donation",Table33[[#This Row],[Account Deposit Amount]]-Table33[[#This Row],[Account Withdrawl Amount]], )</f>
        <v>0</v>
      </c>
      <c r="U377" s="243">
        <f>IF(Table33[[#This Row],[Category]]="Cookie Debt",Table33[[#This Row],[Account Deposit Amount]]-Table33[[#This Row],[Account Withdrawl Amount]], )</f>
        <v>0</v>
      </c>
      <c r="V377" s="243">
        <f>IF(Table33[[#This Row],[Category]]="Other Expense",Table33[[#This Row],[Account Deposit Amount]]-Table33[[#This Row],[Account Withdrawl Amount]], )</f>
        <v>0</v>
      </c>
    </row>
    <row r="378" spans="1:22">
      <c r="A378" s="225"/>
      <c r="B378" s="241"/>
      <c r="C378" s="225"/>
      <c r="D378" s="225"/>
      <c r="E378" s="242"/>
      <c r="F378" s="242"/>
      <c r="G378" s="243">
        <f t="shared" si="9"/>
        <v>0</v>
      </c>
      <c r="H378" s="225"/>
      <c r="I378" s="243">
        <f>IF(Table33[[#This Row],[Category]]="Fall Product",Table33[[#This Row],[Account Deposit Amount]]-Table33[[#This Row],[Account Withdrawl Amount]], )</f>
        <v>0</v>
      </c>
      <c r="J378" s="243">
        <f>IF(Table33[[#This Row],[Category]]="Cookies",Table33[[#This Row],[Account Deposit Amount]]-Table33[[#This Row],[Account Withdrawl Amount]], )</f>
        <v>0</v>
      </c>
      <c r="K378" s="243">
        <f>IF(Table33[[#This Row],[Category]]="Additional Money Earning Activities",Table33[[#This Row],[Account Deposit Amount]]-Table33[[#This Row],[Account Withdrawl Amount]], )</f>
        <v>0</v>
      </c>
      <c r="L378" s="243">
        <f>IF(Table33[[#This Row],[Category]]="Sponsorships",Table33[[#This Row],[Account Deposit Amount]]-Table33[[#This Row],[Account Withdrawl Amount]], )</f>
        <v>0</v>
      </c>
      <c r="M378" s="243">
        <f>IF(Table33[[#This Row],[Category]]="Troop Dues",Table33[[#This Row],[Account Deposit Amount]]-Table33[[#This Row],[Account Withdrawl Amount]], )</f>
        <v>0</v>
      </c>
      <c r="N378" s="243">
        <f>IF(Table33[[#This Row],[Category]]="Other Income",Table33[[#This Row],[Account Deposit Amount]]-Table33[[#This Row],[Account Withdrawl Amount]], )</f>
        <v>0</v>
      </c>
      <c r="O378" s="243">
        <f>IF(Table33[[#This Row],[Category]]="Registration",Table33[[#This Row],[Account Deposit Amount]]-Table33[[#This Row],[Account Withdrawl Amount]], )</f>
        <v>0</v>
      </c>
      <c r="P378" s="243">
        <f>IF(Table33[[#This Row],[Category]]="Insignia",Table33[[#This Row],[Account Deposit Amount]]-Table33[[#This Row],[Account Withdrawl Amount]], )</f>
        <v>0</v>
      </c>
      <c r="Q378" s="243">
        <f>IF(Table33[[#This Row],[Category]]="Activities/Program",Table33[[#This Row],[Account Deposit Amount]]-Table33[[#This Row],[Account Withdrawl Amount]], )</f>
        <v>0</v>
      </c>
      <c r="R378" s="243">
        <f>IF(Table33[[#This Row],[Category]]="Travel",Table33[[#This Row],[Account Deposit Amount]]-Table33[[#This Row],[Account Withdrawl Amount]], )</f>
        <v>0</v>
      </c>
      <c r="S378" s="243">
        <f>IF(Table33[[#This Row],[Category]]="Parties Food &amp; Beverages",Table33[[#This Row],[Account Deposit Amount]]-Table33[[#This Row],[Account Withdrawl Amount]], )</f>
        <v>0</v>
      </c>
      <c r="T378" s="243">
        <f>IF(Table33[[#This Row],[Category]]="Service Projects Donation",Table33[[#This Row],[Account Deposit Amount]]-Table33[[#This Row],[Account Withdrawl Amount]], )</f>
        <v>0</v>
      </c>
      <c r="U378" s="243">
        <f>IF(Table33[[#This Row],[Category]]="Cookie Debt",Table33[[#This Row],[Account Deposit Amount]]-Table33[[#This Row],[Account Withdrawl Amount]], )</f>
        <v>0</v>
      </c>
      <c r="V378" s="243">
        <f>IF(Table33[[#This Row],[Category]]="Other Expense",Table33[[#This Row],[Account Deposit Amount]]-Table33[[#This Row],[Account Withdrawl Amount]], )</f>
        <v>0</v>
      </c>
    </row>
    <row r="379" spans="1:22">
      <c r="A379" s="225"/>
      <c r="B379" s="241"/>
      <c r="C379" s="225"/>
      <c r="D379" s="225"/>
      <c r="E379" s="242"/>
      <c r="F379" s="242"/>
      <c r="G379" s="243">
        <f t="shared" si="9"/>
        <v>0</v>
      </c>
      <c r="H379" s="225"/>
      <c r="I379" s="243">
        <f>IF(Table33[[#This Row],[Category]]="Fall Product",Table33[[#This Row],[Account Deposit Amount]]-Table33[[#This Row],[Account Withdrawl Amount]], )</f>
        <v>0</v>
      </c>
      <c r="J379" s="243">
        <f>IF(Table33[[#This Row],[Category]]="Cookies",Table33[[#This Row],[Account Deposit Amount]]-Table33[[#This Row],[Account Withdrawl Amount]], )</f>
        <v>0</v>
      </c>
      <c r="K379" s="243">
        <f>IF(Table33[[#This Row],[Category]]="Additional Money Earning Activities",Table33[[#This Row],[Account Deposit Amount]]-Table33[[#This Row],[Account Withdrawl Amount]], )</f>
        <v>0</v>
      </c>
      <c r="L379" s="243">
        <f>IF(Table33[[#This Row],[Category]]="Sponsorships",Table33[[#This Row],[Account Deposit Amount]]-Table33[[#This Row],[Account Withdrawl Amount]], )</f>
        <v>0</v>
      </c>
      <c r="M379" s="243">
        <f>IF(Table33[[#This Row],[Category]]="Troop Dues",Table33[[#This Row],[Account Deposit Amount]]-Table33[[#This Row],[Account Withdrawl Amount]], )</f>
        <v>0</v>
      </c>
      <c r="N379" s="243">
        <f>IF(Table33[[#This Row],[Category]]="Other Income",Table33[[#This Row],[Account Deposit Amount]]-Table33[[#This Row],[Account Withdrawl Amount]], )</f>
        <v>0</v>
      </c>
      <c r="O379" s="243">
        <f>IF(Table33[[#This Row],[Category]]="Registration",Table33[[#This Row],[Account Deposit Amount]]-Table33[[#This Row],[Account Withdrawl Amount]], )</f>
        <v>0</v>
      </c>
      <c r="P379" s="243">
        <f>IF(Table33[[#This Row],[Category]]="Insignia",Table33[[#This Row],[Account Deposit Amount]]-Table33[[#This Row],[Account Withdrawl Amount]], )</f>
        <v>0</v>
      </c>
      <c r="Q379" s="243">
        <f>IF(Table33[[#This Row],[Category]]="Activities/Program",Table33[[#This Row],[Account Deposit Amount]]-Table33[[#This Row],[Account Withdrawl Amount]], )</f>
        <v>0</v>
      </c>
      <c r="R379" s="243">
        <f>IF(Table33[[#This Row],[Category]]="Travel",Table33[[#This Row],[Account Deposit Amount]]-Table33[[#This Row],[Account Withdrawl Amount]], )</f>
        <v>0</v>
      </c>
      <c r="S379" s="243">
        <f>IF(Table33[[#This Row],[Category]]="Parties Food &amp; Beverages",Table33[[#This Row],[Account Deposit Amount]]-Table33[[#This Row],[Account Withdrawl Amount]], )</f>
        <v>0</v>
      </c>
      <c r="T379" s="243">
        <f>IF(Table33[[#This Row],[Category]]="Service Projects Donation",Table33[[#This Row],[Account Deposit Amount]]-Table33[[#This Row],[Account Withdrawl Amount]], )</f>
        <v>0</v>
      </c>
      <c r="U379" s="243">
        <f>IF(Table33[[#This Row],[Category]]="Cookie Debt",Table33[[#This Row],[Account Deposit Amount]]-Table33[[#This Row],[Account Withdrawl Amount]], )</f>
        <v>0</v>
      </c>
      <c r="V379" s="243">
        <f>IF(Table33[[#This Row],[Category]]="Other Expense",Table33[[#This Row],[Account Deposit Amount]]-Table33[[#This Row],[Account Withdrawl Amount]], )</f>
        <v>0</v>
      </c>
    </row>
    <row r="380" spans="1:22">
      <c r="A380" s="225"/>
      <c r="B380" s="241"/>
      <c r="C380" s="225"/>
      <c r="D380" s="225"/>
      <c r="E380" s="242"/>
      <c r="F380" s="242"/>
      <c r="G380" s="243">
        <f t="shared" si="9"/>
        <v>0</v>
      </c>
      <c r="H380" s="225"/>
      <c r="I380" s="243">
        <f>IF(Table33[[#This Row],[Category]]="Fall Product",Table33[[#This Row],[Account Deposit Amount]]-Table33[[#This Row],[Account Withdrawl Amount]], )</f>
        <v>0</v>
      </c>
      <c r="J380" s="243">
        <f>IF(Table33[[#This Row],[Category]]="Cookies",Table33[[#This Row],[Account Deposit Amount]]-Table33[[#This Row],[Account Withdrawl Amount]], )</f>
        <v>0</v>
      </c>
      <c r="K380" s="243">
        <f>IF(Table33[[#This Row],[Category]]="Additional Money Earning Activities",Table33[[#This Row],[Account Deposit Amount]]-Table33[[#This Row],[Account Withdrawl Amount]], )</f>
        <v>0</v>
      </c>
      <c r="L380" s="243">
        <f>IF(Table33[[#This Row],[Category]]="Sponsorships",Table33[[#This Row],[Account Deposit Amount]]-Table33[[#This Row],[Account Withdrawl Amount]], )</f>
        <v>0</v>
      </c>
      <c r="M380" s="243">
        <f>IF(Table33[[#This Row],[Category]]="Troop Dues",Table33[[#This Row],[Account Deposit Amount]]-Table33[[#This Row],[Account Withdrawl Amount]], )</f>
        <v>0</v>
      </c>
      <c r="N380" s="243">
        <f>IF(Table33[[#This Row],[Category]]="Other Income",Table33[[#This Row],[Account Deposit Amount]]-Table33[[#This Row],[Account Withdrawl Amount]], )</f>
        <v>0</v>
      </c>
      <c r="O380" s="243">
        <f>IF(Table33[[#This Row],[Category]]="Registration",Table33[[#This Row],[Account Deposit Amount]]-Table33[[#This Row],[Account Withdrawl Amount]], )</f>
        <v>0</v>
      </c>
      <c r="P380" s="243">
        <f>IF(Table33[[#This Row],[Category]]="Insignia",Table33[[#This Row],[Account Deposit Amount]]-Table33[[#This Row],[Account Withdrawl Amount]], )</f>
        <v>0</v>
      </c>
      <c r="Q380" s="243">
        <f>IF(Table33[[#This Row],[Category]]="Activities/Program",Table33[[#This Row],[Account Deposit Amount]]-Table33[[#This Row],[Account Withdrawl Amount]], )</f>
        <v>0</v>
      </c>
      <c r="R380" s="243">
        <f>IF(Table33[[#This Row],[Category]]="Travel",Table33[[#This Row],[Account Deposit Amount]]-Table33[[#This Row],[Account Withdrawl Amount]], )</f>
        <v>0</v>
      </c>
      <c r="S380" s="243">
        <f>IF(Table33[[#This Row],[Category]]="Parties Food &amp; Beverages",Table33[[#This Row],[Account Deposit Amount]]-Table33[[#This Row],[Account Withdrawl Amount]], )</f>
        <v>0</v>
      </c>
      <c r="T380" s="243">
        <f>IF(Table33[[#This Row],[Category]]="Service Projects Donation",Table33[[#This Row],[Account Deposit Amount]]-Table33[[#This Row],[Account Withdrawl Amount]], )</f>
        <v>0</v>
      </c>
      <c r="U380" s="243">
        <f>IF(Table33[[#This Row],[Category]]="Cookie Debt",Table33[[#This Row],[Account Deposit Amount]]-Table33[[#This Row],[Account Withdrawl Amount]], )</f>
        <v>0</v>
      </c>
      <c r="V380" s="243">
        <f>IF(Table33[[#This Row],[Category]]="Other Expense",Table33[[#This Row],[Account Deposit Amount]]-Table33[[#This Row],[Account Withdrawl Amount]], )</f>
        <v>0</v>
      </c>
    </row>
    <row r="381" spans="1:22">
      <c r="A381" s="225"/>
      <c r="B381" s="241"/>
      <c r="C381" s="225"/>
      <c r="D381" s="225"/>
      <c r="E381" s="242"/>
      <c r="F381" s="242"/>
      <c r="G381" s="243">
        <f t="shared" si="9"/>
        <v>0</v>
      </c>
      <c r="H381" s="225"/>
      <c r="I381" s="243">
        <f>IF(Table33[[#This Row],[Category]]="Fall Product",Table33[[#This Row],[Account Deposit Amount]]-Table33[[#This Row],[Account Withdrawl Amount]], )</f>
        <v>0</v>
      </c>
      <c r="J381" s="243">
        <f>IF(Table33[[#This Row],[Category]]="Cookies",Table33[[#This Row],[Account Deposit Amount]]-Table33[[#This Row],[Account Withdrawl Amount]], )</f>
        <v>0</v>
      </c>
      <c r="K381" s="243">
        <f>IF(Table33[[#This Row],[Category]]="Additional Money Earning Activities",Table33[[#This Row],[Account Deposit Amount]]-Table33[[#This Row],[Account Withdrawl Amount]], )</f>
        <v>0</v>
      </c>
      <c r="L381" s="243">
        <f>IF(Table33[[#This Row],[Category]]="Sponsorships",Table33[[#This Row],[Account Deposit Amount]]-Table33[[#This Row],[Account Withdrawl Amount]], )</f>
        <v>0</v>
      </c>
      <c r="M381" s="243">
        <f>IF(Table33[[#This Row],[Category]]="Troop Dues",Table33[[#This Row],[Account Deposit Amount]]-Table33[[#This Row],[Account Withdrawl Amount]], )</f>
        <v>0</v>
      </c>
      <c r="N381" s="243">
        <f>IF(Table33[[#This Row],[Category]]="Other Income",Table33[[#This Row],[Account Deposit Amount]]-Table33[[#This Row],[Account Withdrawl Amount]], )</f>
        <v>0</v>
      </c>
      <c r="O381" s="243">
        <f>IF(Table33[[#This Row],[Category]]="Registration",Table33[[#This Row],[Account Deposit Amount]]-Table33[[#This Row],[Account Withdrawl Amount]], )</f>
        <v>0</v>
      </c>
      <c r="P381" s="243">
        <f>IF(Table33[[#This Row],[Category]]="Insignia",Table33[[#This Row],[Account Deposit Amount]]-Table33[[#This Row],[Account Withdrawl Amount]], )</f>
        <v>0</v>
      </c>
      <c r="Q381" s="243">
        <f>IF(Table33[[#This Row],[Category]]="Activities/Program",Table33[[#This Row],[Account Deposit Amount]]-Table33[[#This Row],[Account Withdrawl Amount]], )</f>
        <v>0</v>
      </c>
      <c r="R381" s="243">
        <f>IF(Table33[[#This Row],[Category]]="Travel",Table33[[#This Row],[Account Deposit Amount]]-Table33[[#This Row],[Account Withdrawl Amount]], )</f>
        <v>0</v>
      </c>
      <c r="S381" s="243">
        <f>IF(Table33[[#This Row],[Category]]="Parties Food &amp; Beverages",Table33[[#This Row],[Account Deposit Amount]]-Table33[[#This Row],[Account Withdrawl Amount]], )</f>
        <v>0</v>
      </c>
      <c r="T381" s="243">
        <f>IF(Table33[[#This Row],[Category]]="Service Projects Donation",Table33[[#This Row],[Account Deposit Amount]]-Table33[[#This Row],[Account Withdrawl Amount]], )</f>
        <v>0</v>
      </c>
      <c r="U381" s="243">
        <f>IF(Table33[[#This Row],[Category]]="Cookie Debt",Table33[[#This Row],[Account Deposit Amount]]-Table33[[#This Row],[Account Withdrawl Amount]], )</f>
        <v>0</v>
      </c>
      <c r="V381" s="243">
        <f>IF(Table33[[#This Row],[Category]]="Other Expense",Table33[[#This Row],[Account Deposit Amount]]-Table33[[#This Row],[Account Withdrawl Amount]], )</f>
        <v>0</v>
      </c>
    </row>
    <row r="382" spans="1:22">
      <c r="A382" s="225"/>
      <c r="B382" s="241"/>
      <c r="C382" s="225"/>
      <c r="D382" s="225"/>
      <c r="E382" s="242"/>
      <c r="F382" s="242"/>
      <c r="G382" s="243">
        <f t="shared" si="9"/>
        <v>0</v>
      </c>
      <c r="H382" s="225"/>
      <c r="I382" s="243">
        <f>IF(Table33[[#This Row],[Category]]="Fall Product",Table33[[#This Row],[Account Deposit Amount]]-Table33[[#This Row],[Account Withdrawl Amount]], )</f>
        <v>0</v>
      </c>
      <c r="J382" s="243">
        <f>IF(Table33[[#This Row],[Category]]="Cookies",Table33[[#This Row],[Account Deposit Amount]]-Table33[[#This Row],[Account Withdrawl Amount]], )</f>
        <v>0</v>
      </c>
      <c r="K382" s="243">
        <f>IF(Table33[[#This Row],[Category]]="Additional Money Earning Activities",Table33[[#This Row],[Account Deposit Amount]]-Table33[[#This Row],[Account Withdrawl Amount]], )</f>
        <v>0</v>
      </c>
      <c r="L382" s="243">
        <f>IF(Table33[[#This Row],[Category]]="Sponsorships",Table33[[#This Row],[Account Deposit Amount]]-Table33[[#This Row],[Account Withdrawl Amount]], )</f>
        <v>0</v>
      </c>
      <c r="M382" s="243">
        <f>IF(Table33[[#This Row],[Category]]="Troop Dues",Table33[[#This Row],[Account Deposit Amount]]-Table33[[#This Row],[Account Withdrawl Amount]], )</f>
        <v>0</v>
      </c>
      <c r="N382" s="243">
        <f>IF(Table33[[#This Row],[Category]]="Other Income",Table33[[#This Row],[Account Deposit Amount]]-Table33[[#This Row],[Account Withdrawl Amount]], )</f>
        <v>0</v>
      </c>
      <c r="O382" s="243">
        <f>IF(Table33[[#This Row],[Category]]="Registration",Table33[[#This Row],[Account Deposit Amount]]-Table33[[#This Row],[Account Withdrawl Amount]], )</f>
        <v>0</v>
      </c>
      <c r="P382" s="243">
        <f>IF(Table33[[#This Row],[Category]]="Insignia",Table33[[#This Row],[Account Deposit Amount]]-Table33[[#This Row],[Account Withdrawl Amount]], )</f>
        <v>0</v>
      </c>
      <c r="Q382" s="243">
        <f>IF(Table33[[#This Row],[Category]]="Activities/Program",Table33[[#This Row],[Account Deposit Amount]]-Table33[[#This Row],[Account Withdrawl Amount]], )</f>
        <v>0</v>
      </c>
      <c r="R382" s="243">
        <f>IF(Table33[[#This Row],[Category]]="Travel",Table33[[#This Row],[Account Deposit Amount]]-Table33[[#This Row],[Account Withdrawl Amount]], )</f>
        <v>0</v>
      </c>
      <c r="S382" s="243">
        <f>IF(Table33[[#This Row],[Category]]="Parties Food &amp; Beverages",Table33[[#This Row],[Account Deposit Amount]]-Table33[[#This Row],[Account Withdrawl Amount]], )</f>
        <v>0</v>
      </c>
      <c r="T382" s="243">
        <f>IF(Table33[[#This Row],[Category]]="Service Projects Donation",Table33[[#This Row],[Account Deposit Amount]]-Table33[[#This Row],[Account Withdrawl Amount]], )</f>
        <v>0</v>
      </c>
      <c r="U382" s="243">
        <f>IF(Table33[[#This Row],[Category]]="Cookie Debt",Table33[[#This Row],[Account Deposit Amount]]-Table33[[#This Row],[Account Withdrawl Amount]], )</f>
        <v>0</v>
      </c>
      <c r="V382" s="243">
        <f>IF(Table33[[#This Row],[Category]]="Other Expense",Table33[[#This Row],[Account Deposit Amount]]-Table33[[#This Row],[Account Withdrawl Amount]], )</f>
        <v>0</v>
      </c>
    </row>
    <row r="383" spans="1:22">
      <c r="A383" s="225"/>
      <c r="B383" s="241"/>
      <c r="C383" s="225"/>
      <c r="D383" s="225"/>
      <c r="E383" s="242"/>
      <c r="F383" s="242"/>
      <c r="G383" s="243">
        <f t="shared" si="9"/>
        <v>0</v>
      </c>
      <c r="H383" s="225"/>
      <c r="I383" s="243">
        <f>IF(Table33[[#This Row],[Category]]="Fall Product",Table33[[#This Row],[Account Deposit Amount]]-Table33[[#This Row],[Account Withdrawl Amount]], )</f>
        <v>0</v>
      </c>
      <c r="J383" s="243">
        <f>IF(Table33[[#This Row],[Category]]="Cookies",Table33[[#This Row],[Account Deposit Amount]]-Table33[[#This Row],[Account Withdrawl Amount]], )</f>
        <v>0</v>
      </c>
      <c r="K383" s="243">
        <f>IF(Table33[[#This Row],[Category]]="Additional Money Earning Activities",Table33[[#This Row],[Account Deposit Amount]]-Table33[[#This Row],[Account Withdrawl Amount]], )</f>
        <v>0</v>
      </c>
      <c r="L383" s="243">
        <f>IF(Table33[[#This Row],[Category]]="Sponsorships",Table33[[#This Row],[Account Deposit Amount]]-Table33[[#This Row],[Account Withdrawl Amount]], )</f>
        <v>0</v>
      </c>
      <c r="M383" s="243">
        <f>IF(Table33[[#This Row],[Category]]="Troop Dues",Table33[[#This Row],[Account Deposit Amount]]-Table33[[#This Row],[Account Withdrawl Amount]], )</f>
        <v>0</v>
      </c>
      <c r="N383" s="243">
        <f>IF(Table33[[#This Row],[Category]]="Other Income",Table33[[#This Row],[Account Deposit Amount]]-Table33[[#This Row],[Account Withdrawl Amount]], )</f>
        <v>0</v>
      </c>
      <c r="O383" s="243">
        <f>IF(Table33[[#This Row],[Category]]="Registration",Table33[[#This Row],[Account Deposit Amount]]-Table33[[#This Row],[Account Withdrawl Amount]], )</f>
        <v>0</v>
      </c>
      <c r="P383" s="243">
        <f>IF(Table33[[#This Row],[Category]]="Insignia",Table33[[#This Row],[Account Deposit Amount]]-Table33[[#This Row],[Account Withdrawl Amount]], )</f>
        <v>0</v>
      </c>
      <c r="Q383" s="243">
        <f>IF(Table33[[#This Row],[Category]]="Activities/Program",Table33[[#This Row],[Account Deposit Amount]]-Table33[[#This Row],[Account Withdrawl Amount]], )</f>
        <v>0</v>
      </c>
      <c r="R383" s="243">
        <f>IF(Table33[[#This Row],[Category]]="Travel",Table33[[#This Row],[Account Deposit Amount]]-Table33[[#This Row],[Account Withdrawl Amount]], )</f>
        <v>0</v>
      </c>
      <c r="S383" s="243">
        <f>IF(Table33[[#This Row],[Category]]="Parties Food &amp; Beverages",Table33[[#This Row],[Account Deposit Amount]]-Table33[[#This Row],[Account Withdrawl Amount]], )</f>
        <v>0</v>
      </c>
      <c r="T383" s="243">
        <f>IF(Table33[[#This Row],[Category]]="Service Projects Donation",Table33[[#This Row],[Account Deposit Amount]]-Table33[[#This Row],[Account Withdrawl Amount]], )</f>
        <v>0</v>
      </c>
      <c r="U383" s="243">
        <f>IF(Table33[[#This Row],[Category]]="Cookie Debt",Table33[[#This Row],[Account Deposit Amount]]-Table33[[#This Row],[Account Withdrawl Amount]], )</f>
        <v>0</v>
      </c>
      <c r="V383" s="243">
        <f>IF(Table33[[#This Row],[Category]]="Other Expense",Table33[[#This Row],[Account Deposit Amount]]-Table33[[#This Row],[Account Withdrawl Amount]], )</f>
        <v>0</v>
      </c>
    </row>
    <row r="384" spans="1:22">
      <c r="A384" s="225"/>
      <c r="B384" s="241"/>
      <c r="C384" s="225"/>
      <c r="D384" s="225"/>
      <c r="E384" s="242"/>
      <c r="F384" s="242"/>
      <c r="G384" s="243">
        <f t="shared" si="9"/>
        <v>0</v>
      </c>
      <c r="H384" s="225"/>
      <c r="I384" s="243">
        <f>IF(Table33[[#This Row],[Category]]="Fall Product",Table33[[#This Row],[Account Deposit Amount]]-Table33[[#This Row],[Account Withdrawl Amount]], )</f>
        <v>0</v>
      </c>
      <c r="J384" s="243">
        <f>IF(Table33[[#This Row],[Category]]="Cookies",Table33[[#This Row],[Account Deposit Amount]]-Table33[[#This Row],[Account Withdrawl Amount]], )</f>
        <v>0</v>
      </c>
      <c r="K384" s="243">
        <f>IF(Table33[[#This Row],[Category]]="Additional Money Earning Activities",Table33[[#This Row],[Account Deposit Amount]]-Table33[[#This Row],[Account Withdrawl Amount]], )</f>
        <v>0</v>
      </c>
      <c r="L384" s="243">
        <f>IF(Table33[[#This Row],[Category]]="Sponsorships",Table33[[#This Row],[Account Deposit Amount]]-Table33[[#This Row],[Account Withdrawl Amount]], )</f>
        <v>0</v>
      </c>
      <c r="M384" s="243">
        <f>IF(Table33[[#This Row],[Category]]="Troop Dues",Table33[[#This Row],[Account Deposit Amount]]-Table33[[#This Row],[Account Withdrawl Amount]], )</f>
        <v>0</v>
      </c>
      <c r="N384" s="243">
        <f>IF(Table33[[#This Row],[Category]]="Other Income",Table33[[#This Row],[Account Deposit Amount]]-Table33[[#This Row],[Account Withdrawl Amount]], )</f>
        <v>0</v>
      </c>
      <c r="O384" s="243">
        <f>IF(Table33[[#This Row],[Category]]="Registration",Table33[[#This Row],[Account Deposit Amount]]-Table33[[#This Row],[Account Withdrawl Amount]], )</f>
        <v>0</v>
      </c>
      <c r="P384" s="243">
        <f>IF(Table33[[#This Row],[Category]]="Insignia",Table33[[#This Row],[Account Deposit Amount]]-Table33[[#This Row],[Account Withdrawl Amount]], )</f>
        <v>0</v>
      </c>
      <c r="Q384" s="243">
        <f>IF(Table33[[#This Row],[Category]]="Activities/Program",Table33[[#This Row],[Account Deposit Amount]]-Table33[[#This Row],[Account Withdrawl Amount]], )</f>
        <v>0</v>
      </c>
      <c r="R384" s="243">
        <f>IF(Table33[[#This Row],[Category]]="Travel",Table33[[#This Row],[Account Deposit Amount]]-Table33[[#This Row],[Account Withdrawl Amount]], )</f>
        <v>0</v>
      </c>
      <c r="S384" s="243">
        <f>IF(Table33[[#This Row],[Category]]="Parties Food &amp; Beverages",Table33[[#This Row],[Account Deposit Amount]]-Table33[[#This Row],[Account Withdrawl Amount]], )</f>
        <v>0</v>
      </c>
      <c r="T384" s="243">
        <f>IF(Table33[[#This Row],[Category]]="Service Projects Donation",Table33[[#This Row],[Account Deposit Amount]]-Table33[[#This Row],[Account Withdrawl Amount]], )</f>
        <v>0</v>
      </c>
      <c r="U384" s="243">
        <f>IF(Table33[[#This Row],[Category]]="Cookie Debt",Table33[[#This Row],[Account Deposit Amount]]-Table33[[#This Row],[Account Withdrawl Amount]], )</f>
        <v>0</v>
      </c>
      <c r="V384" s="243">
        <f>IF(Table33[[#This Row],[Category]]="Other Expense",Table33[[#This Row],[Account Deposit Amount]]-Table33[[#This Row],[Account Withdrawl Amount]], )</f>
        <v>0</v>
      </c>
    </row>
    <row r="385" spans="1:22">
      <c r="A385" s="225"/>
      <c r="B385" s="241"/>
      <c r="C385" s="225"/>
      <c r="D385" s="225"/>
      <c r="E385" s="242"/>
      <c r="F385" s="242"/>
      <c r="G385" s="243">
        <f t="shared" si="9"/>
        <v>0</v>
      </c>
      <c r="H385" s="225"/>
      <c r="I385" s="243">
        <f>IF(Table33[[#This Row],[Category]]="Fall Product",Table33[[#This Row],[Account Deposit Amount]]-Table33[[#This Row],[Account Withdrawl Amount]], )</f>
        <v>0</v>
      </c>
      <c r="J385" s="243">
        <f>IF(Table33[[#This Row],[Category]]="Cookies",Table33[[#This Row],[Account Deposit Amount]]-Table33[[#This Row],[Account Withdrawl Amount]], )</f>
        <v>0</v>
      </c>
      <c r="K385" s="243">
        <f>IF(Table33[[#This Row],[Category]]="Additional Money Earning Activities",Table33[[#This Row],[Account Deposit Amount]]-Table33[[#This Row],[Account Withdrawl Amount]], )</f>
        <v>0</v>
      </c>
      <c r="L385" s="243">
        <f>IF(Table33[[#This Row],[Category]]="Sponsorships",Table33[[#This Row],[Account Deposit Amount]]-Table33[[#This Row],[Account Withdrawl Amount]], )</f>
        <v>0</v>
      </c>
      <c r="M385" s="243">
        <f>IF(Table33[[#This Row],[Category]]="Troop Dues",Table33[[#This Row],[Account Deposit Amount]]-Table33[[#This Row],[Account Withdrawl Amount]], )</f>
        <v>0</v>
      </c>
      <c r="N385" s="243">
        <f>IF(Table33[[#This Row],[Category]]="Other Income",Table33[[#This Row],[Account Deposit Amount]]-Table33[[#This Row],[Account Withdrawl Amount]], )</f>
        <v>0</v>
      </c>
      <c r="O385" s="243">
        <f>IF(Table33[[#This Row],[Category]]="Registration",Table33[[#This Row],[Account Deposit Amount]]-Table33[[#This Row],[Account Withdrawl Amount]], )</f>
        <v>0</v>
      </c>
      <c r="P385" s="243">
        <f>IF(Table33[[#This Row],[Category]]="Insignia",Table33[[#This Row],[Account Deposit Amount]]-Table33[[#This Row],[Account Withdrawl Amount]], )</f>
        <v>0</v>
      </c>
      <c r="Q385" s="243">
        <f>IF(Table33[[#This Row],[Category]]="Activities/Program",Table33[[#This Row],[Account Deposit Amount]]-Table33[[#This Row],[Account Withdrawl Amount]], )</f>
        <v>0</v>
      </c>
      <c r="R385" s="243">
        <f>IF(Table33[[#This Row],[Category]]="Travel",Table33[[#This Row],[Account Deposit Amount]]-Table33[[#This Row],[Account Withdrawl Amount]], )</f>
        <v>0</v>
      </c>
      <c r="S385" s="243">
        <f>IF(Table33[[#This Row],[Category]]="Parties Food &amp; Beverages",Table33[[#This Row],[Account Deposit Amount]]-Table33[[#This Row],[Account Withdrawl Amount]], )</f>
        <v>0</v>
      </c>
      <c r="T385" s="243">
        <f>IF(Table33[[#This Row],[Category]]="Service Projects Donation",Table33[[#This Row],[Account Deposit Amount]]-Table33[[#This Row],[Account Withdrawl Amount]], )</f>
        <v>0</v>
      </c>
      <c r="U385" s="243">
        <f>IF(Table33[[#This Row],[Category]]="Cookie Debt",Table33[[#This Row],[Account Deposit Amount]]-Table33[[#This Row],[Account Withdrawl Amount]], )</f>
        <v>0</v>
      </c>
      <c r="V385" s="243">
        <f>IF(Table33[[#This Row],[Category]]="Other Expense",Table33[[#This Row],[Account Deposit Amount]]-Table33[[#This Row],[Account Withdrawl Amount]], )</f>
        <v>0</v>
      </c>
    </row>
    <row r="386" spans="1:22">
      <c r="A386" s="225"/>
      <c r="B386" s="241"/>
      <c r="C386" s="225"/>
      <c r="D386" s="225"/>
      <c r="E386" s="242"/>
      <c r="F386" s="242"/>
      <c r="G386" s="243">
        <f t="shared" si="9"/>
        <v>0</v>
      </c>
      <c r="H386" s="225"/>
      <c r="I386" s="243">
        <f>IF(Table33[[#This Row],[Category]]="Fall Product",Table33[[#This Row],[Account Deposit Amount]]-Table33[[#This Row],[Account Withdrawl Amount]], )</f>
        <v>0</v>
      </c>
      <c r="J386" s="243">
        <f>IF(Table33[[#This Row],[Category]]="Cookies",Table33[[#This Row],[Account Deposit Amount]]-Table33[[#This Row],[Account Withdrawl Amount]], )</f>
        <v>0</v>
      </c>
      <c r="K386" s="243">
        <f>IF(Table33[[#This Row],[Category]]="Additional Money Earning Activities",Table33[[#This Row],[Account Deposit Amount]]-Table33[[#This Row],[Account Withdrawl Amount]], )</f>
        <v>0</v>
      </c>
      <c r="L386" s="243">
        <f>IF(Table33[[#This Row],[Category]]="Sponsorships",Table33[[#This Row],[Account Deposit Amount]]-Table33[[#This Row],[Account Withdrawl Amount]], )</f>
        <v>0</v>
      </c>
      <c r="M386" s="243">
        <f>IF(Table33[[#This Row],[Category]]="Troop Dues",Table33[[#This Row],[Account Deposit Amount]]-Table33[[#This Row],[Account Withdrawl Amount]], )</f>
        <v>0</v>
      </c>
      <c r="N386" s="243">
        <f>IF(Table33[[#This Row],[Category]]="Other Income",Table33[[#This Row],[Account Deposit Amount]]-Table33[[#This Row],[Account Withdrawl Amount]], )</f>
        <v>0</v>
      </c>
      <c r="O386" s="243">
        <f>IF(Table33[[#This Row],[Category]]="Registration",Table33[[#This Row],[Account Deposit Amount]]-Table33[[#This Row],[Account Withdrawl Amount]], )</f>
        <v>0</v>
      </c>
      <c r="P386" s="243">
        <f>IF(Table33[[#This Row],[Category]]="Insignia",Table33[[#This Row],[Account Deposit Amount]]-Table33[[#This Row],[Account Withdrawl Amount]], )</f>
        <v>0</v>
      </c>
      <c r="Q386" s="243">
        <f>IF(Table33[[#This Row],[Category]]="Activities/Program",Table33[[#This Row],[Account Deposit Amount]]-Table33[[#This Row],[Account Withdrawl Amount]], )</f>
        <v>0</v>
      </c>
      <c r="R386" s="243">
        <f>IF(Table33[[#This Row],[Category]]="Travel",Table33[[#This Row],[Account Deposit Amount]]-Table33[[#This Row],[Account Withdrawl Amount]], )</f>
        <v>0</v>
      </c>
      <c r="S386" s="243">
        <f>IF(Table33[[#This Row],[Category]]="Parties Food &amp; Beverages",Table33[[#This Row],[Account Deposit Amount]]-Table33[[#This Row],[Account Withdrawl Amount]], )</f>
        <v>0</v>
      </c>
      <c r="T386" s="243">
        <f>IF(Table33[[#This Row],[Category]]="Service Projects Donation",Table33[[#This Row],[Account Deposit Amount]]-Table33[[#This Row],[Account Withdrawl Amount]], )</f>
        <v>0</v>
      </c>
      <c r="U386" s="243">
        <f>IF(Table33[[#This Row],[Category]]="Cookie Debt",Table33[[#This Row],[Account Deposit Amount]]-Table33[[#This Row],[Account Withdrawl Amount]], )</f>
        <v>0</v>
      </c>
      <c r="V386" s="243">
        <f>IF(Table33[[#This Row],[Category]]="Other Expense",Table33[[#This Row],[Account Deposit Amount]]-Table33[[#This Row],[Account Withdrawl Amount]], )</f>
        <v>0</v>
      </c>
    </row>
    <row r="387" spans="1:22">
      <c r="A387" s="225"/>
      <c r="B387" s="241"/>
      <c r="C387" s="225"/>
      <c r="D387" s="225"/>
      <c r="E387" s="242"/>
      <c r="F387" s="242"/>
      <c r="G387" s="243">
        <f t="shared" si="9"/>
        <v>0</v>
      </c>
      <c r="H387" s="225"/>
      <c r="I387" s="243">
        <f>IF(Table33[[#This Row],[Category]]="Fall Product",Table33[[#This Row],[Account Deposit Amount]]-Table33[[#This Row],[Account Withdrawl Amount]], )</f>
        <v>0</v>
      </c>
      <c r="J387" s="243">
        <f>IF(Table33[[#This Row],[Category]]="Cookies",Table33[[#This Row],[Account Deposit Amount]]-Table33[[#This Row],[Account Withdrawl Amount]], )</f>
        <v>0</v>
      </c>
      <c r="K387" s="243">
        <f>IF(Table33[[#This Row],[Category]]="Additional Money Earning Activities",Table33[[#This Row],[Account Deposit Amount]]-Table33[[#This Row],[Account Withdrawl Amount]], )</f>
        <v>0</v>
      </c>
      <c r="L387" s="243">
        <f>IF(Table33[[#This Row],[Category]]="Sponsorships",Table33[[#This Row],[Account Deposit Amount]]-Table33[[#This Row],[Account Withdrawl Amount]], )</f>
        <v>0</v>
      </c>
      <c r="M387" s="243">
        <f>IF(Table33[[#This Row],[Category]]="Troop Dues",Table33[[#This Row],[Account Deposit Amount]]-Table33[[#This Row],[Account Withdrawl Amount]], )</f>
        <v>0</v>
      </c>
      <c r="N387" s="243">
        <f>IF(Table33[[#This Row],[Category]]="Other Income",Table33[[#This Row],[Account Deposit Amount]]-Table33[[#This Row],[Account Withdrawl Amount]], )</f>
        <v>0</v>
      </c>
      <c r="O387" s="243">
        <f>IF(Table33[[#This Row],[Category]]="Registration",Table33[[#This Row],[Account Deposit Amount]]-Table33[[#This Row],[Account Withdrawl Amount]], )</f>
        <v>0</v>
      </c>
      <c r="P387" s="243">
        <f>IF(Table33[[#This Row],[Category]]="Insignia",Table33[[#This Row],[Account Deposit Amount]]-Table33[[#This Row],[Account Withdrawl Amount]], )</f>
        <v>0</v>
      </c>
      <c r="Q387" s="243">
        <f>IF(Table33[[#This Row],[Category]]="Activities/Program",Table33[[#This Row],[Account Deposit Amount]]-Table33[[#This Row],[Account Withdrawl Amount]], )</f>
        <v>0</v>
      </c>
      <c r="R387" s="243">
        <f>IF(Table33[[#This Row],[Category]]="Travel",Table33[[#This Row],[Account Deposit Amount]]-Table33[[#This Row],[Account Withdrawl Amount]], )</f>
        <v>0</v>
      </c>
      <c r="S387" s="243">
        <f>IF(Table33[[#This Row],[Category]]="Parties Food &amp; Beverages",Table33[[#This Row],[Account Deposit Amount]]-Table33[[#This Row],[Account Withdrawl Amount]], )</f>
        <v>0</v>
      </c>
      <c r="T387" s="243">
        <f>IF(Table33[[#This Row],[Category]]="Service Projects Donation",Table33[[#This Row],[Account Deposit Amount]]-Table33[[#This Row],[Account Withdrawl Amount]], )</f>
        <v>0</v>
      </c>
      <c r="U387" s="243">
        <f>IF(Table33[[#This Row],[Category]]="Cookie Debt",Table33[[#This Row],[Account Deposit Amount]]-Table33[[#This Row],[Account Withdrawl Amount]], )</f>
        <v>0</v>
      </c>
      <c r="V387" s="243">
        <f>IF(Table33[[#This Row],[Category]]="Other Expense",Table33[[#This Row],[Account Deposit Amount]]-Table33[[#This Row],[Account Withdrawl Amount]], )</f>
        <v>0</v>
      </c>
    </row>
    <row r="388" spans="1:22">
      <c r="A388" s="225"/>
      <c r="B388" s="241"/>
      <c r="C388" s="225"/>
      <c r="D388" s="225"/>
      <c r="E388" s="242"/>
      <c r="F388" s="242"/>
      <c r="G388" s="243">
        <f t="shared" si="9"/>
        <v>0</v>
      </c>
      <c r="H388" s="225"/>
      <c r="I388" s="243">
        <f>IF(Table33[[#This Row],[Category]]="Fall Product",Table33[[#This Row],[Account Deposit Amount]]-Table33[[#This Row],[Account Withdrawl Amount]], )</f>
        <v>0</v>
      </c>
      <c r="J388" s="243">
        <f>IF(Table33[[#This Row],[Category]]="Cookies",Table33[[#This Row],[Account Deposit Amount]]-Table33[[#This Row],[Account Withdrawl Amount]], )</f>
        <v>0</v>
      </c>
      <c r="K388" s="243">
        <f>IF(Table33[[#This Row],[Category]]="Additional Money Earning Activities",Table33[[#This Row],[Account Deposit Amount]]-Table33[[#This Row],[Account Withdrawl Amount]], )</f>
        <v>0</v>
      </c>
      <c r="L388" s="243">
        <f>IF(Table33[[#This Row],[Category]]="Sponsorships",Table33[[#This Row],[Account Deposit Amount]]-Table33[[#This Row],[Account Withdrawl Amount]], )</f>
        <v>0</v>
      </c>
      <c r="M388" s="243">
        <f>IF(Table33[[#This Row],[Category]]="Troop Dues",Table33[[#This Row],[Account Deposit Amount]]-Table33[[#This Row],[Account Withdrawl Amount]], )</f>
        <v>0</v>
      </c>
      <c r="N388" s="243">
        <f>IF(Table33[[#This Row],[Category]]="Other Income",Table33[[#This Row],[Account Deposit Amount]]-Table33[[#This Row],[Account Withdrawl Amount]], )</f>
        <v>0</v>
      </c>
      <c r="O388" s="243">
        <f>IF(Table33[[#This Row],[Category]]="Registration",Table33[[#This Row],[Account Deposit Amount]]-Table33[[#This Row],[Account Withdrawl Amount]], )</f>
        <v>0</v>
      </c>
      <c r="P388" s="243">
        <f>IF(Table33[[#This Row],[Category]]="Insignia",Table33[[#This Row],[Account Deposit Amount]]-Table33[[#This Row],[Account Withdrawl Amount]], )</f>
        <v>0</v>
      </c>
      <c r="Q388" s="243">
        <f>IF(Table33[[#This Row],[Category]]="Activities/Program",Table33[[#This Row],[Account Deposit Amount]]-Table33[[#This Row],[Account Withdrawl Amount]], )</f>
        <v>0</v>
      </c>
      <c r="R388" s="243">
        <f>IF(Table33[[#This Row],[Category]]="Travel",Table33[[#This Row],[Account Deposit Amount]]-Table33[[#This Row],[Account Withdrawl Amount]], )</f>
        <v>0</v>
      </c>
      <c r="S388" s="243">
        <f>IF(Table33[[#This Row],[Category]]="Parties Food &amp; Beverages",Table33[[#This Row],[Account Deposit Amount]]-Table33[[#This Row],[Account Withdrawl Amount]], )</f>
        <v>0</v>
      </c>
      <c r="T388" s="243">
        <f>IF(Table33[[#This Row],[Category]]="Service Projects Donation",Table33[[#This Row],[Account Deposit Amount]]-Table33[[#This Row],[Account Withdrawl Amount]], )</f>
        <v>0</v>
      </c>
      <c r="U388" s="243">
        <f>IF(Table33[[#This Row],[Category]]="Cookie Debt",Table33[[#This Row],[Account Deposit Amount]]-Table33[[#This Row],[Account Withdrawl Amount]], )</f>
        <v>0</v>
      </c>
      <c r="V388" s="243">
        <f>IF(Table33[[#This Row],[Category]]="Other Expense",Table33[[#This Row],[Account Deposit Amount]]-Table33[[#This Row],[Account Withdrawl Amount]], )</f>
        <v>0</v>
      </c>
    </row>
    <row r="389" spans="1:22">
      <c r="A389" s="225"/>
      <c r="B389" s="241"/>
      <c r="C389" s="225"/>
      <c r="D389" s="225"/>
      <c r="E389" s="242"/>
      <c r="F389" s="242"/>
      <c r="G389" s="243">
        <f t="shared" si="9"/>
        <v>0</v>
      </c>
      <c r="H389" s="225"/>
      <c r="I389" s="243">
        <f>IF(Table33[[#This Row],[Category]]="Fall Product",Table33[[#This Row],[Account Deposit Amount]]-Table33[[#This Row],[Account Withdrawl Amount]], )</f>
        <v>0</v>
      </c>
      <c r="J389" s="243">
        <f>IF(Table33[[#This Row],[Category]]="Cookies",Table33[[#This Row],[Account Deposit Amount]]-Table33[[#This Row],[Account Withdrawl Amount]], )</f>
        <v>0</v>
      </c>
      <c r="K389" s="243">
        <f>IF(Table33[[#This Row],[Category]]="Additional Money Earning Activities",Table33[[#This Row],[Account Deposit Amount]]-Table33[[#This Row],[Account Withdrawl Amount]], )</f>
        <v>0</v>
      </c>
      <c r="L389" s="243">
        <f>IF(Table33[[#This Row],[Category]]="Sponsorships",Table33[[#This Row],[Account Deposit Amount]]-Table33[[#This Row],[Account Withdrawl Amount]], )</f>
        <v>0</v>
      </c>
      <c r="M389" s="243">
        <f>IF(Table33[[#This Row],[Category]]="Troop Dues",Table33[[#This Row],[Account Deposit Amount]]-Table33[[#This Row],[Account Withdrawl Amount]], )</f>
        <v>0</v>
      </c>
      <c r="N389" s="243">
        <f>IF(Table33[[#This Row],[Category]]="Other Income",Table33[[#This Row],[Account Deposit Amount]]-Table33[[#This Row],[Account Withdrawl Amount]], )</f>
        <v>0</v>
      </c>
      <c r="O389" s="243">
        <f>IF(Table33[[#This Row],[Category]]="Registration",Table33[[#This Row],[Account Deposit Amount]]-Table33[[#This Row],[Account Withdrawl Amount]], )</f>
        <v>0</v>
      </c>
      <c r="P389" s="243">
        <f>IF(Table33[[#This Row],[Category]]="Insignia",Table33[[#This Row],[Account Deposit Amount]]-Table33[[#This Row],[Account Withdrawl Amount]], )</f>
        <v>0</v>
      </c>
      <c r="Q389" s="243">
        <f>IF(Table33[[#This Row],[Category]]="Activities/Program",Table33[[#This Row],[Account Deposit Amount]]-Table33[[#This Row],[Account Withdrawl Amount]], )</f>
        <v>0</v>
      </c>
      <c r="R389" s="243">
        <f>IF(Table33[[#This Row],[Category]]="Travel",Table33[[#This Row],[Account Deposit Amount]]-Table33[[#This Row],[Account Withdrawl Amount]], )</f>
        <v>0</v>
      </c>
      <c r="S389" s="243">
        <f>IF(Table33[[#This Row],[Category]]="Parties Food &amp; Beverages",Table33[[#This Row],[Account Deposit Amount]]-Table33[[#This Row],[Account Withdrawl Amount]], )</f>
        <v>0</v>
      </c>
      <c r="T389" s="243">
        <f>IF(Table33[[#This Row],[Category]]="Service Projects Donation",Table33[[#This Row],[Account Deposit Amount]]-Table33[[#This Row],[Account Withdrawl Amount]], )</f>
        <v>0</v>
      </c>
      <c r="U389" s="243">
        <f>IF(Table33[[#This Row],[Category]]="Cookie Debt",Table33[[#This Row],[Account Deposit Amount]]-Table33[[#This Row],[Account Withdrawl Amount]], )</f>
        <v>0</v>
      </c>
      <c r="V389" s="243">
        <f>IF(Table33[[#This Row],[Category]]="Other Expense",Table33[[#This Row],[Account Deposit Amount]]-Table33[[#This Row],[Account Withdrawl Amount]], )</f>
        <v>0</v>
      </c>
    </row>
    <row r="390" spans="1:22">
      <c r="A390" s="225"/>
      <c r="B390" s="241"/>
      <c r="C390" s="225"/>
      <c r="D390" s="225"/>
      <c r="E390" s="242"/>
      <c r="F390" s="242"/>
      <c r="G390" s="243">
        <f t="shared" si="9"/>
        <v>0</v>
      </c>
      <c r="H390" s="225"/>
      <c r="I390" s="243">
        <f>IF(Table33[[#This Row],[Category]]="Fall Product",Table33[[#This Row],[Account Deposit Amount]]-Table33[[#This Row],[Account Withdrawl Amount]], )</f>
        <v>0</v>
      </c>
      <c r="J390" s="243">
        <f>IF(Table33[[#This Row],[Category]]="Cookies",Table33[[#This Row],[Account Deposit Amount]]-Table33[[#This Row],[Account Withdrawl Amount]], )</f>
        <v>0</v>
      </c>
      <c r="K390" s="243">
        <f>IF(Table33[[#This Row],[Category]]="Additional Money Earning Activities",Table33[[#This Row],[Account Deposit Amount]]-Table33[[#This Row],[Account Withdrawl Amount]], )</f>
        <v>0</v>
      </c>
      <c r="L390" s="243">
        <f>IF(Table33[[#This Row],[Category]]="Sponsorships",Table33[[#This Row],[Account Deposit Amount]]-Table33[[#This Row],[Account Withdrawl Amount]], )</f>
        <v>0</v>
      </c>
      <c r="M390" s="243">
        <f>IF(Table33[[#This Row],[Category]]="Troop Dues",Table33[[#This Row],[Account Deposit Amount]]-Table33[[#This Row],[Account Withdrawl Amount]], )</f>
        <v>0</v>
      </c>
      <c r="N390" s="243">
        <f>IF(Table33[[#This Row],[Category]]="Other Income",Table33[[#This Row],[Account Deposit Amount]]-Table33[[#This Row],[Account Withdrawl Amount]], )</f>
        <v>0</v>
      </c>
      <c r="O390" s="243">
        <f>IF(Table33[[#This Row],[Category]]="Registration",Table33[[#This Row],[Account Deposit Amount]]-Table33[[#This Row],[Account Withdrawl Amount]], )</f>
        <v>0</v>
      </c>
      <c r="P390" s="243">
        <f>IF(Table33[[#This Row],[Category]]="Insignia",Table33[[#This Row],[Account Deposit Amount]]-Table33[[#This Row],[Account Withdrawl Amount]], )</f>
        <v>0</v>
      </c>
      <c r="Q390" s="243">
        <f>IF(Table33[[#This Row],[Category]]="Activities/Program",Table33[[#This Row],[Account Deposit Amount]]-Table33[[#This Row],[Account Withdrawl Amount]], )</f>
        <v>0</v>
      </c>
      <c r="R390" s="243">
        <f>IF(Table33[[#This Row],[Category]]="Travel",Table33[[#This Row],[Account Deposit Amount]]-Table33[[#This Row],[Account Withdrawl Amount]], )</f>
        <v>0</v>
      </c>
      <c r="S390" s="243">
        <f>IF(Table33[[#This Row],[Category]]="Parties Food &amp; Beverages",Table33[[#This Row],[Account Deposit Amount]]-Table33[[#This Row],[Account Withdrawl Amount]], )</f>
        <v>0</v>
      </c>
      <c r="T390" s="243">
        <f>IF(Table33[[#This Row],[Category]]="Service Projects Donation",Table33[[#This Row],[Account Deposit Amount]]-Table33[[#This Row],[Account Withdrawl Amount]], )</f>
        <v>0</v>
      </c>
      <c r="U390" s="243">
        <f>IF(Table33[[#This Row],[Category]]="Cookie Debt",Table33[[#This Row],[Account Deposit Amount]]-Table33[[#This Row],[Account Withdrawl Amount]], )</f>
        <v>0</v>
      </c>
      <c r="V390" s="243">
        <f>IF(Table33[[#This Row],[Category]]="Other Expense",Table33[[#This Row],[Account Deposit Amount]]-Table33[[#This Row],[Account Withdrawl Amount]], )</f>
        <v>0</v>
      </c>
    </row>
    <row r="391" spans="1:22">
      <c r="A391" s="225"/>
      <c r="B391" s="241"/>
      <c r="C391" s="225"/>
      <c r="D391" s="225"/>
      <c r="E391" s="242"/>
      <c r="F391" s="242"/>
      <c r="G391" s="243">
        <f t="shared" si="9"/>
        <v>0</v>
      </c>
      <c r="H391" s="225"/>
      <c r="I391" s="243">
        <f>IF(Table33[[#This Row],[Category]]="Fall Product",Table33[[#This Row],[Account Deposit Amount]]-Table33[[#This Row],[Account Withdrawl Amount]], )</f>
        <v>0</v>
      </c>
      <c r="J391" s="243">
        <f>IF(Table33[[#This Row],[Category]]="Cookies",Table33[[#This Row],[Account Deposit Amount]]-Table33[[#This Row],[Account Withdrawl Amount]], )</f>
        <v>0</v>
      </c>
      <c r="K391" s="243">
        <f>IF(Table33[[#This Row],[Category]]="Additional Money Earning Activities",Table33[[#This Row],[Account Deposit Amount]]-Table33[[#This Row],[Account Withdrawl Amount]], )</f>
        <v>0</v>
      </c>
      <c r="L391" s="243">
        <f>IF(Table33[[#This Row],[Category]]="Sponsorships",Table33[[#This Row],[Account Deposit Amount]]-Table33[[#This Row],[Account Withdrawl Amount]], )</f>
        <v>0</v>
      </c>
      <c r="M391" s="243">
        <f>IF(Table33[[#This Row],[Category]]="Troop Dues",Table33[[#This Row],[Account Deposit Amount]]-Table33[[#This Row],[Account Withdrawl Amount]], )</f>
        <v>0</v>
      </c>
      <c r="N391" s="243">
        <f>IF(Table33[[#This Row],[Category]]="Other Income",Table33[[#This Row],[Account Deposit Amount]]-Table33[[#This Row],[Account Withdrawl Amount]], )</f>
        <v>0</v>
      </c>
      <c r="O391" s="243">
        <f>IF(Table33[[#This Row],[Category]]="Registration",Table33[[#This Row],[Account Deposit Amount]]-Table33[[#This Row],[Account Withdrawl Amount]], )</f>
        <v>0</v>
      </c>
      <c r="P391" s="243">
        <f>IF(Table33[[#This Row],[Category]]="Insignia",Table33[[#This Row],[Account Deposit Amount]]-Table33[[#This Row],[Account Withdrawl Amount]], )</f>
        <v>0</v>
      </c>
      <c r="Q391" s="243">
        <f>IF(Table33[[#This Row],[Category]]="Activities/Program",Table33[[#This Row],[Account Deposit Amount]]-Table33[[#This Row],[Account Withdrawl Amount]], )</f>
        <v>0</v>
      </c>
      <c r="R391" s="243">
        <f>IF(Table33[[#This Row],[Category]]="Travel",Table33[[#This Row],[Account Deposit Amount]]-Table33[[#This Row],[Account Withdrawl Amount]], )</f>
        <v>0</v>
      </c>
      <c r="S391" s="243">
        <f>IF(Table33[[#This Row],[Category]]="Parties Food &amp; Beverages",Table33[[#This Row],[Account Deposit Amount]]-Table33[[#This Row],[Account Withdrawl Amount]], )</f>
        <v>0</v>
      </c>
      <c r="T391" s="243">
        <f>IF(Table33[[#This Row],[Category]]="Service Projects Donation",Table33[[#This Row],[Account Deposit Amount]]-Table33[[#This Row],[Account Withdrawl Amount]], )</f>
        <v>0</v>
      </c>
      <c r="U391" s="243">
        <f>IF(Table33[[#This Row],[Category]]="Cookie Debt",Table33[[#This Row],[Account Deposit Amount]]-Table33[[#This Row],[Account Withdrawl Amount]], )</f>
        <v>0</v>
      </c>
      <c r="V391" s="243">
        <f>IF(Table33[[#This Row],[Category]]="Other Expense",Table33[[#This Row],[Account Deposit Amount]]-Table33[[#This Row],[Account Withdrawl Amount]], )</f>
        <v>0</v>
      </c>
    </row>
    <row r="392" spans="1:22">
      <c r="A392" s="225"/>
      <c r="B392" s="241"/>
      <c r="C392" s="225"/>
      <c r="D392" s="225"/>
      <c r="E392" s="242"/>
      <c r="F392" s="242"/>
      <c r="G392" s="243">
        <f t="shared" si="9"/>
        <v>0</v>
      </c>
      <c r="H392" s="225"/>
      <c r="I392" s="243">
        <f>IF(Table33[[#This Row],[Category]]="Fall Product",Table33[[#This Row],[Account Deposit Amount]]-Table33[[#This Row],[Account Withdrawl Amount]], )</f>
        <v>0</v>
      </c>
      <c r="J392" s="243">
        <f>IF(Table33[[#This Row],[Category]]="Cookies",Table33[[#This Row],[Account Deposit Amount]]-Table33[[#This Row],[Account Withdrawl Amount]], )</f>
        <v>0</v>
      </c>
      <c r="K392" s="243">
        <f>IF(Table33[[#This Row],[Category]]="Additional Money Earning Activities",Table33[[#This Row],[Account Deposit Amount]]-Table33[[#This Row],[Account Withdrawl Amount]], )</f>
        <v>0</v>
      </c>
      <c r="L392" s="243">
        <f>IF(Table33[[#This Row],[Category]]="Sponsorships",Table33[[#This Row],[Account Deposit Amount]]-Table33[[#This Row],[Account Withdrawl Amount]], )</f>
        <v>0</v>
      </c>
      <c r="M392" s="243">
        <f>IF(Table33[[#This Row],[Category]]="Troop Dues",Table33[[#This Row],[Account Deposit Amount]]-Table33[[#This Row],[Account Withdrawl Amount]], )</f>
        <v>0</v>
      </c>
      <c r="N392" s="243">
        <f>IF(Table33[[#This Row],[Category]]="Other Income",Table33[[#This Row],[Account Deposit Amount]]-Table33[[#This Row],[Account Withdrawl Amount]], )</f>
        <v>0</v>
      </c>
      <c r="O392" s="243">
        <f>IF(Table33[[#This Row],[Category]]="Registration",Table33[[#This Row],[Account Deposit Amount]]-Table33[[#This Row],[Account Withdrawl Amount]], )</f>
        <v>0</v>
      </c>
      <c r="P392" s="243">
        <f>IF(Table33[[#This Row],[Category]]="Insignia",Table33[[#This Row],[Account Deposit Amount]]-Table33[[#This Row],[Account Withdrawl Amount]], )</f>
        <v>0</v>
      </c>
      <c r="Q392" s="243">
        <f>IF(Table33[[#This Row],[Category]]="Activities/Program",Table33[[#This Row],[Account Deposit Amount]]-Table33[[#This Row],[Account Withdrawl Amount]], )</f>
        <v>0</v>
      </c>
      <c r="R392" s="243">
        <f>IF(Table33[[#This Row],[Category]]="Travel",Table33[[#This Row],[Account Deposit Amount]]-Table33[[#This Row],[Account Withdrawl Amount]], )</f>
        <v>0</v>
      </c>
      <c r="S392" s="243">
        <f>IF(Table33[[#This Row],[Category]]="Parties Food &amp; Beverages",Table33[[#This Row],[Account Deposit Amount]]-Table33[[#This Row],[Account Withdrawl Amount]], )</f>
        <v>0</v>
      </c>
      <c r="T392" s="243">
        <f>IF(Table33[[#This Row],[Category]]="Service Projects Donation",Table33[[#This Row],[Account Deposit Amount]]-Table33[[#This Row],[Account Withdrawl Amount]], )</f>
        <v>0</v>
      </c>
      <c r="U392" s="243">
        <f>IF(Table33[[#This Row],[Category]]="Cookie Debt",Table33[[#This Row],[Account Deposit Amount]]-Table33[[#This Row],[Account Withdrawl Amount]], )</f>
        <v>0</v>
      </c>
      <c r="V392" s="243">
        <f>IF(Table33[[#This Row],[Category]]="Other Expense",Table33[[#This Row],[Account Deposit Amount]]-Table33[[#This Row],[Account Withdrawl Amount]], )</f>
        <v>0</v>
      </c>
    </row>
    <row r="393" spans="1:22">
      <c r="A393" s="225"/>
      <c r="B393" s="241"/>
      <c r="C393" s="225"/>
      <c r="D393" s="225"/>
      <c r="E393" s="242"/>
      <c r="F393" s="242"/>
      <c r="G393" s="243">
        <f t="shared" si="9"/>
        <v>0</v>
      </c>
      <c r="H393" s="225"/>
      <c r="I393" s="243">
        <f>IF(Table33[[#This Row],[Category]]="Fall Product",Table33[[#This Row],[Account Deposit Amount]]-Table33[[#This Row],[Account Withdrawl Amount]], )</f>
        <v>0</v>
      </c>
      <c r="J393" s="243">
        <f>IF(Table33[[#This Row],[Category]]="Cookies",Table33[[#This Row],[Account Deposit Amount]]-Table33[[#This Row],[Account Withdrawl Amount]], )</f>
        <v>0</v>
      </c>
      <c r="K393" s="243">
        <f>IF(Table33[[#This Row],[Category]]="Additional Money Earning Activities",Table33[[#This Row],[Account Deposit Amount]]-Table33[[#This Row],[Account Withdrawl Amount]], )</f>
        <v>0</v>
      </c>
      <c r="L393" s="243">
        <f>IF(Table33[[#This Row],[Category]]="Sponsorships",Table33[[#This Row],[Account Deposit Amount]]-Table33[[#This Row],[Account Withdrawl Amount]], )</f>
        <v>0</v>
      </c>
      <c r="M393" s="243">
        <f>IF(Table33[[#This Row],[Category]]="Troop Dues",Table33[[#This Row],[Account Deposit Amount]]-Table33[[#This Row],[Account Withdrawl Amount]], )</f>
        <v>0</v>
      </c>
      <c r="N393" s="243">
        <f>IF(Table33[[#This Row],[Category]]="Other Income",Table33[[#This Row],[Account Deposit Amount]]-Table33[[#This Row],[Account Withdrawl Amount]], )</f>
        <v>0</v>
      </c>
      <c r="O393" s="243">
        <f>IF(Table33[[#This Row],[Category]]="Registration",Table33[[#This Row],[Account Deposit Amount]]-Table33[[#This Row],[Account Withdrawl Amount]], )</f>
        <v>0</v>
      </c>
      <c r="P393" s="243">
        <f>IF(Table33[[#This Row],[Category]]="Insignia",Table33[[#This Row],[Account Deposit Amount]]-Table33[[#This Row],[Account Withdrawl Amount]], )</f>
        <v>0</v>
      </c>
      <c r="Q393" s="243">
        <f>IF(Table33[[#This Row],[Category]]="Activities/Program",Table33[[#This Row],[Account Deposit Amount]]-Table33[[#This Row],[Account Withdrawl Amount]], )</f>
        <v>0</v>
      </c>
      <c r="R393" s="243">
        <f>IF(Table33[[#This Row],[Category]]="Travel",Table33[[#This Row],[Account Deposit Amount]]-Table33[[#This Row],[Account Withdrawl Amount]], )</f>
        <v>0</v>
      </c>
      <c r="S393" s="243">
        <f>IF(Table33[[#This Row],[Category]]="Parties Food &amp; Beverages",Table33[[#This Row],[Account Deposit Amount]]-Table33[[#This Row],[Account Withdrawl Amount]], )</f>
        <v>0</v>
      </c>
      <c r="T393" s="243">
        <f>IF(Table33[[#This Row],[Category]]="Service Projects Donation",Table33[[#This Row],[Account Deposit Amount]]-Table33[[#This Row],[Account Withdrawl Amount]], )</f>
        <v>0</v>
      </c>
      <c r="U393" s="243">
        <f>IF(Table33[[#This Row],[Category]]="Cookie Debt",Table33[[#This Row],[Account Deposit Amount]]-Table33[[#This Row],[Account Withdrawl Amount]], )</f>
        <v>0</v>
      </c>
      <c r="V393" s="243">
        <f>IF(Table33[[#This Row],[Category]]="Other Expense",Table33[[#This Row],[Account Deposit Amount]]-Table33[[#This Row],[Account Withdrawl Amount]], )</f>
        <v>0</v>
      </c>
    </row>
    <row r="394" spans="1:22">
      <c r="A394" s="225"/>
      <c r="B394" s="241"/>
      <c r="C394" s="225"/>
      <c r="D394" s="225"/>
      <c r="E394" s="242"/>
      <c r="F394" s="242"/>
      <c r="G394" s="243">
        <f t="shared" si="9"/>
        <v>0</v>
      </c>
      <c r="H394" s="225"/>
      <c r="I394" s="243">
        <f>IF(Table33[[#This Row],[Category]]="Fall Product",Table33[[#This Row],[Account Deposit Amount]]-Table33[[#This Row],[Account Withdrawl Amount]], )</f>
        <v>0</v>
      </c>
      <c r="J394" s="243">
        <f>IF(Table33[[#This Row],[Category]]="Cookies",Table33[[#This Row],[Account Deposit Amount]]-Table33[[#This Row],[Account Withdrawl Amount]], )</f>
        <v>0</v>
      </c>
      <c r="K394" s="243">
        <f>IF(Table33[[#This Row],[Category]]="Additional Money Earning Activities",Table33[[#This Row],[Account Deposit Amount]]-Table33[[#This Row],[Account Withdrawl Amount]], )</f>
        <v>0</v>
      </c>
      <c r="L394" s="243">
        <f>IF(Table33[[#This Row],[Category]]="Sponsorships",Table33[[#This Row],[Account Deposit Amount]]-Table33[[#This Row],[Account Withdrawl Amount]], )</f>
        <v>0</v>
      </c>
      <c r="M394" s="243">
        <f>IF(Table33[[#This Row],[Category]]="Troop Dues",Table33[[#This Row],[Account Deposit Amount]]-Table33[[#This Row],[Account Withdrawl Amount]], )</f>
        <v>0</v>
      </c>
      <c r="N394" s="243">
        <f>IF(Table33[[#This Row],[Category]]="Other Income",Table33[[#This Row],[Account Deposit Amount]]-Table33[[#This Row],[Account Withdrawl Amount]], )</f>
        <v>0</v>
      </c>
      <c r="O394" s="243">
        <f>IF(Table33[[#This Row],[Category]]="Registration",Table33[[#This Row],[Account Deposit Amount]]-Table33[[#This Row],[Account Withdrawl Amount]], )</f>
        <v>0</v>
      </c>
      <c r="P394" s="243">
        <f>IF(Table33[[#This Row],[Category]]="Insignia",Table33[[#This Row],[Account Deposit Amount]]-Table33[[#This Row],[Account Withdrawl Amount]], )</f>
        <v>0</v>
      </c>
      <c r="Q394" s="243">
        <f>IF(Table33[[#This Row],[Category]]="Activities/Program",Table33[[#This Row],[Account Deposit Amount]]-Table33[[#This Row],[Account Withdrawl Amount]], )</f>
        <v>0</v>
      </c>
      <c r="R394" s="243">
        <f>IF(Table33[[#This Row],[Category]]="Travel",Table33[[#This Row],[Account Deposit Amount]]-Table33[[#This Row],[Account Withdrawl Amount]], )</f>
        <v>0</v>
      </c>
      <c r="S394" s="243">
        <f>IF(Table33[[#This Row],[Category]]="Parties Food &amp; Beverages",Table33[[#This Row],[Account Deposit Amount]]-Table33[[#This Row],[Account Withdrawl Amount]], )</f>
        <v>0</v>
      </c>
      <c r="T394" s="243">
        <f>IF(Table33[[#This Row],[Category]]="Service Projects Donation",Table33[[#This Row],[Account Deposit Amount]]-Table33[[#This Row],[Account Withdrawl Amount]], )</f>
        <v>0</v>
      </c>
      <c r="U394" s="243">
        <f>IF(Table33[[#This Row],[Category]]="Cookie Debt",Table33[[#This Row],[Account Deposit Amount]]-Table33[[#This Row],[Account Withdrawl Amount]], )</f>
        <v>0</v>
      </c>
      <c r="V394" s="243">
        <f>IF(Table33[[#This Row],[Category]]="Other Expense",Table33[[#This Row],[Account Deposit Amount]]-Table33[[#This Row],[Account Withdrawl Amount]], )</f>
        <v>0</v>
      </c>
    </row>
    <row r="395" spans="1:22">
      <c r="A395" s="225"/>
      <c r="B395" s="241"/>
      <c r="C395" s="225"/>
      <c r="D395" s="225"/>
      <c r="E395" s="242"/>
      <c r="F395" s="242"/>
      <c r="G395" s="243">
        <f t="shared" si="9"/>
        <v>0</v>
      </c>
      <c r="H395" s="225"/>
      <c r="I395" s="243">
        <f>IF(Table33[[#This Row],[Category]]="Fall Product",Table33[[#This Row],[Account Deposit Amount]]-Table33[[#This Row],[Account Withdrawl Amount]], )</f>
        <v>0</v>
      </c>
      <c r="J395" s="243">
        <f>IF(Table33[[#This Row],[Category]]="Cookies",Table33[[#This Row],[Account Deposit Amount]]-Table33[[#This Row],[Account Withdrawl Amount]], )</f>
        <v>0</v>
      </c>
      <c r="K395" s="243">
        <f>IF(Table33[[#This Row],[Category]]="Additional Money Earning Activities",Table33[[#This Row],[Account Deposit Amount]]-Table33[[#This Row],[Account Withdrawl Amount]], )</f>
        <v>0</v>
      </c>
      <c r="L395" s="243">
        <f>IF(Table33[[#This Row],[Category]]="Sponsorships",Table33[[#This Row],[Account Deposit Amount]]-Table33[[#This Row],[Account Withdrawl Amount]], )</f>
        <v>0</v>
      </c>
      <c r="M395" s="243">
        <f>IF(Table33[[#This Row],[Category]]="Troop Dues",Table33[[#This Row],[Account Deposit Amount]]-Table33[[#This Row],[Account Withdrawl Amount]], )</f>
        <v>0</v>
      </c>
      <c r="N395" s="243">
        <f>IF(Table33[[#This Row],[Category]]="Other Income",Table33[[#This Row],[Account Deposit Amount]]-Table33[[#This Row],[Account Withdrawl Amount]], )</f>
        <v>0</v>
      </c>
      <c r="O395" s="243">
        <f>IF(Table33[[#This Row],[Category]]="Registration",Table33[[#This Row],[Account Deposit Amount]]-Table33[[#This Row],[Account Withdrawl Amount]], )</f>
        <v>0</v>
      </c>
      <c r="P395" s="243">
        <f>IF(Table33[[#This Row],[Category]]="Insignia",Table33[[#This Row],[Account Deposit Amount]]-Table33[[#This Row],[Account Withdrawl Amount]], )</f>
        <v>0</v>
      </c>
      <c r="Q395" s="243">
        <f>IF(Table33[[#This Row],[Category]]="Activities/Program",Table33[[#This Row],[Account Deposit Amount]]-Table33[[#This Row],[Account Withdrawl Amount]], )</f>
        <v>0</v>
      </c>
      <c r="R395" s="243">
        <f>IF(Table33[[#This Row],[Category]]="Travel",Table33[[#This Row],[Account Deposit Amount]]-Table33[[#This Row],[Account Withdrawl Amount]], )</f>
        <v>0</v>
      </c>
      <c r="S395" s="243">
        <f>IF(Table33[[#This Row],[Category]]="Parties Food &amp; Beverages",Table33[[#This Row],[Account Deposit Amount]]-Table33[[#This Row],[Account Withdrawl Amount]], )</f>
        <v>0</v>
      </c>
      <c r="T395" s="243">
        <f>IF(Table33[[#This Row],[Category]]="Service Projects Donation",Table33[[#This Row],[Account Deposit Amount]]-Table33[[#This Row],[Account Withdrawl Amount]], )</f>
        <v>0</v>
      </c>
      <c r="U395" s="243">
        <f>IF(Table33[[#This Row],[Category]]="Cookie Debt",Table33[[#This Row],[Account Deposit Amount]]-Table33[[#This Row],[Account Withdrawl Amount]], )</f>
        <v>0</v>
      </c>
      <c r="V395" s="243">
        <f>IF(Table33[[#This Row],[Category]]="Other Expense",Table33[[#This Row],[Account Deposit Amount]]-Table33[[#This Row],[Account Withdrawl Amount]], )</f>
        <v>0</v>
      </c>
    </row>
    <row r="396" spans="1:22">
      <c r="A396" s="225"/>
      <c r="B396" s="241"/>
      <c r="C396" s="225"/>
      <c r="D396" s="225"/>
      <c r="E396" s="242"/>
      <c r="F396" s="242"/>
      <c r="G396" s="243">
        <f t="shared" si="9"/>
        <v>0</v>
      </c>
      <c r="H396" s="225"/>
      <c r="I396" s="243">
        <f>IF(Table33[[#This Row],[Category]]="Fall Product",Table33[[#This Row],[Account Deposit Amount]]-Table33[[#This Row],[Account Withdrawl Amount]], )</f>
        <v>0</v>
      </c>
      <c r="J396" s="243">
        <f>IF(Table33[[#This Row],[Category]]="Cookies",Table33[[#This Row],[Account Deposit Amount]]-Table33[[#This Row],[Account Withdrawl Amount]], )</f>
        <v>0</v>
      </c>
      <c r="K396" s="243">
        <f>IF(Table33[[#This Row],[Category]]="Additional Money Earning Activities",Table33[[#This Row],[Account Deposit Amount]]-Table33[[#This Row],[Account Withdrawl Amount]], )</f>
        <v>0</v>
      </c>
      <c r="L396" s="243">
        <f>IF(Table33[[#This Row],[Category]]="Sponsorships",Table33[[#This Row],[Account Deposit Amount]]-Table33[[#This Row],[Account Withdrawl Amount]], )</f>
        <v>0</v>
      </c>
      <c r="M396" s="243">
        <f>IF(Table33[[#This Row],[Category]]="Troop Dues",Table33[[#This Row],[Account Deposit Amount]]-Table33[[#This Row],[Account Withdrawl Amount]], )</f>
        <v>0</v>
      </c>
      <c r="N396" s="243">
        <f>IF(Table33[[#This Row],[Category]]="Other Income",Table33[[#This Row],[Account Deposit Amount]]-Table33[[#This Row],[Account Withdrawl Amount]], )</f>
        <v>0</v>
      </c>
      <c r="O396" s="243">
        <f>IF(Table33[[#This Row],[Category]]="Registration",Table33[[#This Row],[Account Deposit Amount]]-Table33[[#This Row],[Account Withdrawl Amount]], )</f>
        <v>0</v>
      </c>
      <c r="P396" s="243">
        <f>IF(Table33[[#This Row],[Category]]="Insignia",Table33[[#This Row],[Account Deposit Amount]]-Table33[[#This Row],[Account Withdrawl Amount]], )</f>
        <v>0</v>
      </c>
      <c r="Q396" s="243">
        <f>IF(Table33[[#This Row],[Category]]="Activities/Program",Table33[[#This Row],[Account Deposit Amount]]-Table33[[#This Row],[Account Withdrawl Amount]], )</f>
        <v>0</v>
      </c>
      <c r="R396" s="243">
        <f>IF(Table33[[#This Row],[Category]]="Travel",Table33[[#This Row],[Account Deposit Amount]]-Table33[[#This Row],[Account Withdrawl Amount]], )</f>
        <v>0</v>
      </c>
      <c r="S396" s="243">
        <f>IF(Table33[[#This Row],[Category]]="Parties Food &amp; Beverages",Table33[[#This Row],[Account Deposit Amount]]-Table33[[#This Row],[Account Withdrawl Amount]], )</f>
        <v>0</v>
      </c>
      <c r="T396" s="243">
        <f>IF(Table33[[#This Row],[Category]]="Service Projects Donation",Table33[[#This Row],[Account Deposit Amount]]-Table33[[#This Row],[Account Withdrawl Amount]], )</f>
        <v>0</v>
      </c>
      <c r="U396" s="243">
        <f>IF(Table33[[#This Row],[Category]]="Cookie Debt",Table33[[#This Row],[Account Deposit Amount]]-Table33[[#This Row],[Account Withdrawl Amount]], )</f>
        <v>0</v>
      </c>
      <c r="V396" s="243">
        <f>IF(Table33[[#This Row],[Category]]="Other Expense",Table33[[#This Row],[Account Deposit Amount]]-Table33[[#This Row],[Account Withdrawl Amount]], )</f>
        <v>0</v>
      </c>
    </row>
    <row r="397" spans="1:22">
      <c r="A397" s="225"/>
      <c r="B397" s="241"/>
      <c r="C397" s="225"/>
      <c r="D397" s="225"/>
      <c r="E397" s="242"/>
      <c r="F397" s="242"/>
      <c r="G397" s="243">
        <f t="shared" si="9"/>
        <v>0</v>
      </c>
      <c r="H397" s="225"/>
      <c r="I397" s="243">
        <f>IF(Table33[[#This Row],[Category]]="Fall Product",Table33[[#This Row],[Account Deposit Amount]]-Table33[[#This Row],[Account Withdrawl Amount]], )</f>
        <v>0</v>
      </c>
      <c r="J397" s="243">
        <f>IF(Table33[[#This Row],[Category]]="Cookies",Table33[[#This Row],[Account Deposit Amount]]-Table33[[#This Row],[Account Withdrawl Amount]], )</f>
        <v>0</v>
      </c>
      <c r="K397" s="243">
        <f>IF(Table33[[#This Row],[Category]]="Additional Money Earning Activities",Table33[[#This Row],[Account Deposit Amount]]-Table33[[#This Row],[Account Withdrawl Amount]], )</f>
        <v>0</v>
      </c>
      <c r="L397" s="243">
        <f>IF(Table33[[#This Row],[Category]]="Sponsorships",Table33[[#This Row],[Account Deposit Amount]]-Table33[[#This Row],[Account Withdrawl Amount]], )</f>
        <v>0</v>
      </c>
      <c r="M397" s="243">
        <f>IF(Table33[[#This Row],[Category]]="Troop Dues",Table33[[#This Row],[Account Deposit Amount]]-Table33[[#This Row],[Account Withdrawl Amount]], )</f>
        <v>0</v>
      </c>
      <c r="N397" s="243">
        <f>IF(Table33[[#This Row],[Category]]="Other Income",Table33[[#This Row],[Account Deposit Amount]]-Table33[[#This Row],[Account Withdrawl Amount]], )</f>
        <v>0</v>
      </c>
      <c r="O397" s="243">
        <f>IF(Table33[[#This Row],[Category]]="Registration",Table33[[#This Row],[Account Deposit Amount]]-Table33[[#This Row],[Account Withdrawl Amount]], )</f>
        <v>0</v>
      </c>
      <c r="P397" s="243">
        <f>IF(Table33[[#This Row],[Category]]="Insignia",Table33[[#This Row],[Account Deposit Amount]]-Table33[[#This Row],[Account Withdrawl Amount]], )</f>
        <v>0</v>
      </c>
      <c r="Q397" s="243">
        <f>IF(Table33[[#This Row],[Category]]="Activities/Program",Table33[[#This Row],[Account Deposit Amount]]-Table33[[#This Row],[Account Withdrawl Amount]], )</f>
        <v>0</v>
      </c>
      <c r="R397" s="243">
        <f>IF(Table33[[#This Row],[Category]]="Travel",Table33[[#This Row],[Account Deposit Amount]]-Table33[[#This Row],[Account Withdrawl Amount]], )</f>
        <v>0</v>
      </c>
      <c r="S397" s="243">
        <f>IF(Table33[[#This Row],[Category]]="Parties Food &amp; Beverages",Table33[[#This Row],[Account Deposit Amount]]-Table33[[#This Row],[Account Withdrawl Amount]], )</f>
        <v>0</v>
      </c>
      <c r="T397" s="243">
        <f>IF(Table33[[#This Row],[Category]]="Service Projects Donation",Table33[[#This Row],[Account Deposit Amount]]-Table33[[#This Row],[Account Withdrawl Amount]], )</f>
        <v>0</v>
      </c>
      <c r="U397" s="243">
        <f>IF(Table33[[#This Row],[Category]]="Cookie Debt",Table33[[#This Row],[Account Deposit Amount]]-Table33[[#This Row],[Account Withdrawl Amount]], )</f>
        <v>0</v>
      </c>
      <c r="V397" s="243">
        <f>IF(Table33[[#This Row],[Category]]="Other Expense",Table33[[#This Row],[Account Deposit Amount]]-Table33[[#This Row],[Account Withdrawl Amount]], )</f>
        <v>0</v>
      </c>
    </row>
    <row r="398" spans="1:22">
      <c r="A398" s="225"/>
      <c r="B398" s="241"/>
      <c r="C398" s="225"/>
      <c r="D398" s="225"/>
      <c r="E398" s="242"/>
      <c r="F398" s="242"/>
      <c r="G398" s="243">
        <f t="shared" si="9"/>
        <v>0</v>
      </c>
      <c r="H398" s="225"/>
      <c r="I398" s="243">
        <f>IF(Table33[[#This Row],[Category]]="Fall Product",Table33[[#This Row],[Account Deposit Amount]]-Table33[[#This Row],[Account Withdrawl Amount]], )</f>
        <v>0</v>
      </c>
      <c r="J398" s="243">
        <f>IF(Table33[[#This Row],[Category]]="Cookies",Table33[[#This Row],[Account Deposit Amount]]-Table33[[#This Row],[Account Withdrawl Amount]], )</f>
        <v>0</v>
      </c>
      <c r="K398" s="243">
        <f>IF(Table33[[#This Row],[Category]]="Additional Money Earning Activities",Table33[[#This Row],[Account Deposit Amount]]-Table33[[#This Row],[Account Withdrawl Amount]], )</f>
        <v>0</v>
      </c>
      <c r="L398" s="243">
        <f>IF(Table33[[#This Row],[Category]]="Sponsorships",Table33[[#This Row],[Account Deposit Amount]]-Table33[[#This Row],[Account Withdrawl Amount]], )</f>
        <v>0</v>
      </c>
      <c r="M398" s="243">
        <f>IF(Table33[[#This Row],[Category]]="Troop Dues",Table33[[#This Row],[Account Deposit Amount]]-Table33[[#This Row],[Account Withdrawl Amount]], )</f>
        <v>0</v>
      </c>
      <c r="N398" s="243">
        <f>IF(Table33[[#This Row],[Category]]="Other Income",Table33[[#This Row],[Account Deposit Amount]]-Table33[[#This Row],[Account Withdrawl Amount]], )</f>
        <v>0</v>
      </c>
      <c r="O398" s="243">
        <f>IF(Table33[[#This Row],[Category]]="Registration",Table33[[#This Row],[Account Deposit Amount]]-Table33[[#This Row],[Account Withdrawl Amount]], )</f>
        <v>0</v>
      </c>
      <c r="P398" s="243">
        <f>IF(Table33[[#This Row],[Category]]="Insignia",Table33[[#This Row],[Account Deposit Amount]]-Table33[[#This Row],[Account Withdrawl Amount]], )</f>
        <v>0</v>
      </c>
      <c r="Q398" s="243">
        <f>IF(Table33[[#This Row],[Category]]="Activities/Program",Table33[[#This Row],[Account Deposit Amount]]-Table33[[#This Row],[Account Withdrawl Amount]], )</f>
        <v>0</v>
      </c>
      <c r="R398" s="243">
        <f>IF(Table33[[#This Row],[Category]]="Travel",Table33[[#This Row],[Account Deposit Amount]]-Table33[[#This Row],[Account Withdrawl Amount]], )</f>
        <v>0</v>
      </c>
      <c r="S398" s="243">
        <f>IF(Table33[[#This Row],[Category]]="Parties Food &amp; Beverages",Table33[[#This Row],[Account Deposit Amount]]-Table33[[#This Row],[Account Withdrawl Amount]], )</f>
        <v>0</v>
      </c>
      <c r="T398" s="243">
        <f>IF(Table33[[#This Row],[Category]]="Service Projects Donation",Table33[[#This Row],[Account Deposit Amount]]-Table33[[#This Row],[Account Withdrawl Amount]], )</f>
        <v>0</v>
      </c>
      <c r="U398" s="243">
        <f>IF(Table33[[#This Row],[Category]]="Cookie Debt",Table33[[#This Row],[Account Deposit Amount]]-Table33[[#This Row],[Account Withdrawl Amount]], )</f>
        <v>0</v>
      </c>
      <c r="V398" s="243">
        <f>IF(Table33[[#This Row],[Category]]="Other Expense",Table33[[#This Row],[Account Deposit Amount]]-Table33[[#This Row],[Account Withdrawl Amount]], )</f>
        <v>0</v>
      </c>
    </row>
    <row r="399" spans="1:22">
      <c r="A399" s="225"/>
      <c r="B399" s="241"/>
      <c r="C399" s="225"/>
      <c r="D399" s="225"/>
      <c r="E399" s="242"/>
      <c r="F399" s="242"/>
      <c r="G399" s="243">
        <f t="shared" si="9"/>
        <v>0</v>
      </c>
      <c r="H399" s="225"/>
      <c r="I399" s="243">
        <f>IF(Table33[[#This Row],[Category]]="Fall Product",Table33[[#This Row],[Account Deposit Amount]]-Table33[[#This Row],[Account Withdrawl Amount]], )</f>
        <v>0</v>
      </c>
      <c r="J399" s="243">
        <f>IF(Table33[[#This Row],[Category]]="Cookies",Table33[[#This Row],[Account Deposit Amount]]-Table33[[#This Row],[Account Withdrawl Amount]], )</f>
        <v>0</v>
      </c>
      <c r="K399" s="243">
        <f>IF(Table33[[#This Row],[Category]]="Additional Money Earning Activities",Table33[[#This Row],[Account Deposit Amount]]-Table33[[#This Row],[Account Withdrawl Amount]], )</f>
        <v>0</v>
      </c>
      <c r="L399" s="243">
        <f>IF(Table33[[#This Row],[Category]]="Sponsorships",Table33[[#This Row],[Account Deposit Amount]]-Table33[[#This Row],[Account Withdrawl Amount]], )</f>
        <v>0</v>
      </c>
      <c r="M399" s="243">
        <f>IF(Table33[[#This Row],[Category]]="Troop Dues",Table33[[#This Row],[Account Deposit Amount]]-Table33[[#This Row],[Account Withdrawl Amount]], )</f>
        <v>0</v>
      </c>
      <c r="N399" s="243">
        <f>IF(Table33[[#This Row],[Category]]="Other Income",Table33[[#This Row],[Account Deposit Amount]]-Table33[[#This Row],[Account Withdrawl Amount]], )</f>
        <v>0</v>
      </c>
      <c r="O399" s="243">
        <f>IF(Table33[[#This Row],[Category]]="Registration",Table33[[#This Row],[Account Deposit Amount]]-Table33[[#This Row],[Account Withdrawl Amount]], )</f>
        <v>0</v>
      </c>
      <c r="P399" s="243">
        <f>IF(Table33[[#This Row],[Category]]="Insignia",Table33[[#This Row],[Account Deposit Amount]]-Table33[[#This Row],[Account Withdrawl Amount]], )</f>
        <v>0</v>
      </c>
      <c r="Q399" s="243">
        <f>IF(Table33[[#This Row],[Category]]="Activities/Program",Table33[[#This Row],[Account Deposit Amount]]-Table33[[#This Row],[Account Withdrawl Amount]], )</f>
        <v>0</v>
      </c>
      <c r="R399" s="243">
        <f>IF(Table33[[#This Row],[Category]]="Travel",Table33[[#This Row],[Account Deposit Amount]]-Table33[[#This Row],[Account Withdrawl Amount]], )</f>
        <v>0</v>
      </c>
      <c r="S399" s="243">
        <f>IF(Table33[[#This Row],[Category]]="Parties Food &amp; Beverages",Table33[[#This Row],[Account Deposit Amount]]-Table33[[#This Row],[Account Withdrawl Amount]], )</f>
        <v>0</v>
      </c>
      <c r="T399" s="243">
        <f>IF(Table33[[#This Row],[Category]]="Service Projects Donation",Table33[[#This Row],[Account Deposit Amount]]-Table33[[#This Row],[Account Withdrawl Amount]], )</f>
        <v>0</v>
      </c>
      <c r="U399" s="243">
        <f>IF(Table33[[#This Row],[Category]]="Cookie Debt",Table33[[#This Row],[Account Deposit Amount]]-Table33[[#This Row],[Account Withdrawl Amount]], )</f>
        <v>0</v>
      </c>
      <c r="V399" s="243">
        <f>IF(Table33[[#This Row],[Category]]="Other Expense",Table33[[#This Row],[Account Deposit Amount]]-Table33[[#This Row],[Account Withdrawl Amount]], )</f>
        <v>0</v>
      </c>
    </row>
    <row r="400" spans="1:22">
      <c r="A400" s="225"/>
      <c r="B400" s="241"/>
      <c r="C400" s="225"/>
      <c r="D400" s="225"/>
      <c r="E400" s="242"/>
      <c r="F400" s="242"/>
      <c r="G400" s="243">
        <f t="shared" si="9"/>
        <v>0</v>
      </c>
      <c r="H400" s="225"/>
      <c r="I400" s="243">
        <f>IF(Table33[[#This Row],[Category]]="Fall Product",Table33[[#This Row],[Account Deposit Amount]]-Table33[[#This Row],[Account Withdrawl Amount]], )</f>
        <v>0</v>
      </c>
      <c r="J400" s="243">
        <f>IF(Table33[[#This Row],[Category]]="Cookies",Table33[[#This Row],[Account Deposit Amount]]-Table33[[#This Row],[Account Withdrawl Amount]], )</f>
        <v>0</v>
      </c>
      <c r="K400" s="243">
        <f>IF(Table33[[#This Row],[Category]]="Additional Money Earning Activities",Table33[[#This Row],[Account Deposit Amount]]-Table33[[#This Row],[Account Withdrawl Amount]], )</f>
        <v>0</v>
      </c>
      <c r="L400" s="243">
        <f>IF(Table33[[#This Row],[Category]]="Sponsorships",Table33[[#This Row],[Account Deposit Amount]]-Table33[[#This Row],[Account Withdrawl Amount]], )</f>
        <v>0</v>
      </c>
      <c r="M400" s="243">
        <f>IF(Table33[[#This Row],[Category]]="Troop Dues",Table33[[#This Row],[Account Deposit Amount]]-Table33[[#This Row],[Account Withdrawl Amount]], )</f>
        <v>0</v>
      </c>
      <c r="N400" s="243">
        <f>IF(Table33[[#This Row],[Category]]="Other Income",Table33[[#This Row],[Account Deposit Amount]]-Table33[[#This Row],[Account Withdrawl Amount]], )</f>
        <v>0</v>
      </c>
      <c r="O400" s="243">
        <f>IF(Table33[[#This Row],[Category]]="Registration",Table33[[#This Row],[Account Deposit Amount]]-Table33[[#This Row],[Account Withdrawl Amount]], )</f>
        <v>0</v>
      </c>
      <c r="P400" s="243">
        <f>IF(Table33[[#This Row],[Category]]="Insignia",Table33[[#This Row],[Account Deposit Amount]]-Table33[[#This Row],[Account Withdrawl Amount]], )</f>
        <v>0</v>
      </c>
      <c r="Q400" s="243">
        <f>IF(Table33[[#This Row],[Category]]="Activities/Program",Table33[[#This Row],[Account Deposit Amount]]-Table33[[#This Row],[Account Withdrawl Amount]], )</f>
        <v>0</v>
      </c>
      <c r="R400" s="243">
        <f>IF(Table33[[#This Row],[Category]]="Travel",Table33[[#This Row],[Account Deposit Amount]]-Table33[[#This Row],[Account Withdrawl Amount]], )</f>
        <v>0</v>
      </c>
      <c r="S400" s="243">
        <f>IF(Table33[[#This Row],[Category]]="Parties Food &amp; Beverages",Table33[[#This Row],[Account Deposit Amount]]-Table33[[#This Row],[Account Withdrawl Amount]], )</f>
        <v>0</v>
      </c>
      <c r="T400" s="243">
        <f>IF(Table33[[#This Row],[Category]]="Service Projects Donation",Table33[[#This Row],[Account Deposit Amount]]-Table33[[#This Row],[Account Withdrawl Amount]], )</f>
        <v>0</v>
      </c>
      <c r="U400" s="243">
        <f>IF(Table33[[#This Row],[Category]]="Cookie Debt",Table33[[#This Row],[Account Deposit Amount]]-Table33[[#This Row],[Account Withdrawl Amount]], )</f>
        <v>0</v>
      </c>
      <c r="V400" s="243">
        <f>IF(Table33[[#This Row],[Category]]="Other Expense",Table33[[#This Row],[Account Deposit Amount]]-Table33[[#This Row],[Account Withdrawl Amount]], )</f>
        <v>0</v>
      </c>
    </row>
    <row r="401" spans="1:22">
      <c r="A401" s="225"/>
      <c r="B401" s="241"/>
      <c r="C401" s="225"/>
      <c r="D401" s="225"/>
      <c r="E401" s="242"/>
      <c r="F401" s="242"/>
      <c r="G401" s="243">
        <f t="shared" si="9"/>
        <v>0</v>
      </c>
      <c r="H401" s="225"/>
      <c r="I401" s="243">
        <f>IF(Table33[[#This Row],[Category]]="Fall Product",Table33[[#This Row],[Account Deposit Amount]]-Table33[[#This Row],[Account Withdrawl Amount]], )</f>
        <v>0</v>
      </c>
      <c r="J401" s="243">
        <f>IF(Table33[[#This Row],[Category]]="Cookies",Table33[[#This Row],[Account Deposit Amount]]-Table33[[#This Row],[Account Withdrawl Amount]], )</f>
        <v>0</v>
      </c>
      <c r="K401" s="243">
        <f>IF(Table33[[#This Row],[Category]]="Additional Money Earning Activities",Table33[[#This Row],[Account Deposit Amount]]-Table33[[#This Row],[Account Withdrawl Amount]], )</f>
        <v>0</v>
      </c>
      <c r="L401" s="243">
        <f>IF(Table33[[#This Row],[Category]]="Sponsorships",Table33[[#This Row],[Account Deposit Amount]]-Table33[[#This Row],[Account Withdrawl Amount]], )</f>
        <v>0</v>
      </c>
      <c r="M401" s="243">
        <f>IF(Table33[[#This Row],[Category]]="Troop Dues",Table33[[#This Row],[Account Deposit Amount]]-Table33[[#This Row],[Account Withdrawl Amount]], )</f>
        <v>0</v>
      </c>
      <c r="N401" s="243">
        <f>IF(Table33[[#This Row],[Category]]="Other Income",Table33[[#This Row],[Account Deposit Amount]]-Table33[[#This Row],[Account Withdrawl Amount]], )</f>
        <v>0</v>
      </c>
      <c r="O401" s="243">
        <f>IF(Table33[[#This Row],[Category]]="Registration",Table33[[#This Row],[Account Deposit Amount]]-Table33[[#This Row],[Account Withdrawl Amount]], )</f>
        <v>0</v>
      </c>
      <c r="P401" s="243">
        <f>IF(Table33[[#This Row],[Category]]="Insignia",Table33[[#This Row],[Account Deposit Amount]]-Table33[[#This Row],[Account Withdrawl Amount]], )</f>
        <v>0</v>
      </c>
      <c r="Q401" s="243">
        <f>IF(Table33[[#This Row],[Category]]="Activities/Program",Table33[[#This Row],[Account Deposit Amount]]-Table33[[#This Row],[Account Withdrawl Amount]], )</f>
        <v>0</v>
      </c>
      <c r="R401" s="243">
        <f>IF(Table33[[#This Row],[Category]]="Travel",Table33[[#This Row],[Account Deposit Amount]]-Table33[[#This Row],[Account Withdrawl Amount]], )</f>
        <v>0</v>
      </c>
      <c r="S401" s="243">
        <f>IF(Table33[[#This Row],[Category]]="Parties Food &amp; Beverages",Table33[[#This Row],[Account Deposit Amount]]-Table33[[#This Row],[Account Withdrawl Amount]], )</f>
        <v>0</v>
      </c>
      <c r="T401" s="243">
        <f>IF(Table33[[#This Row],[Category]]="Service Projects Donation",Table33[[#This Row],[Account Deposit Amount]]-Table33[[#This Row],[Account Withdrawl Amount]], )</f>
        <v>0</v>
      </c>
      <c r="U401" s="243">
        <f>IF(Table33[[#This Row],[Category]]="Cookie Debt",Table33[[#This Row],[Account Deposit Amount]]-Table33[[#This Row],[Account Withdrawl Amount]], )</f>
        <v>0</v>
      </c>
      <c r="V401" s="243">
        <f>IF(Table33[[#This Row],[Category]]="Other Expense",Table33[[#This Row],[Account Deposit Amount]]-Table33[[#This Row],[Account Withdrawl Amount]], )</f>
        <v>0</v>
      </c>
    </row>
    <row r="402" spans="1:22">
      <c r="A402" s="225"/>
      <c r="B402" s="241"/>
      <c r="C402" s="225"/>
      <c r="D402" s="225"/>
      <c r="E402" s="242"/>
      <c r="F402" s="242"/>
      <c r="G402" s="243">
        <f t="shared" si="9"/>
        <v>0</v>
      </c>
      <c r="H402" s="225"/>
      <c r="I402" s="243">
        <f>IF(Table33[[#This Row],[Category]]="Fall Product",Table33[[#This Row],[Account Deposit Amount]]-Table33[[#This Row],[Account Withdrawl Amount]], )</f>
        <v>0</v>
      </c>
      <c r="J402" s="243">
        <f>IF(Table33[[#This Row],[Category]]="Cookies",Table33[[#This Row],[Account Deposit Amount]]-Table33[[#This Row],[Account Withdrawl Amount]], )</f>
        <v>0</v>
      </c>
      <c r="K402" s="243">
        <f>IF(Table33[[#This Row],[Category]]="Additional Money Earning Activities",Table33[[#This Row],[Account Deposit Amount]]-Table33[[#This Row],[Account Withdrawl Amount]], )</f>
        <v>0</v>
      </c>
      <c r="L402" s="243">
        <f>IF(Table33[[#This Row],[Category]]="Sponsorships",Table33[[#This Row],[Account Deposit Amount]]-Table33[[#This Row],[Account Withdrawl Amount]], )</f>
        <v>0</v>
      </c>
      <c r="M402" s="243">
        <f>IF(Table33[[#This Row],[Category]]="Troop Dues",Table33[[#This Row],[Account Deposit Amount]]-Table33[[#This Row],[Account Withdrawl Amount]], )</f>
        <v>0</v>
      </c>
      <c r="N402" s="243">
        <f>IF(Table33[[#This Row],[Category]]="Other Income",Table33[[#This Row],[Account Deposit Amount]]-Table33[[#This Row],[Account Withdrawl Amount]], )</f>
        <v>0</v>
      </c>
      <c r="O402" s="243">
        <f>IF(Table33[[#This Row],[Category]]="Registration",Table33[[#This Row],[Account Deposit Amount]]-Table33[[#This Row],[Account Withdrawl Amount]], )</f>
        <v>0</v>
      </c>
      <c r="P402" s="243">
        <f>IF(Table33[[#This Row],[Category]]="Insignia",Table33[[#This Row],[Account Deposit Amount]]-Table33[[#This Row],[Account Withdrawl Amount]], )</f>
        <v>0</v>
      </c>
      <c r="Q402" s="243">
        <f>IF(Table33[[#This Row],[Category]]="Activities/Program",Table33[[#This Row],[Account Deposit Amount]]-Table33[[#This Row],[Account Withdrawl Amount]], )</f>
        <v>0</v>
      </c>
      <c r="R402" s="243">
        <f>IF(Table33[[#This Row],[Category]]="Travel",Table33[[#This Row],[Account Deposit Amount]]-Table33[[#This Row],[Account Withdrawl Amount]], )</f>
        <v>0</v>
      </c>
      <c r="S402" s="243">
        <f>IF(Table33[[#This Row],[Category]]="Parties Food &amp; Beverages",Table33[[#This Row],[Account Deposit Amount]]-Table33[[#This Row],[Account Withdrawl Amount]], )</f>
        <v>0</v>
      </c>
      <c r="T402" s="243">
        <f>IF(Table33[[#This Row],[Category]]="Service Projects Donation",Table33[[#This Row],[Account Deposit Amount]]-Table33[[#This Row],[Account Withdrawl Amount]], )</f>
        <v>0</v>
      </c>
      <c r="U402" s="243">
        <f>IF(Table33[[#This Row],[Category]]="Cookie Debt",Table33[[#This Row],[Account Deposit Amount]]-Table33[[#This Row],[Account Withdrawl Amount]], )</f>
        <v>0</v>
      </c>
      <c r="V402" s="243">
        <f>IF(Table33[[#This Row],[Category]]="Other Expense",Table33[[#This Row],[Account Deposit Amount]]-Table33[[#This Row],[Account Withdrawl Amount]], )</f>
        <v>0</v>
      </c>
    </row>
    <row r="403" spans="1:22">
      <c r="A403" s="225"/>
      <c r="B403" s="241"/>
      <c r="C403" s="225"/>
      <c r="D403" s="225"/>
      <c r="E403" s="242"/>
      <c r="F403" s="242"/>
      <c r="G403" s="243">
        <f t="shared" si="9"/>
        <v>0</v>
      </c>
      <c r="H403" s="225"/>
      <c r="I403" s="243">
        <f>IF(Table33[[#This Row],[Category]]="Fall Product",Table33[[#This Row],[Account Deposit Amount]]-Table33[[#This Row],[Account Withdrawl Amount]], )</f>
        <v>0</v>
      </c>
      <c r="J403" s="243">
        <f>IF(Table33[[#This Row],[Category]]="Cookies",Table33[[#This Row],[Account Deposit Amount]]-Table33[[#This Row],[Account Withdrawl Amount]], )</f>
        <v>0</v>
      </c>
      <c r="K403" s="243">
        <f>IF(Table33[[#This Row],[Category]]="Additional Money Earning Activities",Table33[[#This Row],[Account Deposit Amount]]-Table33[[#This Row],[Account Withdrawl Amount]], )</f>
        <v>0</v>
      </c>
      <c r="L403" s="243">
        <f>IF(Table33[[#This Row],[Category]]="Sponsorships",Table33[[#This Row],[Account Deposit Amount]]-Table33[[#This Row],[Account Withdrawl Amount]], )</f>
        <v>0</v>
      </c>
      <c r="M403" s="243">
        <f>IF(Table33[[#This Row],[Category]]="Troop Dues",Table33[[#This Row],[Account Deposit Amount]]-Table33[[#This Row],[Account Withdrawl Amount]], )</f>
        <v>0</v>
      </c>
      <c r="N403" s="243">
        <f>IF(Table33[[#This Row],[Category]]="Other Income",Table33[[#This Row],[Account Deposit Amount]]-Table33[[#This Row],[Account Withdrawl Amount]], )</f>
        <v>0</v>
      </c>
      <c r="O403" s="243">
        <f>IF(Table33[[#This Row],[Category]]="Registration",Table33[[#This Row],[Account Deposit Amount]]-Table33[[#This Row],[Account Withdrawl Amount]], )</f>
        <v>0</v>
      </c>
      <c r="P403" s="243">
        <f>IF(Table33[[#This Row],[Category]]="Insignia",Table33[[#This Row],[Account Deposit Amount]]-Table33[[#This Row],[Account Withdrawl Amount]], )</f>
        <v>0</v>
      </c>
      <c r="Q403" s="243">
        <f>IF(Table33[[#This Row],[Category]]="Activities/Program",Table33[[#This Row],[Account Deposit Amount]]-Table33[[#This Row],[Account Withdrawl Amount]], )</f>
        <v>0</v>
      </c>
      <c r="R403" s="243">
        <f>IF(Table33[[#This Row],[Category]]="Travel",Table33[[#This Row],[Account Deposit Amount]]-Table33[[#This Row],[Account Withdrawl Amount]], )</f>
        <v>0</v>
      </c>
      <c r="S403" s="243">
        <f>IF(Table33[[#This Row],[Category]]="Parties Food &amp; Beverages",Table33[[#This Row],[Account Deposit Amount]]-Table33[[#This Row],[Account Withdrawl Amount]], )</f>
        <v>0</v>
      </c>
      <c r="T403" s="243">
        <f>IF(Table33[[#This Row],[Category]]="Service Projects Donation",Table33[[#This Row],[Account Deposit Amount]]-Table33[[#This Row],[Account Withdrawl Amount]], )</f>
        <v>0</v>
      </c>
      <c r="U403" s="243">
        <f>IF(Table33[[#This Row],[Category]]="Cookie Debt",Table33[[#This Row],[Account Deposit Amount]]-Table33[[#This Row],[Account Withdrawl Amount]], )</f>
        <v>0</v>
      </c>
      <c r="V403" s="243">
        <f>IF(Table33[[#This Row],[Category]]="Other Expense",Table33[[#This Row],[Account Deposit Amount]]-Table33[[#This Row],[Account Withdrawl Amount]], )</f>
        <v>0</v>
      </c>
    </row>
    <row r="404" spans="1:22">
      <c r="A404" s="225"/>
      <c r="B404" s="241"/>
      <c r="C404" s="225"/>
      <c r="D404" s="225"/>
      <c r="E404" s="242"/>
      <c r="F404" s="242"/>
      <c r="G404" s="243">
        <f t="shared" si="9"/>
        <v>0</v>
      </c>
      <c r="H404" s="225"/>
      <c r="I404" s="243">
        <f>IF(Table33[[#This Row],[Category]]="Fall Product",Table33[[#This Row],[Account Deposit Amount]]-Table33[[#This Row],[Account Withdrawl Amount]], )</f>
        <v>0</v>
      </c>
      <c r="J404" s="243">
        <f>IF(Table33[[#This Row],[Category]]="Cookies",Table33[[#This Row],[Account Deposit Amount]]-Table33[[#This Row],[Account Withdrawl Amount]], )</f>
        <v>0</v>
      </c>
      <c r="K404" s="243">
        <f>IF(Table33[[#This Row],[Category]]="Additional Money Earning Activities",Table33[[#This Row],[Account Deposit Amount]]-Table33[[#This Row],[Account Withdrawl Amount]], )</f>
        <v>0</v>
      </c>
      <c r="L404" s="243">
        <f>IF(Table33[[#This Row],[Category]]="Sponsorships",Table33[[#This Row],[Account Deposit Amount]]-Table33[[#This Row],[Account Withdrawl Amount]], )</f>
        <v>0</v>
      </c>
      <c r="M404" s="243">
        <f>IF(Table33[[#This Row],[Category]]="Troop Dues",Table33[[#This Row],[Account Deposit Amount]]-Table33[[#This Row],[Account Withdrawl Amount]], )</f>
        <v>0</v>
      </c>
      <c r="N404" s="243">
        <f>IF(Table33[[#This Row],[Category]]="Other Income",Table33[[#This Row],[Account Deposit Amount]]-Table33[[#This Row],[Account Withdrawl Amount]], )</f>
        <v>0</v>
      </c>
      <c r="O404" s="243">
        <f>IF(Table33[[#This Row],[Category]]="Registration",Table33[[#This Row],[Account Deposit Amount]]-Table33[[#This Row],[Account Withdrawl Amount]], )</f>
        <v>0</v>
      </c>
      <c r="P404" s="243">
        <f>IF(Table33[[#This Row],[Category]]="Insignia",Table33[[#This Row],[Account Deposit Amount]]-Table33[[#This Row],[Account Withdrawl Amount]], )</f>
        <v>0</v>
      </c>
      <c r="Q404" s="243">
        <f>IF(Table33[[#This Row],[Category]]="Activities/Program",Table33[[#This Row],[Account Deposit Amount]]-Table33[[#This Row],[Account Withdrawl Amount]], )</f>
        <v>0</v>
      </c>
      <c r="R404" s="243">
        <f>IF(Table33[[#This Row],[Category]]="Travel",Table33[[#This Row],[Account Deposit Amount]]-Table33[[#This Row],[Account Withdrawl Amount]], )</f>
        <v>0</v>
      </c>
      <c r="S404" s="243">
        <f>IF(Table33[[#This Row],[Category]]="Parties Food &amp; Beverages",Table33[[#This Row],[Account Deposit Amount]]-Table33[[#This Row],[Account Withdrawl Amount]], )</f>
        <v>0</v>
      </c>
      <c r="T404" s="243">
        <f>IF(Table33[[#This Row],[Category]]="Service Projects Donation",Table33[[#This Row],[Account Deposit Amount]]-Table33[[#This Row],[Account Withdrawl Amount]], )</f>
        <v>0</v>
      </c>
      <c r="U404" s="243">
        <f>IF(Table33[[#This Row],[Category]]="Cookie Debt",Table33[[#This Row],[Account Deposit Amount]]-Table33[[#This Row],[Account Withdrawl Amount]], )</f>
        <v>0</v>
      </c>
      <c r="V404" s="243">
        <f>IF(Table33[[#This Row],[Category]]="Other Expense",Table33[[#This Row],[Account Deposit Amount]]-Table33[[#This Row],[Account Withdrawl Amount]], )</f>
        <v>0</v>
      </c>
    </row>
    <row r="405" spans="1:22">
      <c r="A405" s="225"/>
      <c r="B405" s="241"/>
      <c r="C405" s="225"/>
      <c r="D405" s="225"/>
      <c r="E405" s="242"/>
      <c r="F405" s="242"/>
      <c r="G405" s="243">
        <f t="shared" si="9"/>
        <v>0</v>
      </c>
      <c r="H405" s="225"/>
      <c r="I405" s="243">
        <f>IF(Table33[[#This Row],[Category]]="Fall Product",Table33[[#This Row],[Account Deposit Amount]]-Table33[[#This Row],[Account Withdrawl Amount]], )</f>
        <v>0</v>
      </c>
      <c r="J405" s="243">
        <f>IF(Table33[[#This Row],[Category]]="Cookies",Table33[[#This Row],[Account Deposit Amount]]-Table33[[#This Row],[Account Withdrawl Amount]], )</f>
        <v>0</v>
      </c>
      <c r="K405" s="243">
        <f>IF(Table33[[#This Row],[Category]]="Additional Money Earning Activities",Table33[[#This Row],[Account Deposit Amount]]-Table33[[#This Row],[Account Withdrawl Amount]], )</f>
        <v>0</v>
      </c>
      <c r="L405" s="243">
        <f>IF(Table33[[#This Row],[Category]]="Sponsorships",Table33[[#This Row],[Account Deposit Amount]]-Table33[[#This Row],[Account Withdrawl Amount]], )</f>
        <v>0</v>
      </c>
      <c r="M405" s="243">
        <f>IF(Table33[[#This Row],[Category]]="Troop Dues",Table33[[#This Row],[Account Deposit Amount]]-Table33[[#This Row],[Account Withdrawl Amount]], )</f>
        <v>0</v>
      </c>
      <c r="N405" s="243">
        <f>IF(Table33[[#This Row],[Category]]="Other Income",Table33[[#This Row],[Account Deposit Amount]]-Table33[[#This Row],[Account Withdrawl Amount]], )</f>
        <v>0</v>
      </c>
      <c r="O405" s="243">
        <f>IF(Table33[[#This Row],[Category]]="Registration",Table33[[#This Row],[Account Deposit Amount]]-Table33[[#This Row],[Account Withdrawl Amount]], )</f>
        <v>0</v>
      </c>
      <c r="P405" s="243">
        <f>IF(Table33[[#This Row],[Category]]="Insignia",Table33[[#This Row],[Account Deposit Amount]]-Table33[[#This Row],[Account Withdrawl Amount]], )</f>
        <v>0</v>
      </c>
      <c r="Q405" s="243">
        <f>IF(Table33[[#This Row],[Category]]="Activities/Program",Table33[[#This Row],[Account Deposit Amount]]-Table33[[#This Row],[Account Withdrawl Amount]], )</f>
        <v>0</v>
      </c>
      <c r="R405" s="243">
        <f>IF(Table33[[#This Row],[Category]]="Travel",Table33[[#This Row],[Account Deposit Amount]]-Table33[[#This Row],[Account Withdrawl Amount]], )</f>
        <v>0</v>
      </c>
      <c r="S405" s="243">
        <f>IF(Table33[[#This Row],[Category]]="Parties Food &amp; Beverages",Table33[[#This Row],[Account Deposit Amount]]-Table33[[#This Row],[Account Withdrawl Amount]], )</f>
        <v>0</v>
      </c>
      <c r="T405" s="243">
        <f>IF(Table33[[#This Row],[Category]]="Service Projects Donation",Table33[[#This Row],[Account Deposit Amount]]-Table33[[#This Row],[Account Withdrawl Amount]], )</f>
        <v>0</v>
      </c>
      <c r="U405" s="243">
        <f>IF(Table33[[#This Row],[Category]]="Cookie Debt",Table33[[#This Row],[Account Deposit Amount]]-Table33[[#This Row],[Account Withdrawl Amount]], )</f>
        <v>0</v>
      </c>
      <c r="V405" s="243">
        <f>IF(Table33[[#This Row],[Category]]="Other Expense",Table33[[#This Row],[Account Deposit Amount]]-Table33[[#This Row],[Account Withdrawl Amount]], )</f>
        <v>0</v>
      </c>
    </row>
    <row r="406" spans="1:22">
      <c r="A406" s="225"/>
      <c r="B406" s="241"/>
      <c r="C406" s="225"/>
      <c r="D406" s="225"/>
      <c r="E406" s="242"/>
      <c r="F406" s="242"/>
      <c r="G406" s="243">
        <f t="shared" si="9"/>
        <v>0</v>
      </c>
      <c r="H406" s="225"/>
      <c r="I406" s="243">
        <f>IF(Table33[[#This Row],[Category]]="Fall Product",Table33[[#This Row],[Account Deposit Amount]]-Table33[[#This Row],[Account Withdrawl Amount]], )</f>
        <v>0</v>
      </c>
      <c r="J406" s="243">
        <f>IF(Table33[[#This Row],[Category]]="Cookies",Table33[[#This Row],[Account Deposit Amount]]-Table33[[#This Row],[Account Withdrawl Amount]], )</f>
        <v>0</v>
      </c>
      <c r="K406" s="243">
        <f>IF(Table33[[#This Row],[Category]]="Additional Money Earning Activities",Table33[[#This Row],[Account Deposit Amount]]-Table33[[#This Row],[Account Withdrawl Amount]], )</f>
        <v>0</v>
      </c>
      <c r="L406" s="243">
        <f>IF(Table33[[#This Row],[Category]]="Sponsorships",Table33[[#This Row],[Account Deposit Amount]]-Table33[[#This Row],[Account Withdrawl Amount]], )</f>
        <v>0</v>
      </c>
      <c r="M406" s="243">
        <f>IF(Table33[[#This Row],[Category]]="Troop Dues",Table33[[#This Row],[Account Deposit Amount]]-Table33[[#This Row],[Account Withdrawl Amount]], )</f>
        <v>0</v>
      </c>
      <c r="N406" s="243">
        <f>IF(Table33[[#This Row],[Category]]="Other Income",Table33[[#This Row],[Account Deposit Amount]]-Table33[[#This Row],[Account Withdrawl Amount]], )</f>
        <v>0</v>
      </c>
      <c r="O406" s="243">
        <f>IF(Table33[[#This Row],[Category]]="Registration",Table33[[#This Row],[Account Deposit Amount]]-Table33[[#This Row],[Account Withdrawl Amount]], )</f>
        <v>0</v>
      </c>
      <c r="P406" s="243">
        <f>IF(Table33[[#This Row],[Category]]="Insignia",Table33[[#This Row],[Account Deposit Amount]]-Table33[[#This Row],[Account Withdrawl Amount]], )</f>
        <v>0</v>
      </c>
      <c r="Q406" s="243">
        <f>IF(Table33[[#This Row],[Category]]="Activities/Program",Table33[[#This Row],[Account Deposit Amount]]-Table33[[#This Row],[Account Withdrawl Amount]], )</f>
        <v>0</v>
      </c>
      <c r="R406" s="243">
        <f>IF(Table33[[#This Row],[Category]]="Travel",Table33[[#This Row],[Account Deposit Amount]]-Table33[[#This Row],[Account Withdrawl Amount]], )</f>
        <v>0</v>
      </c>
      <c r="S406" s="243">
        <f>IF(Table33[[#This Row],[Category]]="Parties Food &amp; Beverages",Table33[[#This Row],[Account Deposit Amount]]-Table33[[#This Row],[Account Withdrawl Amount]], )</f>
        <v>0</v>
      </c>
      <c r="T406" s="243">
        <f>IF(Table33[[#This Row],[Category]]="Service Projects Donation",Table33[[#This Row],[Account Deposit Amount]]-Table33[[#This Row],[Account Withdrawl Amount]], )</f>
        <v>0</v>
      </c>
      <c r="U406" s="243">
        <f>IF(Table33[[#This Row],[Category]]="Cookie Debt",Table33[[#This Row],[Account Deposit Amount]]-Table33[[#This Row],[Account Withdrawl Amount]], )</f>
        <v>0</v>
      </c>
      <c r="V406" s="243">
        <f>IF(Table33[[#This Row],[Category]]="Other Expense",Table33[[#This Row],[Account Deposit Amount]]-Table33[[#This Row],[Account Withdrawl Amount]], )</f>
        <v>0</v>
      </c>
    </row>
    <row r="407" spans="1:22">
      <c r="A407" s="225"/>
      <c r="B407" s="241"/>
      <c r="C407" s="225"/>
      <c r="D407" s="225"/>
      <c r="E407" s="242"/>
      <c r="F407" s="242"/>
      <c r="G407" s="243">
        <f t="shared" si="9"/>
        <v>0</v>
      </c>
      <c r="H407" s="225"/>
      <c r="I407" s="243">
        <f>IF(Table33[[#This Row],[Category]]="Fall Product",Table33[[#This Row],[Account Deposit Amount]]-Table33[[#This Row],[Account Withdrawl Amount]], )</f>
        <v>0</v>
      </c>
      <c r="J407" s="243">
        <f>IF(Table33[[#This Row],[Category]]="Cookies",Table33[[#This Row],[Account Deposit Amount]]-Table33[[#This Row],[Account Withdrawl Amount]], )</f>
        <v>0</v>
      </c>
      <c r="K407" s="243">
        <f>IF(Table33[[#This Row],[Category]]="Additional Money Earning Activities",Table33[[#This Row],[Account Deposit Amount]]-Table33[[#This Row],[Account Withdrawl Amount]], )</f>
        <v>0</v>
      </c>
      <c r="L407" s="243">
        <f>IF(Table33[[#This Row],[Category]]="Sponsorships",Table33[[#This Row],[Account Deposit Amount]]-Table33[[#This Row],[Account Withdrawl Amount]], )</f>
        <v>0</v>
      </c>
      <c r="M407" s="243">
        <f>IF(Table33[[#This Row],[Category]]="Troop Dues",Table33[[#This Row],[Account Deposit Amount]]-Table33[[#This Row],[Account Withdrawl Amount]], )</f>
        <v>0</v>
      </c>
      <c r="N407" s="243">
        <f>IF(Table33[[#This Row],[Category]]="Other Income",Table33[[#This Row],[Account Deposit Amount]]-Table33[[#This Row],[Account Withdrawl Amount]], )</f>
        <v>0</v>
      </c>
      <c r="O407" s="243">
        <f>IF(Table33[[#This Row],[Category]]="Registration",Table33[[#This Row],[Account Deposit Amount]]-Table33[[#This Row],[Account Withdrawl Amount]], )</f>
        <v>0</v>
      </c>
      <c r="P407" s="243">
        <f>IF(Table33[[#This Row],[Category]]="Insignia",Table33[[#This Row],[Account Deposit Amount]]-Table33[[#This Row],[Account Withdrawl Amount]], )</f>
        <v>0</v>
      </c>
      <c r="Q407" s="243">
        <f>IF(Table33[[#This Row],[Category]]="Activities/Program",Table33[[#This Row],[Account Deposit Amount]]-Table33[[#This Row],[Account Withdrawl Amount]], )</f>
        <v>0</v>
      </c>
      <c r="R407" s="243">
        <f>IF(Table33[[#This Row],[Category]]="Travel",Table33[[#This Row],[Account Deposit Amount]]-Table33[[#This Row],[Account Withdrawl Amount]], )</f>
        <v>0</v>
      </c>
      <c r="S407" s="243">
        <f>IF(Table33[[#This Row],[Category]]="Parties Food &amp; Beverages",Table33[[#This Row],[Account Deposit Amount]]-Table33[[#This Row],[Account Withdrawl Amount]], )</f>
        <v>0</v>
      </c>
      <c r="T407" s="243">
        <f>IF(Table33[[#This Row],[Category]]="Service Projects Donation",Table33[[#This Row],[Account Deposit Amount]]-Table33[[#This Row],[Account Withdrawl Amount]], )</f>
        <v>0</v>
      </c>
      <c r="U407" s="243">
        <f>IF(Table33[[#This Row],[Category]]="Cookie Debt",Table33[[#This Row],[Account Deposit Amount]]-Table33[[#This Row],[Account Withdrawl Amount]], )</f>
        <v>0</v>
      </c>
      <c r="V407" s="243">
        <f>IF(Table33[[#This Row],[Category]]="Other Expense",Table33[[#This Row],[Account Deposit Amount]]-Table33[[#This Row],[Account Withdrawl Amount]], )</f>
        <v>0</v>
      </c>
    </row>
    <row r="408" spans="1:22">
      <c r="A408" s="225"/>
      <c r="B408" s="241"/>
      <c r="C408" s="225"/>
      <c r="D408" s="225"/>
      <c r="E408" s="242"/>
      <c r="F408" s="242"/>
      <c r="G408" s="243">
        <f t="shared" si="9"/>
        <v>0</v>
      </c>
      <c r="H408" s="225"/>
      <c r="I408" s="243">
        <f>IF(Table33[[#This Row],[Category]]="Fall Product",Table33[[#This Row],[Account Deposit Amount]]-Table33[[#This Row],[Account Withdrawl Amount]], )</f>
        <v>0</v>
      </c>
      <c r="J408" s="243">
        <f>IF(Table33[[#This Row],[Category]]="Cookies",Table33[[#This Row],[Account Deposit Amount]]-Table33[[#This Row],[Account Withdrawl Amount]], )</f>
        <v>0</v>
      </c>
      <c r="K408" s="243">
        <f>IF(Table33[[#This Row],[Category]]="Additional Money Earning Activities",Table33[[#This Row],[Account Deposit Amount]]-Table33[[#This Row],[Account Withdrawl Amount]], )</f>
        <v>0</v>
      </c>
      <c r="L408" s="243">
        <f>IF(Table33[[#This Row],[Category]]="Sponsorships",Table33[[#This Row],[Account Deposit Amount]]-Table33[[#This Row],[Account Withdrawl Amount]], )</f>
        <v>0</v>
      </c>
      <c r="M408" s="243">
        <f>IF(Table33[[#This Row],[Category]]="Troop Dues",Table33[[#This Row],[Account Deposit Amount]]-Table33[[#This Row],[Account Withdrawl Amount]], )</f>
        <v>0</v>
      </c>
      <c r="N408" s="243">
        <f>IF(Table33[[#This Row],[Category]]="Other Income",Table33[[#This Row],[Account Deposit Amount]]-Table33[[#This Row],[Account Withdrawl Amount]], )</f>
        <v>0</v>
      </c>
      <c r="O408" s="243">
        <f>IF(Table33[[#This Row],[Category]]="Registration",Table33[[#This Row],[Account Deposit Amount]]-Table33[[#This Row],[Account Withdrawl Amount]], )</f>
        <v>0</v>
      </c>
      <c r="P408" s="243">
        <f>IF(Table33[[#This Row],[Category]]="Insignia",Table33[[#This Row],[Account Deposit Amount]]-Table33[[#This Row],[Account Withdrawl Amount]], )</f>
        <v>0</v>
      </c>
      <c r="Q408" s="243">
        <f>IF(Table33[[#This Row],[Category]]="Activities/Program",Table33[[#This Row],[Account Deposit Amount]]-Table33[[#This Row],[Account Withdrawl Amount]], )</f>
        <v>0</v>
      </c>
      <c r="R408" s="243">
        <f>IF(Table33[[#This Row],[Category]]="Travel",Table33[[#This Row],[Account Deposit Amount]]-Table33[[#This Row],[Account Withdrawl Amount]], )</f>
        <v>0</v>
      </c>
      <c r="S408" s="243">
        <f>IF(Table33[[#This Row],[Category]]="Parties Food &amp; Beverages",Table33[[#This Row],[Account Deposit Amount]]-Table33[[#This Row],[Account Withdrawl Amount]], )</f>
        <v>0</v>
      </c>
      <c r="T408" s="243">
        <f>IF(Table33[[#This Row],[Category]]="Service Projects Donation",Table33[[#This Row],[Account Deposit Amount]]-Table33[[#This Row],[Account Withdrawl Amount]], )</f>
        <v>0</v>
      </c>
      <c r="U408" s="243">
        <f>IF(Table33[[#This Row],[Category]]="Cookie Debt",Table33[[#This Row],[Account Deposit Amount]]-Table33[[#This Row],[Account Withdrawl Amount]], )</f>
        <v>0</v>
      </c>
      <c r="V408" s="243">
        <f>IF(Table33[[#This Row],[Category]]="Other Expense",Table33[[#This Row],[Account Deposit Amount]]-Table33[[#This Row],[Account Withdrawl Amount]], )</f>
        <v>0</v>
      </c>
    </row>
    <row r="409" spans="1:22">
      <c r="A409" s="225"/>
      <c r="B409" s="241"/>
      <c r="C409" s="225"/>
      <c r="D409" s="225"/>
      <c r="E409" s="242"/>
      <c r="F409" s="242"/>
      <c r="G409" s="243">
        <f t="shared" si="9"/>
        <v>0</v>
      </c>
      <c r="H409" s="225"/>
      <c r="I409" s="243">
        <f>IF(Table33[[#This Row],[Category]]="Fall Product",Table33[[#This Row],[Account Deposit Amount]]-Table33[[#This Row],[Account Withdrawl Amount]], )</f>
        <v>0</v>
      </c>
      <c r="J409" s="243">
        <f>IF(Table33[[#This Row],[Category]]="Cookies",Table33[[#This Row],[Account Deposit Amount]]-Table33[[#This Row],[Account Withdrawl Amount]], )</f>
        <v>0</v>
      </c>
      <c r="K409" s="243">
        <f>IF(Table33[[#This Row],[Category]]="Additional Money Earning Activities",Table33[[#This Row],[Account Deposit Amount]]-Table33[[#This Row],[Account Withdrawl Amount]], )</f>
        <v>0</v>
      </c>
      <c r="L409" s="243">
        <f>IF(Table33[[#This Row],[Category]]="Sponsorships",Table33[[#This Row],[Account Deposit Amount]]-Table33[[#This Row],[Account Withdrawl Amount]], )</f>
        <v>0</v>
      </c>
      <c r="M409" s="243">
        <f>IF(Table33[[#This Row],[Category]]="Troop Dues",Table33[[#This Row],[Account Deposit Amount]]-Table33[[#This Row],[Account Withdrawl Amount]], )</f>
        <v>0</v>
      </c>
      <c r="N409" s="243">
        <f>IF(Table33[[#This Row],[Category]]="Other Income",Table33[[#This Row],[Account Deposit Amount]]-Table33[[#This Row],[Account Withdrawl Amount]], )</f>
        <v>0</v>
      </c>
      <c r="O409" s="243">
        <f>IF(Table33[[#This Row],[Category]]="Registration",Table33[[#This Row],[Account Deposit Amount]]-Table33[[#This Row],[Account Withdrawl Amount]], )</f>
        <v>0</v>
      </c>
      <c r="P409" s="243">
        <f>IF(Table33[[#This Row],[Category]]="Insignia",Table33[[#This Row],[Account Deposit Amount]]-Table33[[#This Row],[Account Withdrawl Amount]], )</f>
        <v>0</v>
      </c>
      <c r="Q409" s="243">
        <f>IF(Table33[[#This Row],[Category]]="Activities/Program",Table33[[#This Row],[Account Deposit Amount]]-Table33[[#This Row],[Account Withdrawl Amount]], )</f>
        <v>0</v>
      </c>
      <c r="R409" s="243">
        <f>IF(Table33[[#This Row],[Category]]="Travel",Table33[[#This Row],[Account Deposit Amount]]-Table33[[#This Row],[Account Withdrawl Amount]], )</f>
        <v>0</v>
      </c>
      <c r="S409" s="243">
        <f>IF(Table33[[#This Row],[Category]]="Parties Food &amp; Beverages",Table33[[#This Row],[Account Deposit Amount]]-Table33[[#This Row],[Account Withdrawl Amount]], )</f>
        <v>0</v>
      </c>
      <c r="T409" s="243">
        <f>IF(Table33[[#This Row],[Category]]="Service Projects Donation",Table33[[#This Row],[Account Deposit Amount]]-Table33[[#This Row],[Account Withdrawl Amount]], )</f>
        <v>0</v>
      </c>
      <c r="U409" s="243">
        <f>IF(Table33[[#This Row],[Category]]="Cookie Debt",Table33[[#This Row],[Account Deposit Amount]]-Table33[[#This Row],[Account Withdrawl Amount]], )</f>
        <v>0</v>
      </c>
      <c r="V409" s="243">
        <f>IF(Table33[[#This Row],[Category]]="Other Expense",Table33[[#This Row],[Account Deposit Amount]]-Table33[[#This Row],[Account Withdrawl Amount]], )</f>
        <v>0</v>
      </c>
    </row>
    <row r="410" spans="1:22">
      <c r="A410" s="225"/>
      <c r="B410" s="241"/>
      <c r="C410" s="225"/>
      <c r="D410" s="225"/>
      <c r="E410" s="242"/>
      <c r="F410" s="242"/>
      <c r="G410" s="243">
        <f t="shared" si="9"/>
        <v>0</v>
      </c>
      <c r="H410" s="225"/>
      <c r="I410" s="243">
        <f>IF(Table33[[#This Row],[Category]]="Fall Product",Table33[[#This Row],[Account Deposit Amount]]-Table33[[#This Row],[Account Withdrawl Amount]], )</f>
        <v>0</v>
      </c>
      <c r="J410" s="243">
        <f>IF(Table33[[#This Row],[Category]]="Cookies",Table33[[#This Row],[Account Deposit Amount]]-Table33[[#This Row],[Account Withdrawl Amount]], )</f>
        <v>0</v>
      </c>
      <c r="K410" s="243">
        <f>IF(Table33[[#This Row],[Category]]="Additional Money Earning Activities",Table33[[#This Row],[Account Deposit Amount]]-Table33[[#This Row],[Account Withdrawl Amount]], )</f>
        <v>0</v>
      </c>
      <c r="L410" s="243">
        <f>IF(Table33[[#This Row],[Category]]="Sponsorships",Table33[[#This Row],[Account Deposit Amount]]-Table33[[#This Row],[Account Withdrawl Amount]], )</f>
        <v>0</v>
      </c>
      <c r="M410" s="243">
        <f>IF(Table33[[#This Row],[Category]]="Troop Dues",Table33[[#This Row],[Account Deposit Amount]]-Table33[[#This Row],[Account Withdrawl Amount]], )</f>
        <v>0</v>
      </c>
      <c r="N410" s="243">
        <f>IF(Table33[[#This Row],[Category]]="Other Income",Table33[[#This Row],[Account Deposit Amount]]-Table33[[#This Row],[Account Withdrawl Amount]], )</f>
        <v>0</v>
      </c>
      <c r="O410" s="243">
        <f>IF(Table33[[#This Row],[Category]]="Registration",Table33[[#This Row],[Account Deposit Amount]]-Table33[[#This Row],[Account Withdrawl Amount]], )</f>
        <v>0</v>
      </c>
      <c r="P410" s="243">
        <f>IF(Table33[[#This Row],[Category]]="Insignia",Table33[[#This Row],[Account Deposit Amount]]-Table33[[#This Row],[Account Withdrawl Amount]], )</f>
        <v>0</v>
      </c>
      <c r="Q410" s="243">
        <f>IF(Table33[[#This Row],[Category]]="Activities/Program",Table33[[#This Row],[Account Deposit Amount]]-Table33[[#This Row],[Account Withdrawl Amount]], )</f>
        <v>0</v>
      </c>
      <c r="R410" s="243">
        <f>IF(Table33[[#This Row],[Category]]="Travel",Table33[[#This Row],[Account Deposit Amount]]-Table33[[#This Row],[Account Withdrawl Amount]], )</f>
        <v>0</v>
      </c>
      <c r="S410" s="243">
        <f>IF(Table33[[#This Row],[Category]]="Parties Food &amp; Beverages",Table33[[#This Row],[Account Deposit Amount]]-Table33[[#This Row],[Account Withdrawl Amount]], )</f>
        <v>0</v>
      </c>
      <c r="T410" s="243">
        <f>IF(Table33[[#This Row],[Category]]="Service Projects Donation",Table33[[#This Row],[Account Deposit Amount]]-Table33[[#This Row],[Account Withdrawl Amount]], )</f>
        <v>0</v>
      </c>
      <c r="U410" s="243">
        <f>IF(Table33[[#This Row],[Category]]="Cookie Debt",Table33[[#This Row],[Account Deposit Amount]]-Table33[[#This Row],[Account Withdrawl Amount]], )</f>
        <v>0</v>
      </c>
      <c r="V410" s="243">
        <f>IF(Table33[[#This Row],[Category]]="Other Expense",Table33[[#This Row],[Account Deposit Amount]]-Table33[[#This Row],[Account Withdrawl Amount]], )</f>
        <v>0</v>
      </c>
    </row>
    <row r="411" spans="1:22">
      <c r="A411" s="225"/>
      <c r="B411" s="241"/>
      <c r="C411" s="225"/>
      <c r="D411" s="225"/>
      <c r="E411" s="242"/>
      <c r="F411" s="242"/>
      <c r="G411" s="243">
        <f t="shared" si="9"/>
        <v>0</v>
      </c>
      <c r="H411" s="225"/>
      <c r="I411" s="243">
        <f>IF(Table33[[#This Row],[Category]]="Fall Product",Table33[[#This Row],[Account Deposit Amount]]-Table33[[#This Row],[Account Withdrawl Amount]], )</f>
        <v>0</v>
      </c>
      <c r="J411" s="243">
        <f>IF(Table33[[#This Row],[Category]]="Cookies",Table33[[#This Row],[Account Deposit Amount]]-Table33[[#This Row],[Account Withdrawl Amount]], )</f>
        <v>0</v>
      </c>
      <c r="K411" s="243">
        <f>IF(Table33[[#This Row],[Category]]="Additional Money Earning Activities",Table33[[#This Row],[Account Deposit Amount]]-Table33[[#This Row],[Account Withdrawl Amount]], )</f>
        <v>0</v>
      </c>
      <c r="L411" s="243">
        <f>IF(Table33[[#This Row],[Category]]="Sponsorships",Table33[[#This Row],[Account Deposit Amount]]-Table33[[#This Row],[Account Withdrawl Amount]], )</f>
        <v>0</v>
      </c>
      <c r="M411" s="243">
        <f>IF(Table33[[#This Row],[Category]]="Troop Dues",Table33[[#This Row],[Account Deposit Amount]]-Table33[[#This Row],[Account Withdrawl Amount]], )</f>
        <v>0</v>
      </c>
      <c r="N411" s="243">
        <f>IF(Table33[[#This Row],[Category]]="Other Income",Table33[[#This Row],[Account Deposit Amount]]-Table33[[#This Row],[Account Withdrawl Amount]], )</f>
        <v>0</v>
      </c>
      <c r="O411" s="243">
        <f>IF(Table33[[#This Row],[Category]]="Registration",Table33[[#This Row],[Account Deposit Amount]]-Table33[[#This Row],[Account Withdrawl Amount]], )</f>
        <v>0</v>
      </c>
      <c r="P411" s="243">
        <f>IF(Table33[[#This Row],[Category]]="Insignia",Table33[[#This Row],[Account Deposit Amount]]-Table33[[#This Row],[Account Withdrawl Amount]], )</f>
        <v>0</v>
      </c>
      <c r="Q411" s="243">
        <f>IF(Table33[[#This Row],[Category]]="Activities/Program",Table33[[#This Row],[Account Deposit Amount]]-Table33[[#This Row],[Account Withdrawl Amount]], )</f>
        <v>0</v>
      </c>
      <c r="R411" s="243">
        <f>IF(Table33[[#This Row],[Category]]="Travel",Table33[[#This Row],[Account Deposit Amount]]-Table33[[#This Row],[Account Withdrawl Amount]], )</f>
        <v>0</v>
      </c>
      <c r="S411" s="243">
        <f>IF(Table33[[#This Row],[Category]]="Parties Food &amp; Beverages",Table33[[#This Row],[Account Deposit Amount]]-Table33[[#This Row],[Account Withdrawl Amount]], )</f>
        <v>0</v>
      </c>
      <c r="T411" s="243">
        <f>IF(Table33[[#This Row],[Category]]="Service Projects Donation",Table33[[#This Row],[Account Deposit Amount]]-Table33[[#This Row],[Account Withdrawl Amount]], )</f>
        <v>0</v>
      </c>
      <c r="U411" s="243">
        <f>IF(Table33[[#This Row],[Category]]="Cookie Debt",Table33[[#This Row],[Account Deposit Amount]]-Table33[[#This Row],[Account Withdrawl Amount]], )</f>
        <v>0</v>
      </c>
      <c r="V411" s="243">
        <f>IF(Table33[[#This Row],[Category]]="Other Expense",Table33[[#This Row],[Account Deposit Amount]]-Table33[[#This Row],[Account Withdrawl Amount]], )</f>
        <v>0</v>
      </c>
    </row>
    <row r="412" spans="1:22">
      <c r="A412" s="225"/>
      <c r="B412" s="241"/>
      <c r="C412" s="225"/>
      <c r="D412" s="225"/>
      <c r="E412" s="242"/>
      <c r="F412" s="242"/>
      <c r="G412" s="243">
        <f t="shared" si="9"/>
        <v>0</v>
      </c>
      <c r="H412" s="225"/>
      <c r="I412" s="243">
        <f>IF(Table33[[#This Row],[Category]]="Fall Product",Table33[[#This Row],[Account Deposit Amount]]-Table33[[#This Row],[Account Withdrawl Amount]], )</f>
        <v>0</v>
      </c>
      <c r="J412" s="243">
        <f>IF(Table33[[#This Row],[Category]]="Cookies",Table33[[#This Row],[Account Deposit Amount]]-Table33[[#This Row],[Account Withdrawl Amount]], )</f>
        <v>0</v>
      </c>
      <c r="K412" s="243">
        <f>IF(Table33[[#This Row],[Category]]="Additional Money Earning Activities",Table33[[#This Row],[Account Deposit Amount]]-Table33[[#This Row],[Account Withdrawl Amount]], )</f>
        <v>0</v>
      </c>
      <c r="L412" s="243">
        <f>IF(Table33[[#This Row],[Category]]="Sponsorships",Table33[[#This Row],[Account Deposit Amount]]-Table33[[#This Row],[Account Withdrawl Amount]], )</f>
        <v>0</v>
      </c>
      <c r="M412" s="243">
        <f>IF(Table33[[#This Row],[Category]]="Troop Dues",Table33[[#This Row],[Account Deposit Amount]]-Table33[[#This Row],[Account Withdrawl Amount]], )</f>
        <v>0</v>
      </c>
      <c r="N412" s="243">
        <f>IF(Table33[[#This Row],[Category]]="Other Income",Table33[[#This Row],[Account Deposit Amount]]-Table33[[#This Row],[Account Withdrawl Amount]], )</f>
        <v>0</v>
      </c>
      <c r="O412" s="243">
        <f>IF(Table33[[#This Row],[Category]]="Registration",Table33[[#This Row],[Account Deposit Amount]]-Table33[[#This Row],[Account Withdrawl Amount]], )</f>
        <v>0</v>
      </c>
      <c r="P412" s="243">
        <f>IF(Table33[[#This Row],[Category]]="Insignia",Table33[[#This Row],[Account Deposit Amount]]-Table33[[#This Row],[Account Withdrawl Amount]], )</f>
        <v>0</v>
      </c>
      <c r="Q412" s="243">
        <f>IF(Table33[[#This Row],[Category]]="Activities/Program",Table33[[#This Row],[Account Deposit Amount]]-Table33[[#This Row],[Account Withdrawl Amount]], )</f>
        <v>0</v>
      </c>
      <c r="R412" s="243">
        <f>IF(Table33[[#This Row],[Category]]="Travel",Table33[[#This Row],[Account Deposit Amount]]-Table33[[#This Row],[Account Withdrawl Amount]], )</f>
        <v>0</v>
      </c>
      <c r="S412" s="243">
        <f>IF(Table33[[#This Row],[Category]]="Parties Food &amp; Beverages",Table33[[#This Row],[Account Deposit Amount]]-Table33[[#This Row],[Account Withdrawl Amount]], )</f>
        <v>0</v>
      </c>
      <c r="T412" s="243">
        <f>IF(Table33[[#This Row],[Category]]="Service Projects Donation",Table33[[#This Row],[Account Deposit Amount]]-Table33[[#This Row],[Account Withdrawl Amount]], )</f>
        <v>0</v>
      </c>
      <c r="U412" s="243">
        <f>IF(Table33[[#This Row],[Category]]="Cookie Debt",Table33[[#This Row],[Account Deposit Amount]]-Table33[[#This Row],[Account Withdrawl Amount]], )</f>
        <v>0</v>
      </c>
      <c r="V412" s="243">
        <f>IF(Table33[[#This Row],[Category]]="Other Expense",Table33[[#This Row],[Account Deposit Amount]]-Table33[[#This Row],[Account Withdrawl Amount]], )</f>
        <v>0</v>
      </c>
    </row>
    <row r="413" spans="1:22">
      <c r="A413" s="225"/>
      <c r="B413" s="241"/>
      <c r="C413" s="225"/>
      <c r="D413" s="225"/>
      <c r="E413" s="242"/>
      <c r="F413" s="242"/>
      <c r="G413" s="243">
        <f t="shared" si="9"/>
        <v>0</v>
      </c>
      <c r="H413" s="225"/>
      <c r="I413" s="243">
        <f>IF(Table33[[#This Row],[Category]]="Fall Product",Table33[[#This Row],[Account Deposit Amount]]-Table33[[#This Row],[Account Withdrawl Amount]], )</f>
        <v>0</v>
      </c>
      <c r="J413" s="243">
        <f>IF(Table33[[#This Row],[Category]]="Cookies",Table33[[#This Row],[Account Deposit Amount]]-Table33[[#This Row],[Account Withdrawl Amount]], )</f>
        <v>0</v>
      </c>
      <c r="K413" s="243">
        <f>IF(Table33[[#This Row],[Category]]="Additional Money Earning Activities",Table33[[#This Row],[Account Deposit Amount]]-Table33[[#This Row],[Account Withdrawl Amount]], )</f>
        <v>0</v>
      </c>
      <c r="L413" s="243">
        <f>IF(Table33[[#This Row],[Category]]="Sponsorships",Table33[[#This Row],[Account Deposit Amount]]-Table33[[#This Row],[Account Withdrawl Amount]], )</f>
        <v>0</v>
      </c>
      <c r="M413" s="243">
        <f>IF(Table33[[#This Row],[Category]]="Troop Dues",Table33[[#This Row],[Account Deposit Amount]]-Table33[[#This Row],[Account Withdrawl Amount]], )</f>
        <v>0</v>
      </c>
      <c r="N413" s="243">
        <f>IF(Table33[[#This Row],[Category]]="Other Income",Table33[[#This Row],[Account Deposit Amount]]-Table33[[#This Row],[Account Withdrawl Amount]], )</f>
        <v>0</v>
      </c>
      <c r="O413" s="243">
        <f>IF(Table33[[#This Row],[Category]]="Registration",Table33[[#This Row],[Account Deposit Amount]]-Table33[[#This Row],[Account Withdrawl Amount]], )</f>
        <v>0</v>
      </c>
      <c r="P413" s="243">
        <f>IF(Table33[[#This Row],[Category]]="Insignia",Table33[[#This Row],[Account Deposit Amount]]-Table33[[#This Row],[Account Withdrawl Amount]], )</f>
        <v>0</v>
      </c>
      <c r="Q413" s="243">
        <f>IF(Table33[[#This Row],[Category]]="Activities/Program",Table33[[#This Row],[Account Deposit Amount]]-Table33[[#This Row],[Account Withdrawl Amount]], )</f>
        <v>0</v>
      </c>
      <c r="R413" s="243">
        <f>IF(Table33[[#This Row],[Category]]="Travel",Table33[[#This Row],[Account Deposit Amount]]-Table33[[#This Row],[Account Withdrawl Amount]], )</f>
        <v>0</v>
      </c>
      <c r="S413" s="243">
        <f>IF(Table33[[#This Row],[Category]]="Parties Food &amp; Beverages",Table33[[#This Row],[Account Deposit Amount]]-Table33[[#This Row],[Account Withdrawl Amount]], )</f>
        <v>0</v>
      </c>
      <c r="T413" s="243">
        <f>IF(Table33[[#This Row],[Category]]="Service Projects Donation",Table33[[#This Row],[Account Deposit Amount]]-Table33[[#This Row],[Account Withdrawl Amount]], )</f>
        <v>0</v>
      </c>
      <c r="U413" s="243">
        <f>IF(Table33[[#This Row],[Category]]="Cookie Debt",Table33[[#This Row],[Account Deposit Amount]]-Table33[[#This Row],[Account Withdrawl Amount]], )</f>
        <v>0</v>
      </c>
      <c r="V413" s="243">
        <f>IF(Table33[[#This Row],[Category]]="Other Expense",Table33[[#This Row],[Account Deposit Amount]]-Table33[[#This Row],[Account Withdrawl Amount]], )</f>
        <v>0</v>
      </c>
    </row>
    <row r="414" spans="1:22">
      <c r="A414" s="225"/>
      <c r="B414" s="241"/>
      <c r="C414" s="225"/>
      <c r="D414" s="225"/>
      <c r="E414" s="242"/>
      <c r="F414" s="242"/>
      <c r="G414" s="243">
        <f t="shared" si="9"/>
        <v>0</v>
      </c>
      <c r="H414" s="225"/>
      <c r="I414" s="243">
        <f>IF(Table33[[#This Row],[Category]]="Fall Product",Table33[[#This Row],[Account Deposit Amount]]-Table33[[#This Row],[Account Withdrawl Amount]], )</f>
        <v>0</v>
      </c>
      <c r="J414" s="243">
        <f>IF(Table33[[#This Row],[Category]]="Cookies",Table33[[#This Row],[Account Deposit Amount]]-Table33[[#This Row],[Account Withdrawl Amount]], )</f>
        <v>0</v>
      </c>
      <c r="K414" s="243">
        <f>IF(Table33[[#This Row],[Category]]="Additional Money Earning Activities",Table33[[#This Row],[Account Deposit Amount]]-Table33[[#This Row],[Account Withdrawl Amount]], )</f>
        <v>0</v>
      </c>
      <c r="L414" s="243">
        <f>IF(Table33[[#This Row],[Category]]="Sponsorships",Table33[[#This Row],[Account Deposit Amount]]-Table33[[#This Row],[Account Withdrawl Amount]], )</f>
        <v>0</v>
      </c>
      <c r="M414" s="243">
        <f>IF(Table33[[#This Row],[Category]]="Troop Dues",Table33[[#This Row],[Account Deposit Amount]]-Table33[[#This Row],[Account Withdrawl Amount]], )</f>
        <v>0</v>
      </c>
      <c r="N414" s="243">
        <f>IF(Table33[[#This Row],[Category]]="Other Income",Table33[[#This Row],[Account Deposit Amount]]-Table33[[#This Row],[Account Withdrawl Amount]], )</f>
        <v>0</v>
      </c>
      <c r="O414" s="243">
        <f>IF(Table33[[#This Row],[Category]]="Registration",Table33[[#This Row],[Account Deposit Amount]]-Table33[[#This Row],[Account Withdrawl Amount]], )</f>
        <v>0</v>
      </c>
      <c r="P414" s="243">
        <f>IF(Table33[[#This Row],[Category]]="Insignia",Table33[[#This Row],[Account Deposit Amount]]-Table33[[#This Row],[Account Withdrawl Amount]], )</f>
        <v>0</v>
      </c>
      <c r="Q414" s="243">
        <f>IF(Table33[[#This Row],[Category]]="Activities/Program",Table33[[#This Row],[Account Deposit Amount]]-Table33[[#This Row],[Account Withdrawl Amount]], )</f>
        <v>0</v>
      </c>
      <c r="R414" s="243">
        <f>IF(Table33[[#This Row],[Category]]="Travel",Table33[[#This Row],[Account Deposit Amount]]-Table33[[#This Row],[Account Withdrawl Amount]], )</f>
        <v>0</v>
      </c>
      <c r="S414" s="243">
        <f>IF(Table33[[#This Row],[Category]]="Parties Food &amp; Beverages",Table33[[#This Row],[Account Deposit Amount]]-Table33[[#This Row],[Account Withdrawl Amount]], )</f>
        <v>0</v>
      </c>
      <c r="T414" s="243">
        <f>IF(Table33[[#This Row],[Category]]="Service Projects Donation",Table33[[#This Row],[Account Deposit Amount]]-Table33[[#This Row],[Account Withdrawl Amount]], )</f>
        <v>0</v>
      </c>
      <c r="U414" s="243">
        <f>IF(Table33[[#This Row],[Category]]="Cookie Debt",Table33[[#This Row],[Account Deposit Amount]]-Table33[[#This Row],[Account Withdrawl Amount]], )</f>
        <v>0</v>
      </c>
      <c r="V414" s="243">
        <f>IF(Table33[[#This Row],[Category]]="Other Expense",Table33[[#This Row],[Account Deposit Amount]]-Table33[[#This Row],[Account Withdrawl Amount]], )</f>
        <v>0</v>
      </c>
    </row>
    <row r="415" spans="1:22">
      <c r="A415" s="225"/>
      <c r="B415" s="241"/>
      <c r="C415" s="225"/>
      <c r="D415" s="225"/>
      <c r="E415" s="242"/>
      <c r="F415" s="242"/>
      <c r="G415" s="243">
        <f t="shared" si="9"/>
        <v>0</v>
      </c>
      <c r="H415" s="225"/>
      <c r="I415" s="243">
        <f>IF(Table33[[#This Row],[Category]]="Fall Product",Table33[[#This Row],[Account Deposit Amount]]-Table33[[#This Row],[Account Withdrawl Amount]], )</f>
        <v>0</v>
      </c>
      <c r="J415" s="243">
        <f>IF(Table33[[#This Row],[Category]]="Cookies",Table33[[#This Row],[Account Deposit Amount]]-Table33[[#This Row],[Account Withdrawl Amount]], )</f>
        <v>0</v>
      </c>
      <c r="K415" s="243">
        <f>IF(Table33[[#This Row],[Category]]="Additional Money Earning Activities",Table33[[#This Row],[Account Deposit Amount]]-Table33[[#This Row],[Account Withdrawl Amount]], )</f>
        <v>0</v>
      </c>
      <c r="L415" s="243">
        <f>IF(Table33[[#This Row],[Category]]="Sponsorships",Table33[[#This Row],[Account Deposit Amount]]-Table33[[#This Row],[Account Withdrawl Amount]], )</f>
        <v>0</v>
      </c>
      <c r="M415" s="243">
        <f>IF(Table33[[#This Row],[Category]]="Troop Dues",Table33[[#This Row],[Account Deposit Amount]]-Table33[[#This Row],[Account Withdrawl Amount]], )</f>
        <v>0</v>
      </c>
      <c r="N415" s="243">
        <f>IF(Table33[[#This Row],[Category]]="Other Income",Table33[[#This Row],[Account Deposit Amount]]-Table33[[#This Row],[Account Withdrawl Amount]], )</f>
        <v>0</v>
      </c>
      <c r="O415" s="243">
        <f>IF(Table33[[#This Row],[Category]]="Registration",Table33[[#This Row],[Account Deposit Amount]]-Table33[[#This Row],[Account Withdrawl Amount]], )</f>
        <v>0</v>
      </c>
      <c r="P415" s="243">
        <f>IF(Table33[[#This Row],[Category]]="Insignia",Table33[[#This Row],[Account Deposit Amount]]-Table33[[#This Row],[Account Withdrawl Amount]], )</f>
        <v>0</v>
      </c>
      <c r="Q415" s="243">
        <f>IF(Table33[[#This Row],[Category]]="Activities/Program",Table33[[#This Row],[Account Deposit Amount]]-Table33[[#This Row],[Account Withdrawl Amount]], )</f>
        <v>0</v>
      </c>
      <c r="R415" s="243">
        <f>IF(Table33[[#This Row],[Category]]="Travel",Table33[[#This Row],[Account Deposit Amount]]-Table33[[#This Row],[Account Withdrawl Amount]], )</f>
        <v>0</v>
      </c>
      <c r="S415" s="243">
        <f>IF(Table33[[#This Row],[Category]]="Parties Food &amp; Beverages",Table33[[#This Row],[Account Deposit Amount]]-Table33[[#This Row],[Account Withdrawl Amount]], )</f>
        <v>0</v>
      </c>
      <c r="T415" s="243">
        <f>IF(Table33[[#This Row],[Category]]="Service Projects Donation",Table33[[#This Row],[Account Deposit Amount]]-Table33[[#This Row],[Account Withdrawl Amount]], )</f>
        <v>0</v>
      </c>
      <c r="U415" s="243">
        <f>IF(Table33[[#This Row],[Category]]="Cookie Debt",Table33[[#This Row],[Account Deposit Amount]]-Table33[[#This Row],[Account Withdrawl Amount]], )</f>
        <v>0</v>
      </c>
      <c r="V415" s="243">
        <f>IF(Table33[[#This Row],[Category]]="Other Expense",Table33[[#This Row],[Account Deposit Amount]]-Table33[[#This Row],[Account Withdrawl Amount]], )</f>
        <v>0</v>
      </c>
    </row>
    <row r="416" spans="1:22">
      <c r="A416" s="225"/>
      <c r="B416" s="241"/>
      <c r="C416" s="225"/>
      <c r="D416" s="225"/>
      <c r="E416" s="242"/>
      <c r="F416" s="242"/>
      <c r="G416" s="243">
        <f t="shared" si="9"/>
        <v>0</v>
      </c>
      <c r="H416" s="225"/>
      <c r="I416" s="243">
        <f>IF(Table33[[#This Row],[Category]]="Fall Product",Table33[[#This Row],[Account Deposit Amount]]-Table33[[#This Row],[Account Withdrawl Amount]], )</f>
        <v>0</v>
      </c>
      <c r="J416" s="243">
        <f>IF(Table33[[#This Row],[Category]]="Cookies",Table33[[#This Row],[Account Deposit Amount]]-Table33[[#This Row],[Account Withdrawl Amount]], )</f>
        <v>0</v>
      </c>
      <c r="K416" s="243">
        <f>IF(Table33[[#This Row],[Category]]="Additional Money Earning Activities",Table33[[#This Row],[Account Deposit Amount]]-Table33[[#This Row],[Account Withdrawl Amount]], )</f>
        <v>0</v>
      </c>
      <c r="L416" s="243">
        <f>IF(Table33[[#This Row],[Category]]="Sponsorships",Table33[[#This Row],[Account Deposit Amount]]-Table33[[#This Row],[Account Withdrawl Amount]], )</f>
        <v>0</v>
      </c>
      <c r="M416" s="243">
        <f>IF(Table33[[#This Row],[Category]]="Troop Dues",Table33[[#This Row],[Account Deposit Amount]]-Table33[[#This Row],[Account Withdrawl Amount]], )</f>
        <v>0</v>
      </c>
      <c r="N416" s="243">
        <f>IF(Table33[[#This Row],[Category]]="Other Income",Table33[[#This Row],[Account Deposit Amount]]-Table33[[#This Row],[Account Withdrawl Amount]], )</f>
        <v>0</v>
      </c>
      <c r="O416" s="243">
        <f>IF(Table33[[#This Row],[Category]]="Registration",Table33[[#This Row],[Account Deposit Amount]]-Table33[[#This Row],[Account Withdrawl Amount]], )</f>
        <v>0</v>
      </c>
      <c r="P416" s="243">
        <f>IF(Table33[[#This Row],[Category]]="Insignia",Table33[[#This Row],[Account Deposit Amount]]-Table33[[#This Row],[Account Withdrawl Amount]], )</f>
        <v>0</v>
      </c>
      <c r="Q416" s="243">
        <f>IF(Table33[[#This Row],[Category]]="Activities/Program",Table33[[#This Row],[Account Deposit Amount]]-Table33[[#This Row],[Account Withdrawl Amount]], )</f>
        <v>0</v>
      </c>
      <c r="R416" s="243">
        <f>IF(Table33[[#This Row],[Category]]="Travel",Table33[[#This Row],[Account Deposit Amount]]-Table33[[#This Row],[Account Withdrawl Amount]], )</f>
        <v>0</v>
      </c>
      <c r="S416" s="243">
        <f>IF(Table33[[#This Row],[Category]]="Parties Food &amp; Beverages",Table33[[#This Row],[Account Deposit Amount]]-Table33[[#This Row],[Account Withdrawl Amount]], )</f>
        <v>0</v>
      </c>
      <c r="T416" s="243">
        <f>IF(Table33[[#This Row],[Category]]="Service Projects Donation",Table33[[#This Row],[Account Deposit Amount]]-Table33[[#This Row],[Account Withdrawl Amount]], )</f>
        <v>0</v>
      </c>
      <c r="U416" s="243">
        <f>IF(Table33[[#This Row],[Category]]="Cookie Debt",Table33[[#This Row],[Account Deposit Amount]]-Table33[[#This Row],[Account Withdrawl Amount]], )</f>
        <v>0</v>
      </c>
      <c r="V416" s="243">
        <f>IF(Table33[[#This Row],[Category]]="Other Expense",Table33[[#This Row],[Account Deposit Amount]]-Table33[[#This Row],[Account Withdrawl Amount]], )</f>
        <v>0</v>
      </c>
    </row>
    <row r="417" spans="1:22">
      <c r="A417" s="225"/>
      <c r="B417" s="241"/>
      <c r="C417" s="225"/>
      <c r="D417" s="225"/>
      <c r="E417" s="242"/>
      <c r="F417" s="242"/>
      <c r="G417" s="243">
        <f t="shared" si="9"/>
        <v>0</v>
      </c>
      <c r="H417" s="225"/>
      <c r="I417" s="243">
        <f>IF(Table33[[#This Row],[Category]]="Fall Product",Table33[[#This Row],[Account Deposit Amount]]-Table33[[#This Row],[Account Withdrawl Amount]], )</f>
        <v>0</v>
      </c>
      <c r="J417" s="243">
        <f>IF(Table33[[#This Row],[Category]]="Cookies",Table33[[#This Row],[Account Deposit Amount]]-Table33[[#This Row],[Account Withdrawl Amount]], )</f>
        <v>0</v>
      </c>
      <c r="K417" s="243">
        <f>IF(Table33[[#This Row],[Category]]="Additional Money Earning Activities",Table33[[#This Row],[Account Deposit Amount]]-Table33[[#This Row],[Account Withdrawl Amount]], )</f>
        <v>0</v>
      </c>
      <c r="L417" s="243">
        <f>IF(Table33[[#This Row],[Category]]="Sponsorships",Table33[[#This Row],[Account Deposit Amount]]-Table33[[#This Row],[Account Withdrawl Amount]], )</f>
        <v>0</v>
      </c>
      <c r="M417" s="243">
        <f>IF(Table33[[#This Row],[Category]]="Troop Dues",Table33[[#This Row],[Account Deposit Amount]]-Table33[[#This Row],[Account Withdrawl Amount]], )</f>
        <v>0</v>
      </c>
      <c r="N417" s="243">
        <f>IF(Table33[[#This Row],[Category]]="Other Income",Table33[[#This Row],[Account Deposit Amount]]-Table33[[#This Row],[Account Withdrawl Amount]], )</f>
        <v>0</v>
      </c>
      <c r="O417" s="243">
        <f>IF(Table33[[#This Row],[Category]]="Registration",Table33[[#This Row],[Account Deposit Amount]]-Table33[[#This Row],[Account Withdrawl Amount]], )</f>
        <v>0</v>
      </c>
      <c r="P417" s="243">
        <f>IF(Table33[[#This Row],[Category]]="Insignia",Table33[[#This Row],[Account Deposit Amount]]-Table33[[#This Row],[Account Withdrawl Amount]], )</f>
        <v>0</v>
      </c>
      <c r="Q417" s="243">
        <f>IF(Table33[[#This Row],[Category]]="Activities/Program",Table33[[#This Row],[Account Deposit Amount]]-Table33[[#This Row],[Account Withdrawl Amount]], )</f>
        <v>0</v>
      </c>
      <c r="R417" s="243">
        <f>IF(Table33[[#This Row],[Category]]="Travel",Table33[[#This Row],[Account Deposit Amount]]-Table33[[#This Row],[Account Withdrawl Amount]], )</f>
        <v>0</v>
      </c>
      <c r="S417" s="243">
        <f>IF(Table33[[#This Row],[Category]]="Parties Food &amp; Beverages",Table33[[#This Row],[Account Deposit Amount]]-Table33[[#This Row],[Account Withdrawl Amount]], )</f>
        <v>0</v>
      </c>
      <c r="T417" s="243">
        <f>IF(Table33[[#This Row],[Category]]="Service Projects Donation",Table33[[#This Row],[Account Deposit Amount]]-Table33[[#This Row],[Account Withdrawl Amount]], )</f>
        <v>0</v>
      </c>
      <c r="U417" s="243">
        <f>IF(Table33[[#This Row],[Category]]="Cookie Debt",Table33[[#This Row],[Account Deposit Amount]]-Table33[[#This Row],[Account Withdrawl Amount]], )</f>
        <v>0</v>
      </c>
      <c r="V417" s="243">
        <f>IF(Table33[[#This Row],[Category]]="Other Expense",Table33[[#This Row],[Account Deposit Amount]]-Table33[[#This Row],[Account Withdrawl Amount]], )</f>
        <v>0</v>
      </c>
    </row>
    <row r="418" spans="1:22">
      <c r="A418" s="225"/>
      <c r="B418" s="241"/>
      <c r="C418" s="225"/>
      <c r="D418" s="225"/>
      <c r="E418" s="242"/>
      <c r="F418" s="242"/>
      <c r="G418" s="243">
        <f t="shared" si="9"/>
        <v>0</v>
      </c>
      <c r="H418" s="225"/>
      <c r="I418" s="243">
        <f>IF(Table33[[#This Row],[Category]]="Fall Product",Table33[[#This Row],[Account Deposit Amount]]-Table33[[#This Row],[Account Withdrawl Amount]], )</f>
        <v>0</v>
      </c>
      <c r="J418" s="243">
        <f>IF(Table33[[#This Row],[Category]]="Cookies",Table33[[#This Row],[Account Deposit Amount]]-Table33[[#This Row],[Account Withdrawl Amount]], )</f>
        <v>0</v>
      </c>
      <c r="K418" s="243">
        <f>IF(Table33[[#This Row],[Category]]="Additional Money Earning Activities",Table33[[#This Row],[Account Deposit Amount]]-Table33[[#This Row],[Account Withdrawl Amount]], )</f>
        <v>0</v>
      </c>
      <c r="L418" s="243">
        <f>IF(Table33[[#This Row],[Category]]="Sponsorships",Table33[[#This Row],[Account Deposit Amount]]-Table33[[#This Row],[Account Withdrawl Amount]], )</f>
        <v>0</v>
      </c>
      <c r="M418" s="243">
        <f>IF(Table33[[#This Row],[Category]]="Troop Dues",Table33[[#This Row],[Account Deposit Amount]]-Table33[[#This Row],[Account Withdrawl Amount]], )</f>
        <v>0</v>
      </c>
      <c r="N418" s="243">
        <f>IF(Table33[[#This Row],[Category]]="Other Income",Table33[[#This Row],[Account Deposit Amount]]-Table33[[#This Row],[Account Withdrawl Amount]], )</f>
        <v>0</v>
      </c>
      <c r="O418" s="243">
        <f>IF(Table33[[#This Row],[Category]]="Registration",Table33[[#This Row],[Account Deposit Amount]]-Table33[[#This Row],[Account Withdrawl Amount]], )</f>
        <v>0</v>
      </c>
      <c r="P418" s="243">
        <f>IF(Table33[[#This Row],[Category]]="Insignia",Table33[[#This Row],[Account Deposit Amount]]-Table33[[#This Row],[Account Withdrawl Amount]], )</f>
        <v>0</v>
      </c>
      <c r="Q418" s="243">
        <f>IF(Table33[[#This Row],[Category]]="Activities/Program",Table33[[#This Row],[Account Deposit Amount]]-Table33[[#This Row],[Account Withdrawl Amount]], )</f>
        <v>0</v>
      </c>
      <c r="R418" s="243">
        <f>IF(Table33[[#This Row],[Category]]="Travel",Table33[[#This Row],[Account Deposit Amount]]-Table33[[#This Row],[Account Withdrawl Amount]], )</f>
        <v>0</v>
      </c>
      <c r="S418" s="243">
        <f>IF(Table33[[#This Row],[Category]]="Parties Food &amp; Beverages",Table33[[#This Row],[Account Deposit Amount]]-Table33[[#This Row],[Account Withdrawl Amount]], )</f>
        <v>0</v>
      </c>
      <c r="T418" s="243">
        <f>IF(Table33[[#This Row],[Category]]="Service Projects Donation",Table33[[#This Row],[Account Deposit Amount]]-Table33[[#This Row],[Account Withdrawl Amount]], )</f>
        <v>0</v>
      </c>
      <c r="U418" s="243">
        <f>IF(Table33[[#This Row],[Category]]="Cookie Debt",Table33[[#This Row],[Account Deposit Amount]]-Table33[[#This Row],[Account Withdrawl Amount]], )</f>
        <v>0</v>
      </c>
      <c r="V418" s="243">
        <f>IF(Table33[[#This Row],[Category]]="Other Expense",Table33[[#This Row],[Account Deposit Amount]]-Table33[[#This Row],[Account Withdrawl Amount]], )</f>
        <v>0</v>
      </c>
    </row>
    <row r="419" spans="1:22">
      <c r="A419" s="225"/>
      <c r="B419" s="241"/>
      <c r="C419" s="225"/>
      <c r="D419" s="225"/>
      <c r="E419" s="242"/>
      <c r="F419" s="242"/>
      <c r="G419" s="243">
        <f t="shared" si="9"/>
        <v>0</v>
      </c>
      <c r="H419" s="225"/>
      <c r="I419" s="243">
        <f>IF(Table33[[#This Row],[Category]]="Fall Product",Table33[[#This Row],[Account Deposit Amount]]-Table33[[#This Row],[Account Withdrawl Amount]], )</f>
        <v>0</v>
      </c>
      <c r="J419" s="243">
        <f>IF(Table33[[#This Row],[Category]]="Cookies",Table33[[#This Row],[Account Deposit Amount]]-Table33[[#This Row],[Account Withdrawl Amount]], )</f>
        <v>0</v>
      </c>
      <c r="K419" s="243">
        <f>IF(Table33[[#This Row],[Category]]="Additional Money Earning Activities",Table33[[#This Row],[Account Deposit Amount]]-Table33[[#This Row],[Account Withdrawl Amount]], )</f>
        <v>0</v>
      </c>
      <c r="L419" s="243">
        <f>IF(Table33[[#This Row],[Category]]="Sponsorships",Table33[[#This Row],[Account Deposit Amount]]-Table33[[#This Row],[Account Withdrawl Amount]], )</f>
        <v>0</v>
      </c>
      <c r="M419" s="243">
        <f>IF(Table33[[#This Row],[Category]]="Troop Dues",Table33[[#This Row],[Account Deposit Amount]]-Table33[[#This Row],[Account Withdrawl Amount]], )</f>
        <v>0</v>
      </c>
      <c r="N419" s="243">
        <f>IF(Table33[[#This Row],[Category]]="Other Income",Table33[[#This Row],[Account Deposit Amount]]-Table33[[#This Row],[Account Withdrawl Amount]], )</f>
        <v>0</v>
      </c>
      <c r="O419" s="243">
        <f>IF(Table33[[#This Row],[Category]]="Registration",Table33[[#This Row],[Account Deposit Amount]]-Table33[[#This Row],[Account Withdrawl Amount]], )</f>
        <v>0</v>
      </c>
      <c r="P419" s="243">
        <f>IF(Table33[[#This Row],[Category]]="Insignia",Table33[[#This Row],[Account Deposit Amount]]-Table33[[#This Row],[Account Withdrawl Amount]], )</f>
        <v>0</v>
      </c>
      <c r="Q419" s="243">
        <f>IF(Table33[[#This Row],[Category]]="Activities/Program",Table33[[#This Row],[Account Deposit Amount]]-Table33[[#This Row],[Account Withdrawl Amount]], )</f>
        <v>0</v>
      </c>
      <c r="R419" s="243">
        <f>IF(Table33[[#This Row],[Category]]="Travel",Table33[[#This Row],[Account Deposit Amount]]-Table33[[#This Row],[Account Withdrawl Amount]], )</f>
        <v>0</v>
      </c>
      <c r="S419" s="243">
        <f>IF(Table33[[#This Row],[Category]]="Parties Food &amp; Beverages",Table33[[#This Row],[Account Deposit Amount]]-Table33[[#This Row],[Account Withdrawl Amount]], )</f>
        <v>0</v>
      </c>
      <c r="T419" s="243">
        <f>IF(Table33[[#This Row],[Category]]="Service Projects Donation",Table33[[#This Row],[Account Deposit Amount]]-Table33[[#This Row],[Account Withdrawl Amount]], )</f>
        <v>0</v>
      </c>
      <c r="U419" s="243">
        <f>IF(Table33[[#This Row],[Category]]="Cookie Debt",Table33[[#This Row],[Account Deposit Amount]]-Table33[[#This Row],[Account Withdrawl Amount]], )</f>
        <v>0</v>
      </c>
      <c r="V419" s="243">
        <f>IF(Table33[[#This Row],[Category]]="Other Expense",Table33[[#This Row],[Account Deposit Amount]]-Table33[[#This Row],[Account Withdrawl Amount]], )</f>
        <v>0</v>
      </c>
    </row>
    <row r="420" spans="1:22">
      <c r="A420" s="225"/>
      <c r="B420" s="241"/>
      <c r="C420" s="225"/>
      <c r="D420" s="225"/>
      <c r="E420" s="242"/>
      <c r="F420" s="242"/>
      <c r="G420" s="243">
        <f t="shared" si="9"/>
        <v>0</v>
      </c>
      <c r="H420" s="225"/>
      <c r="I420" s="243">
        <f>IF(Table33[[#This Row],[Category]]="Fall Product",Table33[[#This Row],[Account Deposit Amount]]-Table33[[#This Row],[Account Withdrawl Amount]], )</f>
        <v>0</v>
      </c>
      <c r="J420" s="243">
        <f>IF(Table33[[#This Row],[Category]]="Cookies",Table33[[#This Row],[Account Deposit Amount]]-Table33[[#This Row],[Account Withdrawl Amount]], )</f>
        <v>0</v>
      </c>
      <c r="K420" s="243">
        <f>IF(Table33[[#This Row],[Category]]="Additional Money Earning Activities",Table33[[#This Row],[Account Deposit Amount]]-Table33[[#This Row],[Account Withdrawl Amount]], )</f>
        <v>0</v>
      </c>
      <c r="L420" s="243">
        <f>IF(Table33[[#This Row],[Category]]="Sponsorships",Table33[[#This Row],[Account Deposit Amount]]-Table33[[#This Row],[Account Withdrawl Amount]], )</f>
        <v>0</v>
      </c>
      <c r="M420" s="243">
        <f>IF(Table33[[#This Row],[Category]]="Troop Dues",Table33[[#This Row],[Account Deposit Amount]]-Table33[[#This Row],[Account Withdrawl Amount]], )</f>
        <v>0</v>
      </c>
      <c r="N420" s="243">
        <f>IF(Table33[[#This Row],[Category]]="Other Income",Table33[[#This Row],[Account Deposit Amount]]-Table33[[#This Row],[Account Withdrawl Amount]], )</f>
        <v>0</v>
      </c>
      <c r="O420" s="243">
        <f>IF(Table33[[#This Row],[Category]]="Registration",Table33[[#This Row],[Account Deposit Amount]]-Table33[[#This Row],[Account Withdrawl Amount]], )</f>
        <v>0</v>
      </c>
      <c r="P420" s="243">
        <f>IF(Table33[[#This Row],[Category]]="Insignia",Table33[[#This Row],[Account Deposit Amount]]-Table33[[#This Row],[Account Withdrawl Amount]], )</f>
        <v>0</v>
      </c>
      <c r="Q420" s="243">
        <f>IF(Table33[[#This Row],[Category]]="Activities/Program",Table33[[#This Row],[Account Deposit Amount]]-Table33[[#This Row],[Account Withdrawl Amount]], )</f>
        <v>0</v>
      </c>
      <c r="R420" s="243">
        <f>IF(Table33[[#This Row],[Category]]="Travel",Table33[[#This Row],[Account Deposit Amount]]-Table33[[#This Row],[Account Withdrawl Amount]], )</f>
        <v>0</v>
      </c>
      <c r="S420" s="243">
        <f>IF(Table33[[#This Row],[Category]]="Parties Food &amp; Beverages",Table33[[#This Row],[Account Deposit Amount]]-Table33[[#This Row],[Account Withdrawl Amount]], )</f>
        <v>0</v>
      </c>
      <c r="T420" s="243">
        <f>IF(Table33[[#This Row],[Category]]="Service Projects Donation",Table33[[#This Row],[Account Deposit Amount]]-Table33[[#This Row],[Account Withdrawl Amount]], )</f>
        <v>0</v>
      </c>
      <c r="U420" s="243">
        <f>IF(Table33[[#This Row],[Category]]="Cookie Debt",Table33[[#This Row],[Account Deposit Amount]]-Table33[[#This Row],[Account Withdrawl Amount]], )</f>
        <v>0</v>
      </c>
      <c r="V420" s="243">
        <f>IF(Table33[[#This Row],[Category]]="Other Expense",Table33[[#This Row],[Account Deposit Amount]]-Table33[[#This Row],[Account Withdrawl Amount]], )</f>
        <v>0</v>
      </c>
    </row>
    <row r="421" spans="1:22">
      <c r="A421" s="225"/>
      <c r="B421" s="241"/>
      <c r="C421" s="225"/>
      <c r="D421" s="225"/>
      <c r="E421" s="242"/>
      <c r="F421" s="242"/>
      <c r="G421" s="243">
        <f t="shared" ref="G421:G484" si="10">G420+E421-F421</f>
        <v>0</v>
      </c>
      <c r="H421" s="225"/>
      <c r="I421" s="243">
        <f>IF(Table33[[#This Row],[Category]]="Fall Product",Table33[[#This Row],[Account Deposit Amount]]-Table33[[#This Row],[Account Withdrawl Amount]], )</f>
        <v>0</v>
      </c>
      <c r="J421" s="243">
        <f>IF(Table33[[#This Row],[Category]]="Cookies",Table33[[#This Row],[Account Deposit Amount]]-Table33[[#This Row],[Account Withdrawl Amount]], )</f>
        <v>0</v>
      </c>
      <c r="K421" s="243">
        <f>IF(Table33[[#This Row],[Category]]="Additional Money Earning Activities",Table33[[#This Row],[Account Deposit Amount]]-Table33[[#This Row],[Account Withdrawl Amount]], )</f>
        <v>0</v>
      </c>
      <c r="L421" s="243">
        <f>IF(Table33[[#This Row],[Category]]="Sponsorships",Table33[[#This Row],[Account Deposit Amount]]-Table33[[#This Row],[Account Withdrawl Amount]], )</f>
        <v>0</v>
      </c>
      <c r="M421" s="243">
        <f>IF(Table33[[#This Row],[Category]]="Troop Dues",Table33[[#This Row],[Account Deposit Amount]]-Table33[[#This Row],[Account Withdrawl Amount]], )</f>
        <v>0</v>
      </c>
      <c r="N421" s="243">
        <f>IF(Table33[[#This Row],[Category]]="Other Income",Table33[[#This Row],[Account Deposit Amount]]-Table33[[#This Row],[Account Withdrawl Amount]], )</f>
        <v>0</v>
      </c>
      <c r="O421" s="243">
        <f>IF(Table33[[#This Row],[Category]]="Registration",Table33[[#This Row],[Account Deposit Amount]]-Table33[[#This Row],[Account Withdrawl Amount]], )</f>
        <v>0</v>
      </c>
      <c r="P421" s="243">
        <f>IF(Table33[[#This Row],[Category]]="Insignia",Table33[[#This Row],[Account Deposit Amount]]-Table33[[#This Row],[Account Withdrawl Amount]], )</f>
        <v>0</v>
      </c>
      <c r="Q421" s="243">
        <f>IF(Table33[[#This Row],[Category]]="Activities/Program",Table33[[#This Row],[Account Deposit Amount]]-Table33[[#This Row],[Account Withdrawl Amount]], )</f>
        <v>0</v>
      </c>
      <c r="R421" s="243">
        <f>IF(Table33[[#This Row],[Category]]="Travel",Table33[[#This Row],[Account Deposit Amount]]-Table33[[#This Row],[Account Withdrawl Amount]], )</f>
        <v>0</v>
      </c>
      <c r="S421" s="243">
        <f>IF(Table33[[#This Row],[Category]]="Parties Food &amp; Beverages",Table33[[#This Row],[Account Deposit Amount]]-Table33[[#This Row],[Account Withdrawl Amount]], )</f>
        <v>0</v>
      </c>
      <c r="T421" s="243">
        <f>IF(Table33[[#This Row],[Category]]="Service Projects Donation",Table33[[#This Row],[Account Deposit Amount]]-Table33[[#This Row],[Account Withdrawl Amount]], )</f>
        <v>0</v>
      </c>
      <c r="U421" s="243">
        <f>IF(Table33[[#This Row],[Category]]="Cookie Debt",Table33[[#This Row],[Account Deposit Amount]]-Table33[[#This Row],[Account Withdrawl Amount]], )</f>
        <v>0</v>
      </c>
      <c r="V421" s="243">
        <f>IF(Table33[[#This Row],[Category]]="Other Expense",Table33[[#This Row],[Account Deposit Amount]]-Table33[[#This Row],[Account Withdrawl Amount]], )</f>
        <v>0</v>
      </c>
    </row>
    <row r="422" spans="1:22">
      <c r="A422" s="225"/>
      <c r="B422" s="241"/>
      <c r="C422" s="225"/>
      <c r="D422" s="225"/>
      <c r="E422" s="242"/>
      <c r="F422" s="242"/>
      <c r="G422" s="243">
        <f t="shared" si="10"/>
        <v>0</v>
      </c>
      <c r="H422" s="225"/>
      <c r="I422" s="243">
        <f>IF(Table33[[#This Row],[Category]]="Fall Product",Table33[[#This Row],[Account Deposit Amount]]-Table33[[#This Row],[Account Withdrawl Amount]], )</f>
        <v>0</v>
      </c>
      <c r="J422" s="243">
        <f>IF(Table33[[#This Row],[Category]]="Cookies",Table33[[#This Row],[Account Deposit Amount]]-Table33[[#This Row],[Account Withdrawl Amount]], )</f>
        <v>0</v>
      </c>
      <c r="K422" s="243">
        <f>IF(Table33[[#This Row],[Category]]="Additional Money Earning Activities",Table33[[#This Row],[Account Deposit Amount]]-Table33[[#This Row],[Account Withdrawl Amount]], )</f>
        <v>0</v>
      </c>
      <c r="L422" s="243">
        <f>IF(Table33[[#This Row],[Category]]="Sponsorships",Table33[[#This Row],[Account Deposit Amount]]-Table33[[#This Row],[Account Withdrawl Amount]], )</f>
        <v>0</v>
      </c>
      <c r="M422" s="243">
        <f>IF(Table33[[#This Row],[Category]]="Troop Dues",Table33[[#This Row],[Account Deposit Amount]]-Table33[[#This Row],[Account Withdrawl Amount]], )</f>
        <v>0</v>
      </c>
      <c r="N422" s="243">
        <f>IF(Table33[[#This Row],[Category]]="Other Income",Table33[[#This Row],[Account Deposit Amount]]-Table33[[#This Row],[Account Withdrawl Amount]], )</f>
        <v>0</v>
      </c>
      <c r="O422" s="243">
        <f>IF(Table33[[#This Row],[Category]]="Registration",Table33[[#This Row],[Account Deposit Amount]]-Table33[[#This Row],[Account Withdrawl Amount]], )</f>
        <v>0</v>
      </c>
      <c r="P422" s="243">
        <f>IF(Table33[[#This Row],[Category]]="Insignia",Table33[[#This Row],[Account Deposit Amount]]-Table33[[#This Row],[Account Withdrawl Amount]], )</f>
        <v>0</v>
      </c>
      <c r="Q422" s="243">
        <f>IF(Table33[[#This Row],[Category]]="Activities/Program",Table33[[#This Row],[Account Deposit Amount]]-Table33[[#This Row],[Account Withdrawl Amount]], )</f>
        <v>0</v>
      </c>
      <c r="R422" s="243">
        <f>IF(Table33[[#This Row],[Category]]="Travel",Table33[[#This Row],[Account Deposit Amount]]-Table33[[#This Row],[Account Withdrawl Amount]], )</f>
        <v>0</v>
      </c>
      <c r="S422" s="243">
        <f>IF(Table33[[#This Row],[Category]]="Parties Food &amp; Beverages",Table33[[#This Row],[Account Deposit Amount]]-Table33[[#This Row],[Account Withdrawl Amount]], )</f>
        <v>0</v>
      </c>
      <c r="T422" s="243">
        <f>IF(Table33[[#This Row],[Category]]="Service Projects Donation",Table33[[#This Row],[Account Deposit Amount]]-Table33[[#This Row],[Account Withdrawl Amount]], )</f>
        <v>0</v>
      </c>
      <c r="U422" s="243">
        <f>IF(Table33[[#This Row],[Category]]="Cookie Debt",Table33[[#This Row],[Account Deposit Amount]]-Table33[[#This Row],[Account Withdrawl Amount]], )</f>
        <v>0</v>
      </c>
      <c r="V422" s="243">
        <f>IF(Table33[[#This Row],[Category]]="Other Expense",Table33[[#This Row],[Account Deposit Amount]]-Table33[[#This Row],[Account Withdrawl Amount]], )</f>
        <v>0</v>
      </c>
    </row>
    <row r="423" spans="1:22">
      <c r="A423" s="225"/>
      <c r="B423" s="241"/>
      <c r="C423" s="225"/>
      <c r="D423" s="225"/>
      <c r="E423" s="242"/>
      <c r="F423" s="242"/>
      <c r="G423" s="243">
        <f t="shared" si="10"/>
        <v>0</v>
      </c>
      <c r="H423" s="225"/>
      <c r="I423" s="243">
        <f>IF(Table33[[#This Row],[Category]]="Fall Product",Table33[[#This Row],[Account Deposit Amount]]-Table33[[#This Row],[Account Withdrawl Amount]], )</f>
        <v>0</v>
      </c>
      <c r="J423" s="243">
        <f>IF(Table33[[#This Row],[Category]]="Cookies",Table33[[#This Row],[Account Deposit Amount]]-Table33[[#This Row],[Account Withdrawl Amount]], )</f>
        <v>0</v>
      </c>
      <c r="K423" s="243">
        <f>IF(Table33[[#This Row],[Category]]="Additional Money Earning Activities",Table33[[#This Row],[Account Deposit Amount]]-Table33[[#This Row],[Account Withdrawl Amount]], )</f>
        <v>0</v>
      </c>
      <c r="L423" s="243">
        <f>IF(Table33[[#This Row],[Category]]="Sponsorships",Table33[[#This Row],[Account Deposit Amount]]-Table33[[#This Row],[Account Withdrawl Amount]], )</f>
        <v>0</v>
      </c>
      <c r="M423" s="243">
        <f>IF(Table33[[#This Row],[Category]]="Troop Dues",Table33[[#This Row],[Account Deposit Amount]]-Table33[[#This Row],[Account Withdrawl Amount]], )</f>
        <v>0</v>
      </c>
      <c r="N423" s="243">
        <f>IF(Table33[[#This Row],[Category]]="Other Income",Table33[[#This Row],[Account Deposit Amount]]-Table33[[#This Row],[Account Withdrawl Amount]], )</f>
        <v>0</v>
      </c>
      <c r="O423" s="243">
        <f>IF(Table33[[#This Row],[Category]]="Registration",Table33[[#This Row],[Account Deposit Amount]]-Table33[[#This Row],[Account Withdrawl Amount]], )</f>
        <v>0</v>
      </c>
      <c r="P423" s="243">
        <f>IF(Table33[[#This Row],[Category]]="Insignia",Table33[[#This Row],[Account Deposit Amount]]-Table33[[#This Row],[Account Withdrawl Amount]], )</f>
        <v>0</v>
      </c>
      <c r="Q423" s="243">
        <f>IF(Table33[[#This Row],[Category]]="Activities/Program",Table33[[#This Row],[Account Deposit Amount]]-Table33[[#This Row],[Account Withdrawl Amount]], )</f>
        <v>0</v>
      </c>
      <c r="R423" s="243">
        <f>IF(Table33[[#This Row],[Category]]="Travel",Table33[[#This Row],[Account Deposit Amount]]-Table33[[#This Row],[Account Withdrawl Amount]], )</f>
        <v>0</v>
      </c>
      <c r="S423" s="243">
        <f>IF(Table33[[#This Row],[Category]]="Parties Food &amp; Beverages",Table33[[#This Row],[Account Deposit Amount]]-Table33[[#This Row],[Account Withdrawl Amount]], )</f>
        <v>0</v>
      </c>
      <c r="T423" s="243">
        <f>IF(Table33[[#This Row],[Category]]="Service Projects Donation",Table33[[#This Row],[Account Deposit Amount]]-Table33[[#This Row],[Account Withdrawl Amount]], )</f>
        <v>0</v>
      </c>
      <c r="U423" s="243">
        <f>IF(Table33[[#This Row],[Category]]="Cookie Debt",Table33[[#This Row],[Account Deposit Amount]]-Table33[[#This Row],[Account Withdrawl Amount]], )</f>
        <v>0</v>
      </c>
      <c r="V423" s="243">
        <f>IF(Table33[[#This Row],[Category]]="Other Expense",Table33[[#This Row],[Account Deposit Amount]]-Table33[[#This Row],[Account Withdrawl Amount]], )</f>
        <v>0</v>
      </c>
    </row>
    <row r="424" spans="1:22">
      <c r="A424" s="225"/>
      <c r="B424" s="241"/>
      <c r="C424" s="225"/>
      <c r="D424" s="225"/>
      <c r="E424" s="242"/>
      <c r="F424" s="242"/>
      <c r="G424" s="243">
        <f t="shared" si="10"/>
        <v>0</v>
      </c>
      <c r="H424" s="225"/>
      <c r="I424" s="243">
        <f>IF(Table33[[#This Row],[Category]]="Fall Product",Table33[[#This Row],[Account Deposit Amount]]-Table33[[#This Row],[Account Withdrawl Amount]], )</f>
        <v>0</v>
      </c>
      <c r="J424" s="243">
        <f>IF(Table33[[#This Row],[Category]]="Cookies",Table33[[#This Row],[Account Deposit Amount]]-Table33[[#This Row],[Account Withdrawl Amount]], )</f>
        <v>0</v>
      </c>
      <c r="K424" s="243">
        <f>IF(Table33[[#This Row],[Category]]="Additional Money Earning Activities",Table33[[#This Row],[Account Deposit Amount]]-Table33[[#This Row],[Account Withdrawl Amount]], )</f>
        <v>0</v>
      </c>
      <c r="L424" s="243">
        <f>IF(Table33[[#This Row],[Category]]="Sponsorships",Table33[[#This Row],[Account Deposit Amount]]-Table33[[#This Row],[Account Withdrawl Amount]], )</f>
        <v>0</v>
      </c>
      <c r="M424" s="243">
        <f>IF(Table33[[#This Row],[Category]]="Troop Dues",Table33[[#This Row],[Account Deposit Amount]]-Table33[[#This Row],[Account Withdrawl Amount]], )</f>
        <v>0</v>
      </c>
      <c r="N424" s="243">
        <f>IF(Table33[[#This Row],[Category]]="Other Income",Table33[[#This Row],[Account Deposit Amount]]-Table33[[#This Row],[Account Withdrawl Amount]], )</f>
        <v>0</v>
      </c>
      <c r="O424" s="243">
        <f>IF(Table33[[#This Row],[Category]]="Registration",Table33[[#This Row],[Account Deposit Amount]]-Table33[[#This Row],[Account Withdrawl Amount]], )</f>
        <v>0</v>
      </c>
      <c r="P424" s="243">
        <f>IF(Table33[[#This Row],[Category]]="Insignia",Table33[[#This Row],[Account Deposit Amount]]-Table33[[#This Row],[Account Withdrawl Amount]], )</f>
        <v>0</v>
      </c>
      <c r="Q424" s="243">
        <f>IF(Table33[[#This Row],[Category]]="Activities/Program",Table33[[#This Row],[Account Deposit Amount]]-Table33[[#This Row],[Account Withdrawl Amount]], )</f>
        <v>0</v>
      </c>
      <c r="R424" s="243">
        <f>IF(Table33[[#This Row],[Category]]="Travel",Table33[[#This Row],[Account Deposit Amount]]-Table33[[#This Row],[Account Withdrawl Amount]], )</f>
        <v>0</v>
      </c>
      <c r="S424" s="243">
        <f>IF(Table33[[#This Row],[Category]]="Parties Food &amp; Beverages",Table33[[#This Row],[Account Deposit Amount]]-Table33[[#This Row],[Account Withdrawl Amount]], )</f>
        <v>0</v>
      </c>
      <c r="T424" s="243">
        <f>IF(Table33[[#This Row],[Category]]="Service Projects Donation",Table33[[#This Row],[Account Deposit Amount]]-Table33[[#This Row],[Account Withdrawl Amount]], )</f>
        <v>0</v>
      </c>
      <c r="U424" s="243">
        <f>IF(Table33[[#This Row],[Category]]="Cookie Debt",Table33[[#This Row],[Account Deposit Amount]]-Table33[[#This Row],[Account Withdrawl Amount]], )</f>
        <v>0</v>
      </c>
      <c r="V424" s="243">
        <f>IF(Table33[[#This Row],[Category]]="Other Expense",Table33[[#This Row],[Account Deposit Amount]]-Table33[[#This Row],[Account Withdrawl Amount]], )</f>
        <v>0</v>
      </c>
    </row>
    <row r="425" spans="1:22">
      <c r="A425" s="225"/>
      <c r="B425" s="241"/>
      <c r="C425" s="225"/>
      <c r="D425" s="225"/>
      <c r="E425" s="242"/>
      <c r="F425" s="242"/>
      <c r="G425" s="243">
        <f t="shared" si="10"/>
        <v>0</v>
      </c>
      <c r="H425" s="225"/>
      <c r="I425" s="243">
        <f>IF(Table33[[#This Row],[Category]]="Fall Product",Table33[[#This Row],[Account Deposit Amount]]-Table33[[#This Row],[Account Withdrawl Amount]], )</f>
        <v>0</v>
      </c>
      <c r="J425" s="243">
        <f>IF(Table33[[#This Row],[Category]]="Cookies",Table33[[#This Row],[Account Deposit Amount]]-Table33[[#This Row],[Account Withdrawl Amount]], )</f>
        <v>0</v>
      </c>
      <c r="K425" s="243">
        <f>IF(Table33[[#This Row],[Category]]="Additional Money Earning Activities",Table33[[#This Row],[Account Deposit Amount]]-Table33[[#This Row],[Account Withdrawl Amount]], )</f>
        <v>0</v>
      </c>
      <c r="L425" s="243">
        <f>IF(Table33[[#This Row],[Category]]="Sponsorships",Table33[[#This Row],[Account Deposit Amount]]-Table33[[#This Row],[Account Withdrawl Amount]], )</f>
        <v>0</v>
      </c>
      <c r="M425" s="243">
        <f>IF(Table33[[#This Row],[Category]]="Troop Dues",Table33[[#This Row],[Account Deposit Amount]]-Table33[[#This Row],[Account Withdrawl Amount]], )</f>
        <v>0</v>
      </c>
      <c r="N425" s="243">
        <f>IF(Table33[[#This Row],[Category]]="Other Income",Table33[[#This Row],[Account Deposit Amount]]-Table33[[#This Row],[Account Withdrawl Amount]], )</f>
        <v>0</v>
      </c>
      <c r="O425" s="243">
        <f>IF(Table33[[#This Row],[Category]]="Registration",Table33[[#This Row],[Account Deposit Amount]]-Table33[[#This Row],[Account Withdrawl Amount]], )</f>
        <v>0</v>
      </c>
      <c r="P425" s="243">
        <f>IF(Table33[[#This Row],[Category]]="Insignia",Table33[[#This Row],[Account Deposit Amount]]-Table33[[#This Row],[Account Withdrawl Amount]], )</f>
        <v>0</v>
      </c>
      <c r="Q425" s="243">
        <f>IF(Table33[[#This Row],[Category]]="Activities/Program",Table33[[#This Row],[Account Deposit Amount]]-Table33[[#This Row],[Account Withdrawl Amount]], )</f>
        <v>0</v>
      </c>
      <c r="R425" s="243">
        <f>IF(Table33[[#This Row],[Category]]="Travel",Table33[[#This Row],[Account Deposit Amount]]-Table33[[#This Row],[Account Withdrawl Amount]], )</f>
        <v>0</v>
      </c>
      <c r="S425" s="243">
        <f>IF(Table33[[#This Row],[Category]]="Parties Food &amp; Beverages",Table33[[#This Row],[Account Deposit Amount]]-Table33[[#This Row],[Account Withdrawl Amount]], )</f>
        <v>0</v>
      </c>
      <c r="T425" s="243">
        <f>IF(Table33[[#This Row],[Category]]="Service Projects Donation",Table33[[#This Row],[Account Deposit Amount]]-Table33[[#This Row],[Account Withdrawl Amount]], )</f>
        <v>0</v>
      </c>
      <c r="U425" s="243">
        <f>IF(Table33[[#This Row],[Category]]="Cookie Debt",Table33[[#This Row],[Account Deposit Amount]]-Table33[[#This Row],[Account Withdrawl Amount]], )</f>
        <v>0</v>
      </c>
      <c r="V425" s="243">
        <f>IF(Table33[[#This Row],[Category]]="Other Expense",Table33[[#This Row],[Account Deposit Amount]]-Table33[[#This Row],[Account Withdrawl Amount]], )</f>
        <v>0</v>
      </c>
    </row>
    <row r="426" spans="1:22">
      <c r="A426" s="225"/>
      <c r="B426" s="241"/>
      <c r="C426" s="225"/>
      <c r="D426" s="225"/>
      <c r="E426" s="242"/>
      <c r="F426" s="242"/>
      <c r="G426" s="243">
        <f t="shared" si="10"/>
        <v>0</v>
      </c>
      <c r="H426" s="225"/>
      <c r="I426" s="243">
        <f>IF(Table33[[#This Row],[Category]]="Fall Product",Table33[[#This Row],[Account Deposit Amount]]-Table33[[#This Row],[Account Withdrawl Amount]], )</f>
        <v>0</v>
      </c>
      <c r="J426" s="243">
        <f>IF(Table33[[#This Row],[Category]]="Cookies",Table33[[#This Row],[Account Deposit Amount]]-Table33[[#This Row],[Account Withdrawl Amount]], )</f>
        <v>0</v>
      </c>
      <c r="K426" s="243">
        <f>IF(Table33[[#This Row],[Category]]="Additional Money Earning Activities",Table33[[#This Row],[Account Deposit Amount]]-Table33[[#This Row],[Account Withdrawl Amount]], )</f>
        <v>0</v>
      </c>
      <c r="L426" s="243">
        <f>IF(Table33[[#This Row],[Category]]="Sponsorships",Table33[[#This Row],[Account Deposit Amount]]-Table33[[#This Row],[Account Withdrawl Amount]], )</f>
        <v>0</v>
      </c>
      <c r="M426" s="243">
        <f>IF(Table33[[#This Row],[Category]]="Troop Dues",Table33[[#This Row],[Account Deposit Amount]]-Table33[[#This Row],[Account Withdrawl Amount]], )</f>
        <v>0</v>
      </c>
      <c r="N426" s="243">
        <f>IF(Table33[[#This Row],[Category]]="Other Income",Table33[[#This Row],[Account Deposit Amount]]-Table33[[#This Row],[Account Withdrawl Amount]], )</f>
        <v>0</v>
      </c>
      <c r="O426" s="243">
        <f>IF(Table33[[#This Row],[Category]]="Registration",Table33[[#This Row],[Account Deposit Amount]]-Table33[[#This Row],[Account Withdrawl Amount]], )</f>
        <v>0</v>
      </c>
      <c r="P426" s="243">
        <f>IF(Table33[[#This Row],[Category]]="Insignia",Table33[[#This Row],[Account Deposit Amount]]-Table33[[#This Row],[Account Withdrawl Amount]], )</f>
        <v>0</v>
      </c>
      <c r="Q426" s="243">
        <f>IF(Table33[[#This Row],[Category]]="Activities/Program",Table33[[#This Row],[Account Deposit Amount]]-Table33[[#This Row],[Account Withdrawl Amount]], )</f>
        <v>0</v>
      </c>
      <c r="R426" s="243">
        <f>IF(Table33[[#This Row],[Category]]="Travel",Table33[[#This Row],[Account Deposit Amount]]-Table33[[#This Row],[Account Withdrawl Amount]], )</f>
        <v>0</v>
      </c>
      <c r="S426" s="243">
        <f>IF(Table33[[#This Row],[Category]]="Parties Food &amp; Beverages",Table33[[#This Row],[Account Deposit Amount]]-Table33[[#This Row],[Account Withdrawl Amount]], )</f>
        <v>0</v>
      </c>
      <c r="T426" s="243">
        <f>IF(Table33[[#This Row],[Category]]="Service Projects Donation",Table33[[#This Row],[Account Deposit Amount]]-Table33[[#This Row],[Account Withdrawl Amount]], )</f>
        <v>0</v>
      </c>
      <c r="U426" s="243">
        <f>IF(Table33[[#This Row],[Category]]="Cookie Debt",Table33[[#This Row],[Account Deposit Amount]]-Table33[[#This Row],[Account Withdrawl Amount]], )</f>
        <v>0</v>
      </c>
      <c r="V426" s="243">
        <f>IF(Table33[[#This Row],[Category]]="Other Expense",Table33[[#This Row],[Account Deposit Amount]]-Table33[[#This Row],[Account Withdrawl Amount]], )</f>
        <v>0</v>
      </c>
    </row>
    <row r="427" spans="1:22">
      <c r="A427" s="225"/>
      <c r="B427" s="241"/>
      <c r="C427" s="225"/>
      <c r="D427" s="225"/>
      <c r="E427" s="242"/>
      <c r="F427" s="242"/>
      <c r="G427" s="243">
        <f t="shared" si="10"/>
        <v>0</v>
      </c>
      <c r="H427" s="225"/>
      <c r="I427" s="243">
        <f>IF(Table33[[#This Row],[Category]]="Fall Product",Table33[[#This Row],[Account Deposit Amount]]-Table33[[#This Row],[Account Withdrawl Amount]], )</f>
        <v>0</v>
      </c>
      <c r="J427" s="243">
        <f>IF(Table33[[#This Row],[Category]]="Cookies",Table33[[#This Row],[Account Deposit Amount]]-Table33[[#This Row],[Account Withdrawl Amount]], )</f>
        <v>0</v>
      </c>
      <c r="K427" s="243">
        <f>IF(Table33[[#This Row],[Category]]="Additional Money Earning Activities",Table33[[#This Row],[Account Deposit Amount]]-Table33[[#This Row],[Account Withdrawl Amount]], )</f>
        <v>0</v>
      </c>
      <c r="L427" s="243">
        <f>IF(Table33[[#This Row],[Category]]="Sponsorships",Table33[[#This Row],[Account Deposit Amount]]-Table33[[#This Row],[Account Withdrawl Amount]], )</f>
        <v>0</v>
      </c>
      <c r="M427" s="243">
        <f>IF(Table33[[#This Row],[Category]]="Troop Dues",Table33[[#This Row],[Account Deposit Amount]]-Table33[[#This Row],[Account Withdrawl Amount]], )</f>
        <v>0</v>
      </c>
      <c r="N427" s="243">
        <f>IF(Table33[[#This Row],[Category]]="Other Income",Table33[[#This Row],[Account Deposit Amount]]-Table33[[#This Row],[Account Withdrawl Amount]], )</f>
        <v>0</v>
      </c>
      <c r="O427" s="243">
        <f>IF(Table33[[#This Row],[Category]]="Registration",Table33[[#This Row],[Account Deposit Amount]]-Table33[[#This Row],[Account Withdrawl Amount]], )</f>
        <v>0</v>
      </c>
      <c r="P427" s="243">
        <f>IF(Table33[[#This Row],[Category]]="Insignia",Table33[[#This Row],[Account Deposit Amount]]-Table33[[#This Row],[Account Withdrawl Amount]], )</f>
        <v>0</v>
      </c>
      <c r="Q427" s="243">
        <f>IF(Table33[[#This Row],[Category]]="Activities/Program",Table33[[#This Row],[Account Deposit Amount]]-Table33[[#This Row],[Account Withdrawl Amount]], )</f>
        <v>0</v>
      </c>
      <c r="R427" s="243">
        <f>IF(Table33[[#This Row],[Category]]="Travel",Table33[[#This Row],[Account Deposit Amount]]-Table33[[#This Row],[Account Withdrawl Amount]], )</f>
        <v>0</v>
      </c>
      <c r="S427" s="243">
        <f>IF(Table33[[#This Row],[Category]]="Parties Food &amp; Beverages",Table33[[#This Row],[Account Deposit Amount]]-Table33[[#This Row],[Account Withdrawl Amount]], )</f>
        <v>0</v>
      </c>
      <c r="T427" s="243">
        <f>IF(Table33[[#This Row],[Category]]="Service Projects Donation",Table33[[#This Row],[Account Deposit Amount]]-Table33[[#This Row],[Account Withdrawl Amount]], )</f>
        <v>0</v>
      </c>
      <c r="U427" s="243">
        <f>IF(Table33[[#This Row],[Category]]="Cookie Debt",Table33[[#This Row],[Account Deposit Amount]]-Table33[[#This Row],[Account Withdrawl Amount]], )</f>
        <v>0</v>
      </c>
      <c r="V427" s="243">
        <f>IF(Table33[[#This Row],[Category]]="Other Expense",Table33[[#This Row],[Account Deposit Amount]]-Table33[[#This Row],[Account Withdrawl Amount]], )</f>
        <v>0</v>
      </c>
    </row>
    <row r="428" spans="1:22">
      <c r="A428" s="225"/>
      <c r="B428" s="241"/>
      <c r="C428" s="225"/>
      <c r="D428" s="225"/>
      <c r="E428" s="242"/>
      <c r="F428" s="242"/>
      <c r="G428" s="243">
        <f t="shared" si="10"/>
        <v>0</v>
      </c>
      <c r="H428" s="225"/>
      <c r="I428" s="243">
        <f>IF(Table33[[#This Row],[Category]]="Fall Product",Table33[[#This Row],[Account Deposit Amount]]-Table33[[#This Row],[Account Withdrawl Amount]], )</f>
        <v>0</v>
      </c>
      <c r="J428" s="243">
        <f>IF(Table33[[#This Row],[Category]]="Cookies",Table33[[#This Row],[Account Deposit Amount]]-Table33[[#This Row],[Account Withdrawl Amount]], )</f>
        <v>0</v>
      </c>
      <c r="K428" s="243">
        <f>IF(Table33[[#This Row],[Category]]="Additional Money Earning Activities",Table33[[#This Row],[Account Deposit Amount]]-Table33[[#This Row],[Account Withdrawl Amount]], )</f>
        <v>0</v>
      </c>
      <c r="L428" s="243">
        <f>IF(Table33[[#This Row],[Category]]="Sponsorships",Table33[[#This Row],[Account Deposit Amount]]-Table33[[#This Row],[Account Withdrawl Amount]], )</f>
        <v>0</v>
      </c>
      <c r="M428" s="243">
        <f>IF(Table33[[#This Row],[Category]]="Troop Dues",Table33[[#This Row],[Account Deposit Amount]]-Table33[[#This Row],[Account Withdrawl Amount]], )</f>
        <v>0</v>
      </c>
      <c r="N428" s="243">
        <f>IF(Table33[[#This Row],[Category]]="Other Income",Table33[[#This Row],[Account Deposit Amount]]-Table33[[#This Row],[Account Withdrawl Amount]], )</f>
        <v>0</v>
      </c>
      <c r="O428" s="243">
        <f>IF(Table33[[#This Row],[Category]]="Registration",Table33[[#This Row],[Account Deposit Amount]]-Table33[[#This Row],[Account Withdrawl Amount]], )</f>
        <v>0</v>
      </c>
      <c r="P428" s="243">
        <f>IF(Table33[[#This Row],[Category]]="Insignia",Table33[[#This Row],[Account Deposit Amount]]-Table33[[#This Row],[Account Withdrawl Amount]], )</f>
        <v>0</v>
      </c>
      <c r="Q428" s="243">
        <f>IF(Table33[[#This Row],[Category]]="Activities/Program",Table33[[#This Row],[Account Deposit Amount]]-Table33[[#This Row],[Account Withdrawl Amount]], )</f>
        <v>0</v>
      </c>
      <c r="R428" s="243">
        <f>IF(Table33[[#This Row],[Category]]="Travel",Table33[[#This Row],[Account Deposit Amount]]-Table33[[#This Row],[Account Withdrawl Amount]], )</f>
        <v>0</v>
      </c>
      <c r="S428" s="243">
        <f>IF(Table33[[#This Row],[Category]]="Parties Food &amp; Beverages",Table33[[#This Row],[Account Deposit Amount]]-Table33[[#This Row],[Account Withdrawl Amount]], )</f>
        <v>0</v>
      </c>
      <c r="T428" s="243">
        <f>IF(Table33[[#This Row],[Category]]="Service Projects Donation",Table33[[#This Row],[Account Deposit Amount]]-Table33[[#This Row],[Account Withdrawl Amount]], )</f>
        <v>0</v>
      </c>
      <c r="U428" s="243">
        <f>IF(Table33[[#This Row],[Category]]="Cookie Debt",Table33[[#This Row],[Account Deposit Amount]]-Table33[[#This Row],[Account Withdrawl Amount]], )</f>
        <v>0</v>
      </c>
      <c r="V428" s="243">
        <f>IF(Table33[[#This Row],[Category]]="Other Expense",Table33[[#This Row],[Account Deposit Amount]]-Table33[[#This Row],[Account Withdrawl Amount]], )</f>
        <v>0</v>
      </c>
    </row>
    <row r="429" spans="1:22">
      <c r="A429" s="225"/>
      <c r="B429" s="241"/>
      <c r="C429" s="225"/>
      <c r="D429" s="225"/>
      <c r="E429" s="242"/>
      <c r="F429" s="242"/>
      <c r="G429" s="243">
        <f t="shared" si="10"/>
        <v>0</v>
      </c>
      <c r="H429" s="225"/>
      <c r="I429" s="243">
        <f>IF(Table33[[#This Row],[Category]]="Fall Product",Table33[[#This Row],[Account Deposit Amount]]-Table33[[#This Row],[Account Withdrawl Amount]], )</f>
        <v>0</v>
      </c>
      <c r="J429" s="243">
        <f>IF(Table33[[#This Row],[Category]]="Cookies",Table33[[#This Row],[Account Deposit Amount]]-Table33[[#This Row],[Account Withdrawl Amount]], )</f>
        <v>0</v>
      </c>
      <c r="K429" s="243">
        <f>IF(Table33[[#This Row],[Category]]="Additional Money Earning Activities",Table33[[#This Row],[Account Deposit Amount]]-Table33[[#This Row],[Account Withdrawl Amount]], )</f>
        <v>0</v>
      </c>
      <c r="L429" s="243">
        <f>IF(Table33[[#This Row],[Category]]="Sponsorships",Table33[[#This Row],[Account Deposit Amount]]-Table33[[#This Row],[Account Withdrawl Amount]], )</f>
        <v>0</v>
      </c>
      <c r="M429" s="243">
        <f>IF(Table33[[#This Row],[Category]]="Troop Dues",Table33[[#This Row],[Account Deposit Amount]]-Table33[[#This Row],[Account Withdrawl Amount]], )</f>
        <v>0</v>
      </c>
      <c r="N429" s="243">
        <f>IF(Table33[[#This Row],[Category]]="Other Income",Table33[[#This Row],[Account Deposit Amount]]-Table33[[#This Row],[Account Withdrawl Amount]], )</f>
        <v>0</v>
      </c>
      <c r="O429" s="243">
        <f>IF(Table33[[#This Row],[Category]]="Registration",Table33[[#This Row],[Account Deposit Amount]]-Table33[[#This Row],[Account Withdrawl Amount]], )</f>
        <v>0</v>
      </c>
      <c r="P429" s="243">
        <f>IF(Table33[[#This Row],[Category]]="Insignia",Table33[[#This Row],[Account Deposit Amount]]-Table33[[#This Row],[Account Withdrawl Amount]], )</f>
        <v>0</v>
      </c>
      <c r="Q429" s="243">
        <f>IF(Table33[[#This Row],[Category]]="Activities/Program",Table33[[#This Row],[Account Deposit Amount]]-Table33[[#This Row],[Account Withdrawl Amount]], )</f>
        <v>0</v>
      </c>
      <c r="R429" s="243">
        <f>IF(Table33[[#This Row],[Category]]="Travel",Table33[[#This Row],[Account Deposit Amount]]-Table33[[#This Row],[Account Withdrawl Amount]], )</f>
        <v>0</v>
      </c>
      <c r="S429" s="243">
        <f>IF(Table33[[#This Row],[Category]]="Parties Food &amp; Beverages",Table33[[#This Row],[Account Deposit Amount]]-Table33[[#This Row],[Account Withdrawl Amount]], )</f>
        <v>0</v>
      </c>
      <c r="T429" s="243">
        <f>IF(Table33[[#This Row],[Category]]="Service Projects Donation",Table33[[#This Row],[Account Deposit Amount]]-Table33[[#This Row],[Account Withdrawl Amount]], )</f>
        <v>0</v>
      </c>
      <c r="U429" s="243">
        <f>IF(Table33[[#This Row],[Category]]="Cookie Debt",Table33[[#This Row],[Account Deposit Amount]]-Table33[[#This Row],[Account Withdrawl Amount]], )</f>
        <v>0</v>
      </c>
      <c r="V429" s="243">
        <f>IF(Table33[[#This Row],[Category]]="Other Expense",Table33[[#This Row],[Account Deposit Amount]]-Table33[[#This Row],[Account Withdrawl Amount]], )</f>
        <v>0</v>
      </c>
    </row>
    <row r="430" spans="1:22">
      <c r="A430" s="225"/>
      <c r="B430" s="241"/>
      <c r="C430" s="225"/>
      <c r="D430" s="225"/>
      <c r="E430" s="242"/>
      <c r="F430" s="242"/>
      <c r="G430" s="243">
        <f t="shared" si="10"/>
        <v>0</v>
      </c>
      <c r="H430" s="225"/>
      <c r="I430" s="243">
        <f>IF(Table33[[#This Row],[Category]]="Fall Product",Table33[[#This Row],[Account Deposit Amount]]-Table33[[#This Row],[Account Withdrawl Amount]], )</f>
        <v>0</v>
      </c>
      <c r="J430" s="243">
        <f>IF(Table33[[#This Row],[Category]]="Cookies",Table33[[#This Row],[Account Deposit Amount]]-Table33[[#This Row],[Account Withdrawl Amount]], )</f>
        <v>0</v>
      </c>
      <c r="K430" s="243">
        <f>IF(Table33[[#This Row],[Category]]="Additional Money Earning Activities",Table33[[#This Row],[Account Deposit Amount]]-Table33[[#This Row],[Account Withdrawl Amount]], )</f>
        <v>0</v>
      </c>
      <c r="L430" s="243">
        <f>IF(Table33[[#This Row],[Category]]="Sponsorships",Table33[[#This Row],[Account Deposit Amount]]-Table33[[#This Row],[Account Withdrawl Amount]], )</f>
        <v>0</v>
      </c>
      <c r="M430" s="243">
        <f>IF(Table33[[#This Row],[Category]]="Troop Dues",Table33[[#This Row],[Account Deposit Amount]]-Table33[[#This Row],[Account Withdrawl Amount]], )</f>
        <v>0</v>
      </c>
      <c r="N430" s="243">
        <f>IF(Table33[[#This Row],[Category]]="Other Income",Table33[[#This Row],[Account Deposit Amount]]-Table33[[#This Row],[Account Withdrawl Amount]], )</f>
        <v>0</v>
      </c>
      <c r="O430" s="243">
        <f>IF(Table33[[#This Row],[Category]]="Registration",Table33[[#This Row],[Account Deposit Amount]]-Table33[[#This Row],[Account Withdrawl Amount]], )</f>
        <v>0</v>
      </c>
      <c r="P430" s="243">
        <f>IF(Table33[[#This Row],[Category]]="Insignia",Table33[[#This Row],[Account Deposit Amount]]-Table33[[#This Row],[Account Withdrawl Amount]], )</f>
        <v>0</v>
      </c>
      <c r="Q430" s="243">
        <f>IF(Table33[[#This Row],[Category]]="Activities/Program",Table33[[#This Row],[Account Deposit Amount]]-Table33[[#This Row],[Account Withdrawl Amount]], )</f>
        <v>0</v>
      </c>
      <c r="R430" s="243">
        <f>IF(Table33[[#This Row],[Category]]="Travel",Table33[[#This Row],[Account Deposit Amount]]-Table33[[#This Row],[Account Withdrawl Amount]], )</f>
        <v>0</v>
      </c>
      <c r="S430" s="243">
        <f>IF(Table33[[#This Row],[Category]]="Parties Food &amp; Beverages",Table33[[#This Row],[Account Deposit Amount]]-Table33[[#This Row],[Account Withdrawl Amount]], )</f>
        <v>0</v>
      </c>
      <c r="T430" s="243">
        <f>IF(Table33[[#This Row],[Category]]="Service Projects Donation",Table33[[#This Row],[Account Deposit Amount]]-Table33[[#This Row],[Account Withdrawl Amount]], )</f>
        <v>0</v>
      </c>
      <c r="U430" s="243">
        <f>IF(Table33[[#This Row],[Category]]="Cookie Debt",Table33[[#This Row],[Account Deposit Amount]]-Table33[[#This Row],[Account Withdrawl Amount]], )</f>
        <v>0</v>
      </c>
      <c r="V430" s="243">
        <f>IF(Table33[[#This Row],[Category]]="Other Expense",Table33[[#This Row],[Account Deposit Amount]]-Table33[[#This Row],[Account Withdrawl Amount]], )</f>
        <v>0</v>
      </c>
    </row>
    <row r="431" spans="1:22">
      <c r="A431" s="225"/>
      <c r="B431" s="241"/>
      <c r="C431" s="225"/>
      <c r="D431" s="225"/>
      <c r="E431" s="242"/>
      <c r="F431" s="242"/>
      <c r="G431" s="243">
        <f t="shared" si="10"/>
        <v>0</v>
      </c>
      <c r="H431" s="225"/>
      <c r="I431" s="243">
        <f>IF(Table33[[#This Row],[Category]]="Fall Product",Table33[[#This Row],[Account Deposit Amount]]-Table33[[#This Row],[Account Withdrawl Amount]], )</f>
        <v>0</v>
      </c>
      <c r="J431" s="243">
        <f>IF(Table33[[#This Row],[Category]]="Cookies",Table33[[#This Row],[Account Deposit Amount]]-Table33[[#This Row],[Account Withdrawl Amount]], )</f>
        <v>0</v>
      </c>
      <c r="K431" s="243">
        <f>IF(Table33[[#This Row],[Category]]="Additional Money Earning Activities",Table33[[#This Row],[Account Deposit Amount]]-Table33[[#This Row],[Account Withdrawl Amount]], )</f>
        <v>0</v>
      </c>
      <c r="L431" s="243">
        <f>IF(Table33[[#This Row],[Category]]="Sponsorships",Table33[[#This Row],[Account Deposit Amount]]-Table33[[#This Row],[Account Withdrawl Amount]], )</f>
        <v>0</v>
      </c>
      <c r="M431" s="243">
        <f>IF(Table33[[#This Row],[Category]]="Troop Dues",Table33[[#This Row],[Account Deposit Amount]]-Table33[[#This Row],[Account Withdrawl Amount]], )</f>
        <v>0</v>
      </c>
      <c r="N431" s="243">
        <f>IF(Table33[[#This Row],[Category]]="Other Income",Table33[[#This Row],[Account Deposit Amount]]-Table33[[#This Row],[Account Withdrawl Amount]], )</f>
        <v>0</v>
      </c>
      <c r="O431" s="243">
        <f>IF(Table33[[#This Row],[Category]]="Registration",Table33[[#This Row],[Account Deposit Amount]]-Table33[[#This Row],[Account Withdrawl Amount]], )</f>
        <v>0</v>
      </c>
      <c r="P431" s="243">
        <f>IF(Table33[[#This Row],[Category]]="Insignia",Table33[[#This Row],[Account Deposit Amount]]-Table33[[#This Row],[Account Withdrawl Amount]], )</f>
        <v>0</v>
      </c>
      <c r="Q431" s="243">
        <f>IF(Table33[[#This Row],[Category]]="Activities/Program",Table33[[#This Row],[Account Deposit Amount]]-Table33[[#This Row],[Account Withdrawl Amount]], )</f>
        <v>0</v>
      </c>
      <c r="R431" s="243">
        <f>IF(Table33[[#This Row],[Category]]="Travel",Table33[[#This Row],[Account Deposit Amount]]-Table33[[#This Row],[Account Withdrawl Amount]], )</f>
        <v>0</v>
      </c>
      <c r="S431" s="243">
        <f>IF(Table33[[#This Row],[Category]]="Parties Food &amp; Beverages",Table33[[#This Row],[Account Deposit Amount]]-Table33[[#This Row],[Account Withdrawl Amount]], )</f>
        <v>0</v>
      </c>
      <c r="T431" s="243">
        <f>IF(Table33[[#This Row],[Category]]="Service Projects Donation",Table33[[#This Row],[Account Deposit Amount]]-Table33[[#This Row],[Account Withdrawl Amount]], )</f>
        <v>0</v>
      </c>
      <c r="U431" s="243">
        <f>IF(Table33[[#This Row],[Category]]="Cookie Debt",Table33[[#This Row],[Account Deposit Amount]]-Table33[[#This Row],[Account Withdrawl Amount]], )</f>
        <v>0</v>
      </c>
      <c r="V431" s="243">
        <f>IF(Table33[[#This Row],[Category]]="Other Expense",Table33[[#This Row],[Account Deposit Amount]]-Table33[[#This Row],[Account Withdrawl Amount]], )</f>
        <v>0</v>
      </c>
    </row>
    <row r="432" spans="1:22">
      <c r="A432" s="225"/>
      <c r="B432" s="241"/>
      <c r="C432" s="225"/>
      <c r="D432" s="225"/>
      <c r="E432" s="242"/>
      <c r="F432" s="242"/>
      <c r="G432" s="243">
        <f t="shared" si="10"/>
        <v>0</v>
      </c>
      <c r="H432" s="225"/>
      <c r="I432" s="243">
        <f>IF(Table33[[#This Row],[Category]]="Fall Product",Table33[[#This Row],[Account Deposit Amount]]-Table33[[#This Row],[Account Withdrawl Amount]], )</f>
        <v>0</v>
      </c>
      <c r="J432" s="243">
        <f>IF(Table33[[#This Row],[Category]]="Cookies",Table33[[#This Row],[Account Deposit Amount]]-Table33[[#This Row],[Account Withdrawl Amount]], )</f>
        <v>0</v>
      </c>
      <c r="K432" s="243">
        <f>IF(Table33[[#This Row],[Category]]="Additional Money Earning Activities",Table33[[#This Row],[Account Deposit Amount]]-Table33[[#This Row],[Account Withdrawl Amount]], )</f>
        <v>0</v>
      </c>
      <c r="L432" s="243">
        <f>IF(Table33[[#This Row],[Category]]="Sponsorships",Table33[[#This Row],[Account Deposit Amount]]-Table33[[#This Row],[Account Withdrawl Amount]], )</f>
        <v>0</v>
      </c>
      <c r="M432" s="243">
        <f>IF(Table33[[#This Row],[Category]]="Troop Dues",Table33[[#This Row],[Account Deposit Amount]]-Table33[[#This Row],[Account Withdrawl Amount]], )</f>
        <v>0</v>
      </c>
      <c r="N432" s="243">
        <f>IF(Table33[[#This Row],[Category]]="Other Income",Table33[[#This Row],[Account Deposit Amount]]-Table33[[#This Row],[Account Withdrawl Amount]], )</f>
        <v>0</v>
      </c>
      <c r="O432" s="243">
        <f>IF(Table33[[#This Row],[Category]]="Registration",Table33[[#This Row],[Account Deposit Amount]]-Table33[[#This Row],[Account Withdrawl Amount]], )</f>
        <v>0</v>
      </c>
      <c r="P432" s="243">
        <f>IF(Table33[[#This Row],[Category]]="Insignia",Table33[[#This Row],[Account Deposit Amount]]-Table33[[#This Row],[Account Withdrawl Amount]], )</f>
        <v>0</v>
      </c>
      <c r="Q432" s="243">
        <f>IF(Table33[[#This Row],[Category]]="Activities/Program",Table33[[#This Row],[Account Deposit Amount]]-Table33[[#This Row],[Account Withdrawl Amount]], )</f>
        <v>0</v>
      </c>
      <c r="R432" s="243">
        <f>IF(Table33[[#This Row],[Category]]="Travel",Table33[[#This Row],[Account Deposit Amount]]-Table33[[#This Row],[Account Withdrawl Amount]], )</f>
        <v>0</v>
      </c>
      <c r="S432" s="243">
        <f>IF(Table33[[#This Row],[Category]]="Parties Food &amp; Beverages",Table33[[#This Row],[Account Deposit Amount]]-Table33[[#This Row],[Account Withdrawl Amount]], )</f>
        <v>0</v>
      </c>
      <c r="T432" s="243">
        <f>IF(Table33[[#This Row],[Category]]="Service Projects Donation",Table33[[#This Row],[Account Deposit Amount]]-Table33[[#This Row],[Account Withdrawl Amount]], )</f>
        <v>0</v>
      </c>
      <c r="U432" s="243">
        <f>IF(Table33[[#This Row],[Category]]="Cookie Debt",Table33[[#This Row],[Account Deposit Amount]]-Table33[[#This Row],[Account Withdrawl Amount]], )</f>
        <v>0</v>
      </c>
      <c r="V432" s="243">
        <f>IF(Table33[[#This Row],[Category]]="Other Expense",Table33[[#This Row],[Account Deposit Amount]]-Table33[[#This Row],[Account Withdrawl Amount]], )</f>
        <v>0</v>
      </c>
    </row>
    <row r="433" spans="1:22">
      <c r="A433" s="225"/>
      <c r="B433" s="241"/>
      <c r="C433" s="225"/>
      <c r="D433" s="225"/>
      <c r="E433" s="242"/>
      <c r="F433" s="242"/>
      <c r="G433" s="243">
        <f t="shared" si="10"/>
        <v>0</v>
      </c>
      <c r="H433" s="225"/>
      <c r="I433" s="243">
        <f>IF(Table33[[#This Row],[Category]]="Fall Product",Table33[[#This Row],[Account Deposit Amount]]-Table33[[#This Row],[Account Withdrawl Amount]], )</f>
        <v>0</v>
      </c>
      <c r="J433" s="243">
        <f>IF(Table33[[#This Row],[Category]]="Cookies",Table33[[#This Row],[Account Deposit Amount]]-Table33[[#This Row],[Account Withdrawl Amount]], )</f>
        <v>0</v>
      </c>
      <c r="K433" s="243">
        <f>IF(Table33[[#This Row],[Category]]="Additional Money Earning Activities",Table33[[#This Row],[Account Deposit Amount]]-Table33[[#This Row],[Account Withdrawl Amount]], )</f>
        <v>0</v>
      </c>
      <c r="L433" s="243">
        <f>IF(Table33[[#This Row],[Category]]="Sponsorships",Table33[[#This Row],[Account Deposit Amount]]-Table33[[#This Row],[Account Withdrawl Amount]], )</f>
        <v>0</v>
      </c>
      <c r="M433" s="243">
        <f>IF(Table33[[#This Row],[Category]]="Troop Dues",Table33[[#This Row],[Account Deposit Amount]]-Table33[[#This Row],[Account Withdrawl Amount]], )</f>
        <v>0</v>
      </c>
      <c r="N433" s="243">
        <f>IF(Table33[[#This Row],[Category]]="Other Income",Table33[[#This Row],[Account Deposit Amount]]-Table33[[#This Row],[Account Withdrawl Amount]], )</f>
        <v>0</v>
      </c>
      <c r="O433" s="243">
        <f>IF(Table33[[#This Row],[Category]]="Registration",Table33[[#This Row],[Account Deposit Amount]]-Table33[[#This Row],[Account Withdrawl Amount]], )</f>
        <v>0</v>
      </c>
      <c r="P433" s="243">
        <f>IF(Table33[[#This Row],[Category]]="Insignia",Table33[[#This Row],[Account Deposit Amount]]-Table33[[#This Row],[Account Withdrawl Amount]], )</f>
        <v>0</v>
      </c>
      <c r="Q433" s="243">
        <f>IF(Table33[[#This Row],[Category]]="Activities/Program",Table33[[#This Row],[Account Deposit Amount]]-Table33[[#This Row],[Account Withdrawl Amount]], )</f>
        <v>0</v>
      </c>
      <c r="R433" s="243">
        <f>IF(Table33[[#This Row],[Category]]="Travel",Table33[[#This Row],[Account Deposit Amount]]-Table33[[#This Row],[Account Withdrawl Amount]], )</f>
        <v>0</v>
      </c>
      <c r="S433" s="243">
        <f>IF(Table33[[#This Row],[Category]]="Parties Food &amp; Beverages",Table33[[#This Row],[Account Deposit Amount]]-Table33[[#This Row],[Account Withdrawl Amount]], )</f>
        <v>0</v>
      </c>
      <c r="T433" s="243">
        <f>IF(Table33[[#This Row],[Category]]="Service Projects Donation",Table33[[#This Row],[Account Deposit Amount]]-Table33[[#This Row],[Account Withdrawl Amount]], )</f>
        <v>0</v>
      </c>
      <c r="U433" s="243">
        <f>IF(Table33[[#This Row],[Category]]="Cookie Debt",Table33[[#This Row],[Account Deposit Amount]]-Table33[[#This Row],[Account Withdrawl Amount]], )</f>
        <v>0</v>
      </c>
      <c r="V433" s="243">
        <f>IF(Table33[[#This Row],[Category]]="Other Expense",Table33[[#This Row],[Account Deposit Amount]]-Table33[[#This Row],[Account Withdrawl Amount]], )</f>
        <v>0</v>
      </c>
    </row>
    <row r="434" spans="1:22">
      <c r="A434" s="225"/>
      <c r="B434" s="241"/>
      <c r="C434" s="225"/>
      <c r="D434" s="225"/>
      <c r="E434" s="242"/>
      <c r="F434" s="242"/>
      <c r="G434" s="243">
        <f t="shared" si="10"/>
        <v>0</v>
      </c>
      <c r="H434" s="225"/>
      <c r="I434" s="243">
        <f>IF(Table33[[#This Row],[Category]]="Fall Product",Table33[[#This Row],[Account Deposit Amount]]-Table33[[#This Row],[Account Withdrawl Amount]], )</f>
        <v>0</v>
      </c>
      <c r="J434" s="243">
        <f>IF(Table33[[#This Row],[Category]]="Cookies",Table33[[#This Row],[Account Deposit Amount]]-Table33[[#This Row],[Account Withdrawl Amount]], )</f>
        <v>0</v>
      </c>
      <c r="K434" s="243">
        <f>IF(Table33[[#This Row],[Category]]="Additional Money Earning Activities",Table33[[#This Row],[Account Deposit Amount]]-Table33[[#This Row],[Account Withdrawl Amount]], )</f>
        <v>0</v>
      </c>
      <c r="L434" s="243">
        <f>IF(Table33[[#This Row],[Category]]="Sponsorships",Table33[[#This Row],[Account Deposit Amount]]-Table33[[#This Row],[Account Withdrawl Amount]], )</f>
        <v>0</v>
      </c>
      <c r="M434" s="243">
        <f>IF(Table33[[#This Row],[Category]]="Troop Dues",Table33[[#This Row],[Account Deposit Amount]]-Table33[[#This Row],[Account Withdrawl Amount]], )</f>
        <v>0</v>
      </c>
      <c r="N434" s="243">
        <f>IF(Table33[[#This Row],[Category]]="Other Income",Table33[[#This Row],[Account Deposit Amount]]-Table33[[#This Row],[Account Withdrawl Amount]], )</f>
        <v>0</v>
      </c>
      <c r="O434" s="243">
        <f>IF(Table33[[#This Row],[Category]]="Registration",Table33[[#This Row],[Account Deposit Amount]]-Table33[[#This Row],[Account Withdrawl Amount]], )</f>
        <v>0</v>
      </c>
      <c r="P434" s="243">
        <f>IF(Table33[[#This Row],[Category]]="Insignia",Table33[[#This Row],[Account Deposit Amount]]-Table33[[#This Row],[Account Withdrawl Amount]], )</f>
        <v>0</v>
      </c>
      <c r="Q434" s="243">
        <f>IF(Table33[[#This Row],[Category]]="Activities/Program",Table33[[#This Row],[Account Deposit Amount]]-Table33[[#This Row],[Account Withdrawl Amount]], )</f>
        <v>0</v>
      </c>
      <c r="R434" s="243">
        <f>IF(Table33[[#This Row],[Category]]="Travel",Table33[[#This Row],[Account Deposit Amount]]-Table33[[#This Row],[Account Withdrawl Amount]], )</f>
        <v>0</v>
      </c>
      <c r="S434" s="243">
        <f>IF(Table33[[#This Row],[Category]]="Parties Food &amp; Beverages",Table33[[#This Row],[Account Deposit Amount]]-Table33[[#This Row],[Account Withdrawl Amount]], )</f>
        <v>0</v>
      </c>
      <c r="T434" s="243">
        <f>IF(Table33[[#This Row],[Category]]="Service Projects Donation",Table33[[#This Row],[Account Deposit Amount]]-Table33[[#This Row],[Account Withdrawl Amount]], )</f>
        <v>0</v>
      </c>
      <c r="U434" s="243">
        <f>IF(Table33[[#This Row],[Category]]="Cookie Debt",Table33[[#This Row],[Account Deposit Amount]]-Table33[[#This Row],[Account Withdrawl Amount]], )</f>
        <v>0</v>
      </c>
      <c r="V434" s="243">
        <f>IF(Table33[[#This Row],[Category]]="Other Expense",Table33[[#This Row],[Account Deposit Amount]]-Table33[[#This Row],[Account Withdrawl Amount]], )</f>
        <v>0</v>
      </c>
    </row>
    <row r="435" spans="1:22">
      <c r="A435" s="225"/>
      <c r="B435" s="241"/>
      <c r="C435" s="225"/>
      <c r="D435" s="225"/>
      <c r="E435" s="242"/>
      <c r="F435" s="242"/>
      <c r="G435" s="243">
        <f t="shared" si="10"/>
        <v>0</v>
      </c>
      <c r="H435" s="225"/>
      <c r="I435" s="243">
        <f>IF(Table33[[#This Row],[Category]]="Fall Product",Table33[[#This Row],[Account Deposit Amount]]-Table33[[#This Row],[Account Withdrawl Amount]], )</f>
        <v>0</v>
      </c>
      <c r="J435" s="243">
        <f>IF(Table33[[#This Row],[Category]]="Cookies",Table33[[#This Row],[Account Deposit Amount]]-Table33[[#This Row],[Account Withdrawl Amount]], )</f>
        <v>0</v>
      </c>
      <c r="K435" s="243">
        <f>IF(Table33[[#This Row],[Category]]="Additional Money Earning Activities",Table33[[#This Row],[Account Deposit Amount]]-Table33[[#This Row],[Account Withdrawl Amount]], )</f>
        <v>0</v>
      </c>
      <c r="L435" s="243">
        <f>IF(Table33[[#This Row],[Category]]="Sponsorships",Table33[[#This Row],[Account Deposit Amount]]-Table33[[#This Row],[Account Withdrawl Amount]], )</f>
        <v>0</v>
      </c>
      <c r="M435" s="243">
        <f>IF(Table33[[#This Row],[Category]]="Troop Dues",Table33[[#This Row],[Account Deposit Amount]]-Table33[[#This Row],[Account Withdrawl Amount]], )</f>
        <v>0</v>
      </c>
      <c r="N435" s="243">
        <f>IF(Table33[[#This Row],[Category]]="Other Income",Table33[[#This Row],[Account Deposit Amount]]-Table33[[#This Row],[Account Withdrawl Amount]], )</f>
        <v>0</v>
      </c>
      <c r="O435" s="243">
        <f>IF(Table33[[#This Row],[Category]]="Registration",Table33[[#This Row],[Account Deposit Amount]]-Table33[[#This Row],[Account Withdrawl Amount]], )</f>
        <v>0</v>
      </c>
      <c r="P435" s="243">
        <f>IF(Table33[[#This Row],[Category]]="Insignia",Table33[[#This Row],[Account Deposit Amount]]-Table33[[#This Row],[Account Withdrawl Amount]], )</f>
        <v>0</v>
      </c>
      <c r="Q435" s="243">
        <f>IF(Table33[[#This Row],[Category]]="Activities/Program",Table33[[#This Row],[Account Deposit Amount]]-Table33[[#This Row],[Account Withdrawl Amount]], )</f>
        <v>0</v>
      </c>
      <c r="R435" s="243">
        <f>IF(Table33[[#This Row],[Category]]="Travel",Table33[[#This Row],[Account Deposit Amount]]-Table33[[#This Row],[Account Withdrawl Amount]], )</f>
        <v>0</v>
      </c>
      <c r="S435" s="243">
        <f>IF(Table33[[#This Row],[Category]]="Parties Food &amp; Beverages",Table33[[#This Row],[Account Deposit Amount]]-Table33[[#This Row],[Account Withdrawl Amount]], )</f>
        <v>0</v>
      </c>
      <c r="T435" s="243">
        <f>IF(Table33[[#This Row],[Category]]="Service Projects Donation",Table33[[#This Row],[Account Deposit Amount]]-Table33[[#This Row],[Account Withdrawl Amount]], )</f>
        <v>0</v>
      </c>
      <c r="U435" s="243">
        <f>IF(Table33[[#This Row],[Category]]="Cookie Debt",Table33[[#This Row],[Account Deposit Amount]]-Table33[[#This Row],[Account Withdrawl Amount]], )</f>
        <v>0</v>
      </c>
      <c r="V435" s="243">
        <f>IF(Table33[[#This Row],[Category]]="Other Expense",Table33[[#This Row],[Account Deposit Amount]]-Table33[[#This Row],[Account Withdrawl Amount]], )</f>
        <v>0</v>
      </c>
    </row>
    <row r="436" spans="1:22">
      <c r="A436" s="225"/>
      <c r="B436" s="241"/>
      <c r="C436" s="225"/>
      <c r="D436" s="225"/>
      <c r="E436" s="242"/>
      <c r="F436" s="242"/>
      <c r="G436" s="243">
        <f t="shared" si="10"/>
        <v>0</v>
      </c>
      <c r="H436" s="225"/>
      <c r="I436" s="243">
        <f>IF(Table33[[#This Row],[Category]]="Fall Product",Table33[[#This Row],[Account Deposit Amount]]-Table33[[#This Row],[Account Withdrawl Amount]], )</f>
        <v>0</v>
      </c>
      <c r="J436" s="243">
        <f>IF(Table33[[#This Row],[Category]]="Cookies",Table33[[#This Row],[Account Deposit Amount]]-Table33[[#This Row],[Account Withdrawl Amount]], )</f>
        <v>0</v>
      </c>
      <c r="K436" s="243">
        <f>IF(Table33[[#This Row],[Category]]="Additional Money Earning Activities",Table33[[#This Row],[Account Deposit Amount]]-Table33[[#This Row],[Account Withdrawl Amount]], )</f>
        <v>0</v>
      </c>
      <c r="L436" s="243">
        <f>IF(Table33[[#This Row],[Category]]="Sponsorships",Table33[[#This Row],[Account Deposit Amount]]-Table33[[#This Row],[Account Withdrawl Amount]], )</f>
        <v>0</v>
      </c>
      <c r="M436" s="243">
        <f>IF(Table33[[#This Row],[Category]]="Troop Dues",Table33[[#This Row],[Account Deposit Amount]]-Table33[[#This Row],[Account Withdrawl Amount]], )</f>
        <v>0</v>
      </c>
      <c r="N436" s="243">
        <f>IF(Table33[[#This Row],[Category]]="Other Income",Table33[[#This Row],[Account Deposit Amount]]-Table33[[#This Row],[Account Withdrawl Amount]], )</f>
        <v>0</v>
      </c>
      <c r="O436" s="243">
        <f>IF(Table33[[#This Row],[Category]]="Registration",Table33[[#This Row],[Account Deposit Amount]]-Table33[[#This Row],[Account Withdrawl Amount]], )</f>
        <v>0</v>
      </c>
      <c r="P436" s="243">
        <f>IF(Table33[[#This Row],[Category]]="Insignia",Table33[[#This Row],[Account Deposit Amount]]-Table33[[#This Row],[Account Withdrawl Amount]], )</f>
        <v>0</v>
      </c>
      <c r="Q436" s="243">
        <f>IF(Table33[[#This Row],[Category]]="Activities/Program",Table33[[#This Row],[Account Deposit Amount]]-Table33[[#This Row],[Account Withdrawl Amount]], )</f>
        <v>0</v>
      </c>
      <c r="R436" s="243">
        <f>IF(Table33[[#This Row],[Category]]="Travel",Table33[[#This Row],[Account Deposit Amount]]-Table33[[#This Row],[Account Withdrawl Amount]], )</f>
        <v>0</v>
      </c>
      <c r="S436" s="243">
        <f>IF(Table33[[#This Row],[Category]]="Parties Food &amp; Beverages",Table33[[#This Row],[Account Deposit Amount]]-Table33[[#This Row],[Account Withdrawl Amount]], )</f>
        <v>0</v>
      </c>
      <c r="T436" s="243">
        <f>IF(Table33[[#This Row],[Category]]="Service Projects Donation",Table33[[#This Row],[Account Deposit Amount]]-Table33[[#This Row],[Account Withdrawl Amount]], )</f>
        <v>0</v>
      </c>
      <c r="U436" s="243">
        <f>IF(Table33[[#This Row],[Category]]="Cookie Debt",Table33[[#This Row],[Account Deposit Amount]]-Table33[[#This Row],[Account Withdrawl Amount]], )</f>
        <v>0</v>
      </c>
      <c r="V436" s="243">
        <f>IF(Table33[[#This Row],[Category]]="Other Expense",Table33[[#This Row],[Account Deposit Amount]]-Table33[[#This Row],[Account Withdrawl Amount]], )</f>
        <v>0</v>
      </c>
    </row>
    <row r="437" spans="1:22">
      <c r="A437" s="225"/>
      <c r="B437" s="241"/>
      <c r="C437" s="225"/>
      <c r="D437" s="225"/>
      <c r="E437" s="242"/>
      <c r="F437" s="242"/>
      <c r="G437" s="243">
        <f t="shared" si="10"/>
        <v>0</v>
      </c>
      <c r="H437" s="225"/>
      <c r="I437" s="243">
        <f>IF(Table33[[#This Row],[Category]]="Fall Product",Table33[[#This Row],[Account Deposit Amount]]-Table33[[#This Row],[Account Withdrawl Amount]], )</f>
        <v>0</v>
      </c>
      <c r="J437" s="243">
        <f>IF(Table33[[#This Row],[Category]]="Cookies",Table33[[#This Row],[Account Deposit Amount]]-Table33[[#This Row],[Account Withdrawl Amount]], )</f>
        <v>0</v>
      </c>
      <c r="K437" s="243">
        <f>IF(Table33[[#This Row],[Category]]="Additional Money Earning Activities",Table33[[#This Row],[Account Deposit Amount]]-Table33[[#This Row],[Account Withdrawl Amount]], )</f>
        <v>0</v>
      </c>
      <c r="L437" s="243">
        <f>IF(Table33[[#This Row],[Category]]="Sponsorships",Table33[[#This Row],[Account Deposit Amount]]-Table33[[#This Row],[Account Withdrawl Amount]], )</f>
        <v>0</v>
      </c>
      <c r="M437" s="243">
        <f>IF(Table33[[#This Row],[Category]]="Troop Dues",Table33[[#This Row],[Account Deposit Amount]]-Table33[[#This Row],[Account Withdrawl Amount]], )</f>
        <v>0</v>
      </c>
      <c r="N437" s="243">
        <f>IF(Table33[[#This Row],[Category]]="Other Income",Table33[[#This Row],[Account Deposit Amount]]-Table33[[#This Row],[Account Withdrawl Amount]], )</f>
        <v>0</v>
      </c>
      <c r="O437" s="243">
        <f>IF(Table33[[#This Row],[Category]]="Registration",Table33[[#This Row],[Account Deposit Amount]]-Table33[[#This Row],[Account Withdrawl Amount]], )</f>
        <v>0</v>
      </c>
      <c r="P437" s="243">
        <f>IF(Table33[[#This Row],[Category]]="Insignia",Table33[[#This Row],[Account Deposit Amount]]-Table33[[#This Row],[Account Withdrawl Amount]], )</f>
        <v>0</v>
      </c>
      <c r="Q437" s="243">
        <f>IF(Table33[[#This Row],[Category]]="Activities/Program",Table33[[#This Row],[Account Deposit Amount]]-Table33[[#This Row],[Account Withdrawl Amount]], )</f>
        <v>0</v>
      </c>
      <c r="R437" s="243">
        <f>IF(Table33[[#This Row],[Category]]="Travel",Table33[[#This Row],[Account Deposit Amount]]-Table33[[#This Row],[Account Withdrawl Amount]], )</f>
        <v>0</v>
      </c>
      <c r="S437" s="243">
        <f>IF(Table33[[#This Row],[Category]]="Parties Food &amp; Beverages",Table33[[#This Row],[Account Deposit Amount]]-Table33[[#This Row],[Account Withdrawl Amount]], )</f>
        <v>0</v>
      </c>
      <c r="T437" s="243">
        <f>IF(Table33[[#This Row],[Category]]="Service Projects Donation",Table33[[#This Row],[Account Deposit Amount]]-Table33[[#This Row],[Account Withdrawl Amount]], )</f>
        <v>0</v>
      </c>
      <c r="U437" s="243">
        <f>IF(Table33[[#This Row],[Category]]="Cookie Debt",Table33[[#This Row],[Account Deposit Amount]]-Table33[[#This Row],[Account Withdrawl Amount]], )</f>
        <v>0</v>
      </c>
      <c r="V437" s="243">
        <f>IF(Table33[[#This Row],[Category]]="Other Expense",Table33[[#This Row],[Account Deposit Amount]]-Table33[[#This Row],[Account Withdrawl Amount]], )</f>
        <v>0</v>
      </c>
    </row>
    <row r="438" spans="1:22">
      <c r="A438" s="225"/>
      <c r="B438" s="241"/>
      <c r="C438" s="225"/>
      <c r="D438" s="225"/>
      <c r="E438" s="242"/>
      <c r="F438" s="242"/>
      <c r="G438" s="243">
        <f t="shared" si="10"/>
        <v>0</v>
      </c>
      <c r="H438" s="225"/>
      <c r="I438" s="243">
        <f>IF(Table33[[#This Row],[Category]]="Fall Product",Table33[[#This Row],[Account Deposit Amount]]-Table33[[#This Row],[Account Withdrawl Amount]], )</f>
        <v>0</v>
      </c>
      <c r="J438" s="243">
        <f>IF(Table33[[#This Row],[Category]]="Cookies",Table33[[#This Row],[Account Deposit Amount]]-Table33[[#This Row],[Account Withdrawl Amount]], )</f>
        <v>0</v>
      </c>
      <c r="K438" s="243">
        <f>IF(Table33[[#This Row],[Category]]="Additional Money Earning Activities",Table33[[#This Row],[Account Deposit Amount]]-Table33[[#This Row],[Account Withdrawl Amount]], )</f>
        <v>0</v>
      </c>
      <c r="L438" s="243">
        <f>IF(Table33[[#This Row],[Category]]="Sponsorships",Table33[[#This Row],[Account Deposit Amount]]-Table33[[#This Row],[Account Withdrawl Amount]], )</f>
        <v>0</v>
      </c>
      <c r="M438" s="243">
        <f>IF(Table33[[#This Row],[Category]]="Troop Dues",Table33[[#This Row],[Account Deposit Amount]]-Table33[[#This Row],[Account Withdrawl Amount]], )</f>
        <v>0</v>
      </c>
      <c r="N438" s="243">
        <f>IF(Table33[[#This Row],[Category]]="Other Income",Table33[[#This Row],[Account Deposit Amount]]-Table33[[#This Row],[Account Withdrawl Amount]], )</f>
        <v>0</v>
      </c>
      <c r="O438" s="243">
        <f>IF(Table33[[#This Row],[Category]]="Registration",Table33[[#This Row],[Account Deposit Amount]]-Table33[[#This Row],[Account Withdrawl Amount]], )</f>
        <v>0</v>
      </c>
      <c r="P438" s="243">
        <f>IF(Table33[[#This Row],[Category]]="Insignia",Table33[[#This Row],[Account Deposit Amount]]-Table33[[#This Row],[Account Withdrawl Amount]], )</f>
        <v>0</v>
      </c>
      <c r="Q438" s="243">
        <f>IF(Table33[[#This Row],[Category]]="Activities/Program",Table33[[#This Row],[Account Deposit Amount]]-Table33[[#This Row],[Account Withdrawl Amount]], )</f>
        <v>0</v>
      </c>
      <c r="R438" s="243">
        <f>IF(Table33[[#This Row],[Category]]="Travel",Table33[[#This Row],[Account Deposit Amount]]-Table33[[#This Row],[Account Withdrawl Amount]], )</f>
        <v>0</v>
      </c>
      <c r="S438" s="243">
        <f>IF(Table33[[#This Row],[Category]]="Parties Food &amp; Beverages",Table33[[#This Row],[Account Deposit Amount]]-Table33[[#This Row],[Account Withdrawl Amount]], )</f>
        <v>0</v>
      </c>
      <c r="T438" s="243">
        <f>IF(Table33[[#This Row],[Category]]="Service Projects Donation",Table33[[#This Row],[Account Deposit Amount]]-Table33[[#This Row],[Account Withdrawl Amount]], )</f>
        <v>0</v>
      </c>
      <c r="U438" s="243">
        <f>IF(Table33[[#This Row],[Category]]="Cookie Debt",Table33[[#This Row],[Account Deposit Amount]]-Table33[[#This Row],[Account Withdrawl Amount]], )</f>
        <v>0</v>
      </c>
      <c r="V438" s="243">
        <f>IF(Table33[[#This Row],[Category]]="Other Expense",Table33[[#This Row],[Account Deposit Amount]]-Table33[[#This Row],[Account Withdrawl Amount]], )</f>
        <v>0</v>
      </c>
    </row>
    <row r="439" spans="1:22">
      <c r="A439" s="225"/>
      <c r="B439" s="241"/>
      <c r="C439" s="225"/>
      <c r="D439" s="225"/>
      <c r="E439" s="242"/>
      <c r="F439" s="242"/>
      <c r="G439" s="243">
        <f t="shared" si="10"/>
        <v>0</v>
      </c>
      <c r="H439" s="225"/>
      <c r="I439" s="243">
        <f>IF(Table33[[#This Row],[Category]]="Fall Product",Table33[[#This Row],[Account Deposit Amount]]-Table33[[#This Row],[Account Withdrawl Amount]], )</f>
        <v>0</v>
      </c>
      <c r="J439" s="243">
        <f>IF(Table33[[#This Row],[Category]]="Cookies",Table33[[#This Row],[Account Deposit Amount]]-Table33[[#This Row],[Account Withdrawl Amount]], )</f>
        <v>0</v>
      </c>
      <c r="K439" s="243">
        <f>IF(Table33[[#This Row],[Category]]="Additional Money Earning Activities",Table33[[#This Row],[Account Deposit Amount]]-Table33[[#This Row],[Account Withdrawl Amount]], )</f>
        <v>0</v>
      </c>
      <c r="L439" s="243">
        <f>IF(Table33[[#This Row],[Category]]="Sponsorships",Table33[[#This Row],[Account Deposit Amount]]-Table33[[#This Row],[Account Withdrawl Amount]], )</f>
        <v>0</v>
      </c>
      <c r="M439" s="243">
        <f>IF(Table33[[#This Row],[Category]]="Troop Dues",Table33[[#This Row],[Account Deposit Amount]]-Table33[[#This Row],[Account Withdrawl Amount]], )</f>
        <v>0</v>
      </c>
      <c r="N439" s="243">
        <f>IF(Table33[[#This Row],[Category]]="Other Income",Table33[[#This Row],[Account Deposit Amount]]-Table33[[#This Row],[Account Withdrawl Amount]], )</f>
        <v>0</v>
      </c>
      <c r="O439" s="243">
        <f>IF(Table33[[#This Row],[Category]]="Registration",Table33[[#This Row],[Account Deposit Amount]]-Table33[[#This Row],[Account Withdrawl Amount]], )</f>
        <v>0</v>
      </c>
      <c r="P439" s="243">
        <f>IF(Table33[[#This Row],[Category]]="Insignia",Table33[[#This Row],[Account Deposit Amount]]-Table33[[#This Row],[Account Withdrawl Amount]], )</f>
        <v>0</v>
      </c>
      <c r="Q439" s="243">
        <f>IF(Table33[[#This Row],[Category]]="Activities/Program",Table33[[#This Row],[Account Deposit Amount]]-Table33[[#This Row],[Account Withdrawl Amount]], )</f>
        <v>0</v>
      </c>
      <c r="R439" s="243">
        <f>IF(Table33[[#This Row],[Category]]="Travel",Table33[[#This Row],[Account Deposit Amount]]-Table33[[#This Row],[Account Withdrawl Amount]], )</f>
        <v>0</v>
      </c>
      <c r="S439" s="243">
        <f>IF(Table33[[#This Row],[Category]]="Parties Food &amp; Beverages",Table33[[#This Row],[Account Deposit Amount]]-Table33[[#This Row],[Account Withdrawl Amount]], )</f>
        <v>0</v>
      </c>
      <c r="T439" s="243">
        <f>IF(Table33[[#This Row],[Category]]="Service Projects Donation",Table33[[#This Row],[Account Deposit Amount]]-Table33[[#This Row],[Account Withdrawl Amount]], )</f>
        <v>0</v>
      </c>
      <c r="U439" s="243">
        <f>IF(Table33[[#This Row],[Category]]="Cookie Debt",Table33[[#This Row],[Account Deposit Amount]]-Table33[[#This Row],[Account Withdrawl Amount]], )</f>
        <v>0</v>
      </c>
      <c r="V439" s="243">
        <f>IF(Table33[[#This Row],[Category]]="Other Expense",Table33[[#This Row],[Account Deposit Amount]]-Table33[[#This Row],[Account Withdrawl Amount]], )</f>
        <v>0</v>
      </c>
    </row>
    <row r="440" spans="1:22">
      <c r="A440" s="225"/>
      <c r="B440" s="241"/>
      <c r="C440" s="225"/>
      <c r="D440" s="225"/>
      <c r="E440" s="242"/>
      <c r="F440" s="242"/>
      <c r="G440" s="243">
        <f t="shared" si="10"/>
        <v>0</v>
      </c>
      <c r="H440" s="225"/>
      <c r="I440" s="243">
        <f>IF(Table33[[#This Row],[Category]]="Fall Product",Table33[[#This Row],[Account Deposit Amount]]-Table33[[#This Row],[Account Withdrawl Amount]], )</f>
        <v>0</v>
      </c>
      <c r="J440" s="243">
        <f>IF(Table33[[#This Row],[Category]]="Cookies",Table33[[#This Row],[Account Deposit Amount]]-Table33[[#This Row],[Account Withdrawl Amount]], )</f>
        <v>0</v>
      </c>
      <c r="K440" s="243">
        <f>IF(Table33[[#This Row],[Category]]="Additional Money Earning Activities",Table33[[#This Row],[Account Deposit Amount]]-Table33[[#This Row],[Account Withdrawl Amount]], )</f>
        <v>0</v>
      </c>
      <c r="L440" s="243">
        <f>IF(Table33[[#This Row],[Category]]="Sponsorships",Table33[[#This Row],[Account Deposit Amount]]-Table33[[#This Row],[Account Withdrawl Amount]], )</f>
        <v>0</v>
      </c>
      <c r="M440" s="243">
        <f>IF(Table33[[#This Row],[Category]]="Troop Dues",Table33[[#This Row],[Account Deposit Amount]]-Table33[[#This Row],[Account Withdrawl Amount]], )</f>
        <v>0</v>
      </c>
      <c r="N440" s="243">
        <f>IF(Table33[[#This Row],[Category]]="Other Income",Table33[[#This Row],[Account Deposit Amount]]-Table33[[#This Row],[Account Withdrawl Amount]], )</f>
        <v>0</v>
      </c>
      <c r="O440" s="243">
        <f>IF(Table33[[#This Row],[Category]]="Registration",Table33[[#This Row],[Account Deposit Amount]]-Table33[[#This Row],[Account Withdrawl Amount]], )</f>
        <v>0</v>
      </c>
      <c r="P440" s="243">
        <f>IF(Table33[[#This Row],[Category]]="Insignia",Table33[[#This Row],[Account Deposit Amount]]-Table33[[#This Row],[Account Withdrawl Amount]], )</f>
        <v>0</v>
      </c>
      <c r="Q440" s="243">
        <f>IF(Table33[[#This Row],[Category]]="Activities/Program",Table33[[#This Row],[Account Deposit Amount]]-Table33[[#This Row],[Account Withdrawl Amount]], )</f>
        <v>0</v>
      </c>
      <c r="R440" s="243">
        <f>IF(Table33[[#This Row],[Category]]="Travel",Table33[[#This Row],[Account Deposit Amount]]-Table33[[#This Row],[Account Withdrawl Amount]], )</f>
        <v>0</v>
      </c>
      <c r="S440" s="243">
        <f>IF(Table33[[#This Row],[Category]]="Parties Food &amp; Beverages",Table33[[#This Row],[Account Deposit Amount]]-Table33[[#This Row],[Account Withdrawl Amount]], )</f>
        <v>0</v>
      </c>
      <c r="T440" s="243">
        <f>IF(Table33[[#This Row],[Category]]="Service Projects Donation",Table33[[#This Row],[Account Deposit Amount]]-Table33[[#This Row],[Account Withdrawl Amount]], )</f>
        <v>0</v>
      </c>
      <c r="U440" s="243">
        <f>IF(Table33[[#This Row],[Category]]="Cookie Debt",Table33[[#This Row],[Account Deposit Amount]]-Table33[[#This Row],[Account Withdrawl Amount]], )</f>
        <v>0</v>
      </c>
      <c r="V440" s="243">
        <f>IF(Table33[[#This Row],[Category]]="Other Expense",Table33[[#This Row],[Account Deposit Amount]]-Table33[[#This Row],[Account Withdrawl Amount]], )</f>
        <v>0</v>
      </c>
    </row>
    <row r="441" spans="1:22">
      <c r="A441" s="225"/>
      <c r="B441" s="241"/>
      <c r="C441" s="225"/>
      <c r="D441" s="225"/>
      <c r="E441" s="242"/>
      <c r="F441" s="242"/>
      <c r="G441" s="243">
        <f t="shared" si="10"/>
        <v>0</v>
      </c>
      <c r="H441" s="225"/>
      <c r="I441" s="243">
        <f>IF(Table33[[#This Row],[Category]]="Fall Product",Table33[[#This Row],[Account Deposit Amount]]-Table33[[#This Row],[Account Withdrawl Amount]], )</f>
        <v>0</v>
      </c>
      <c r="J441" s="243">
        <f>IF(Table33[[#This Row],[Category]]="Cookies",Table33[[#This Row],[Account Deposit Amount]]-Table33[[#This Row],[Account Withdrawl Amount]], )</f>
        <v>0</v>
      </c>
      <c r="K441" s="243">
        <f>IF(Table33[[#This Row],[Category]]="Additional Money Earning Activities",Table33[[#This Row],[Account Deposit Amount]]-Table33[[#This Row],[Account Withdrawl Amount]], )</f>
        <v>0</v>
      </c>
      <c r="L441" s="243">
        <f>IF(Table33[[#This Row],[Category]]="Sponsorships",Table33[[#This Row],[Account Deposit Amount]]-Table33[[#This Row],[Account Withdrawl Amount]], )</f>
        <v>0</v>
      </c>
      <c r="M441" s="243">
        <f>IF(Table33[[#This Row],[Category]]="Troop Dues",Table33[[#This Row],[Account Deposit Amount]]-Table33[[#This Row],[Account Withdrawl Amount]], )</f>
        <v>0</v>
      </c>
      <c r="N441" s="243">
        <f>IF(Table33[[#This Row],[Category]]="Other Income",Table33[[#This Row],[Account Deposit Amount]]-Table33[[#This Row],[Account Withdrawl Amount]], )</f>
        <v>0</v>
      </c>
      <c r="O441" s="243">
        <f>IF(Table33[[#This Row],[Category]]="Registration",Table33[[#This Row],[Account Deposit Amount]]-Table33[[#This Row],[Account Withdrawl Amount]], )</f>
        <v>0</v>
      </c>
      <c r="P441" s="243">
        <f>IF(Table33[[#This Row],[Category]]="Insignia",Table33[[#This Row],[Account Deposit Amount]]-Table33[[#This Row],[Account Withdrawl Amount]], )</f>
        <v>0</v>
      </c>
      <c r="Q441" s="243">
        <f>IF(Table33[[#This Row],[Category]]="Activities/Program",Table33[[#This Row],[Account Deposit Amount]]-Table33[[#This Row],[Account Withdrawl Amount]], )</f>
        <v>0</v>
      </c>
      <c r="R441" s="243">
        <f>IF(Table33[[#This Row],[Category]]="Travel",Table33[[#This Row],[Account Deposit Amount]]-Table33[[#This Row],[Account Withdrawl Amount]], )</f>
        <v>0</v>
      </c>
      <c r="S441" s="243">
        <f>IF(Table33[[#This Row],[Category]]="Parties Food &amp; Beverages",Table33[[#This Row],[Account Deposit Amount]]-Table33[[#This Row],[Account Withdrawl Amount]], )</f>
        <v>0</v>
      </c>
      <c r="T441" s="243">
        <f>IF(Table33[[#This Row],[Category]]="Service Projects Donation",Table33[[#This Row],[Account Deposit Amount]]-Table33[[#This Row],[Account Withdrawl Amount]], )</f>
        <v>0</v>
      </c>
      <c r="U441" s="243">
        <f>IF(Table33[[#This Row],[Category]]="Cookie Debt",Table33[[#This Row],[Account Deposit Amount]]-Table33[[#This Row],[Account Withdrawl Amount]], )</f>
        <v>0</v>
      </c>
      <c r="V441" s="243">
        <f>IF(Table33[[#This Row],[Category]]="Other Expense",Table33[[#This Row],[Account Deposit Amount]]-Table33[[#This Row],[Account Withdrawl Amount]], )</f>
        <v>0</v>
      </c>
    </row>
    <row r="442" spans="1:22">
      <c r="A442" s="225"/>
      <c r="B442" s="241"/>
      <c r="C442" s="225"/>
      <c r="D442" s="225"/>
      <c r="E442" s="242"/>
      <c r="F442" s="242"/>
      <c r="G442" s="243">
        <f t="shared" si="10"/>
        <v>0</v>
      </c>
      <c r="H442" s="225"/>
      <c r="I442" s="243">
        <f>IF(Table33[[#This Row],[Category]]="Fall Product",Table33[[#This Row],[Account Deposit Amount]]-Table33[[#This Row],[Account Withdrawl Amount]], )</f>
        <v>0</v>
      </c>
      <c r="J442" s="243">
        <f>IF(Table33[[#This Row],[Category]]="Cookies",Table33[[#This Row],[Account Deposit Amount]]-Table33[[#This Row],[Account Withdrawl Amount]], )</f>
        <v>0</v>
      </c>
      <c r="K442" s="243">
        <f>IF(Table33[[#This Row],[Category]]="Additional Money Earning Activities",Table33[[#This Row],[Account Deposit Amount]]-Table33[[#This Row],[Account Withdrawl Amount]], )</f>
        <v>0</v>
      </c>
      <c r="L442" s="243">
        <f>IF(Table33[[#This Row],[Category]]="Sponsorships",Table33[[#This Row],[Account Deposit Amount]]-Table33[[#This Row],[Account Withdrawl Amount]], )</f>
        <v>0</v>
      </c>
      <c r="M442" s="243">
        <f>IF(Table33[[#This Row],[Category]]="Troop Dues",Table33[[#This Row],[Account Deposit Amount]]-Table33[[#This Row],[Account Withdrawl Amount]], )</f>
        <v>0</v>
      </c>
      <c r="N442" s="243">
        <f>IF(Table33[[#This Row],[Category]]="Other Income",Table33[[#This Row],[Account Deposit Amount]]-Table33[[#This Row],[Account Withdrawl Amount]], )</f>
        <v>0</v>
      </c>
      <c r="O442" s="243">
        <f>IF(Table33[[#This Row],[Category]]="Registration",Table33[[#This Row],[Account Deposit Amount]]-Table33[[#This Row],[Account Withdrawl Amount]], )</f>
        <v>0</v>
      </c>
      <c r="P442" s="243">
        <f>IF(Table33[[#This Row],[Category]]="Insignia",Table33[[#This Row],[Account Deposit Amount]]-Table33[[#This Row],[Account Withdrawl Amount]], )</f>
        <v>0</v>
      </c>
      <c r="Q442" s="243">
        <f>IF(Table33[[#This Row],[Category]]="Activities/Program",Table33[[#This Row],[Account Deposit Amount]]-Table33[[#This Row],[Account Withdrawl Amount]], )</f>
        <v>0</v>
      </c>
      <c r="R442" s="243">
        <f>IF(Table33[[#This Row],[Category]]="Travel",Table33[[#This Row],[Account Deposit Amount]]-Table33[[#This Row],[Account Withdrawl Amount]], )</f>
        <v>0</v>
      </c>
      <c r="S442" s="243">
        <f>IF(Table33[[#This Row],[Category]]="Parties Food &amp; Beverages",Table33[[#This Row],[Account Deposit Amount]]-Table33[[#This Row],[Account Withdrawl Amount]], )</f>
        <v>0</v>
      </c>
      <c r="T442" s="243">
        <f>IF(Table33[[#This Row],[Category]]="Service Projects Donation",Table33[[#This Row],[Account Deposit Amount]]-Table33[[#This Row],[Account Withdrawl Amount]], )</f>
        <v>0</v>
      </c>
      <c r="U442" s="243">
        <f>IF(Table33[[#This Row],[Category]]="Cookie Debt",Table33[[#This Row],[Account Deposit Amount]]-Table33[[#This Row],[Account Withdrawl Amount]], )</f>
        <v>0</v>
      </c>
      <c r="V442" s="243">
        <f>IF(Table33[[#This Row],[Category]]="Other Expense",Table33[[#This Row],[Account Deposit Amount]]-Table33[[#This Row],[Account Withdrawl Amount]], )</f>
        <v>0</v>
      </c>
    </row>
    <row r="443" spans="1:22">
      <c r="A443" s="225"/>
      <c r="B443" s="241"/>
      <c r="C443" s="225"/>
      <c r="D443" s="225"/>
      <c r="E443" s="242"/>
      <c r="F443" s="242"/>
      <c r="G443" s="243">
        <f t="shared" si="10"/>
        <v>0</v>
      </c>
      <c r="H443" s="225"/>
      <c r="I443" s="243">
        <f>IF(Table33[[#This Row],[Category]]="Fall Product",Table33[[#This Row],[Account Deposit Amount]]-Table33[[#This Row],[Account Withdrawl Amount]], )</f>
        <v>0</v>
      </c>
      <c r="J443" s="243">
        <f>IF(Table33[[#This Row],[Category]]="Cookies",Table33[[#This Row],[Account Deposit Amount]]-Table33[[#This Row],[Account Withdrawl Amount]], )</f>
        <v>0</v>
      </c>
      <c r="K443" s="243">
        <f>IF(Table33[[#This Row],[Category]]="Additional Money Earning Activities",Table33[[#This Row],[Account Deposit Amount]]-Table33[[#This Row],[Account Withdrawl Amount]], )</f>
        <v>0</v>
      </c>
      <c r="L443" s="243">
        <f>IF(Table33[[#This Row],[Category]]="Sponsorships",Table33[[#This Row],[Account Deposit Amount]]-Table33[[#This Row],[Account Withdrawl Amount]], )</f>
        <v>0</v>
      </c>
      <c r="M443" s="243">
        <f>IF(Table33[[#This Row],[Category]]="Troop Dues",Table33[[#This Row],[Account Deposit Amount]]-Table33[[#This Row],[Account Withdrawl Amount]], )</f>
        <v>0</v>
      </c>
      <c r="N443" s="243">
        <f>IF(Table33[[#This Row],[Category]]="Other Income",Table33[[#This Row],[Account Deposit Amount]]-Table33[[#This Row],[Account Withdrawl Amount]], )</f>
        <v>0</v>
      </c>
      <c r="O443" s="243">
        <f>IF(Table33[[#This Row],[Category]]="Registration",Table33[[#This Row],[Account Deposit Amount]]-Table33[[#This Row],[Account Withdrawl Amount]], )</f>
        <v>0</v>
      </c>
      <c r="P443" s="243">
        <f>IF(Table33[[#This Row],[Category]]="Insignia",Table33[[#This Row],[Account Deposit Amount]]-Table33[[#This Row],[Account Withdrawl Amount]], )</f>
        <v>0</v>
      </c>
      <c r="Q443" s="243">
        <f>IF(Table33[[#This Row],[Category]]="Activities/Program",Table33[[#This Row],[Account Deposit Amount]]-Table33[[#This Row],[Account Withdrawl Amount]], )</f>
        <v>0</v>
      </c>
      <c r="R443" s="243">
        <f>IF(Table33[[#This Row],[Category]]="Travel",Table33[[#This Row],[Account Deposit Amount]]-Table33[[#This Row],[Account Withdrawl Amount]], )</f>
        <v>0</v>
      </c>
      <c r="S443" s="243">
        <f>IF(Table33[[#This Row],[Category]]="Parties Food &amp; Beverages",Table33[[#This Row],[Account Deposit Amount]]-Table33[[#This Row],[Account Withdrawl Amount]], )</f>
        <v>0</v>
      </c>
      <c r="T443" s="243">
        <f>IF(Table33[[#This Row],[Category]]="Service Projects Donation",Table33[[#This Row],[Account Deposit Amount]]-Table33[[#This Row],[Account Withdrawl Amount]], )</f>
        <v>0</v>
      </c>
      <c r="U443" s="243">
        <f>IF(Table33[[#This Row],[Category]]="Cookie Debt",Table33[[#This Row],[Account Deposit Amount]]-Table33[[#This Row],[Account Withdrawl Amount]], )</f>
        <v>0</v>
      </c>
      <c r="V443" s="243">
        <f>IF(Table33[[#This Row],[Category]]="Other Expense",Table33[[#This Row],[Account Deposit Amount]]-Table33[[#This Row],[Account Withdrawl Amount]], )</f>
        <v>0</v>
      </c>
    </row>
    <row r="444" spans="1:22">
      <c r="A444" s="225"/>
      <c r="B444" s="241"/>
      <c r="C444" s="225"/>
      <c r="D444" s="225"/>
      <c r="E444" s="242"/>
      <c r="F444" s="242"/>
      <c r="G444" s="243">
        <f t="shared" si="10"/>
        <v>0</v>
      </c>
      <c r="H444" s="225"/>
      <c r="I444" s="243">
        <f>IF(Table33[[#This Row],[Category]]="Fall Product",Table33[[#This Row],[Account Deposit Amount]]-Table33[[#This Row],[Account Withdrawl Amount]], )</f>
        <v>0</v>
      </c>
      <c r="J444" s="243">
        <f>IF(Table33[[#This Row],[Category]]="Cookies",Table33[[#This Row],[Account Deposit Amount]]-Table33[[#This Row],[Account Withdrawl Amount]], )</f>
        <v>0</v>
      </c>
      <c r="K444" s="243">
        <f>IF(Table33[[#This Row],[Category]]="Additional Money Earning Activities",Table33[[#This Row],[Account Deposit Amount]]-Table33[[#This Row],[Account Withdrawl Amount]], )</f>
        <v>0</v>
      </c>
      <c r="L444" s="243">
        <f>IF(Table33[[#This Row],[Category]]="Sponsorships",Table33[[#This Row],[Account Deposit Amount]]-Table33[[#This Row],[Account Withdrawl Amount]], )</f>
        <v>0</v>
      </c>
      <c r="M444" s="243">
        <f>IF(Table33[[#This Row],[Category]]="Troop Dues",Table33[[#This Row],[Account Deposit Amount]]-Table33[[#This Row],[Account Withdrawl Amount]], )</f>
        <v>0</v>
      </c>
      <c r="N444" s="243">
        <f>IF(Table33[[#This Row],[Category]]="Other Income",Table33[[#This Row],[Account Deposit Amount]]-Table33[[#This Row],[Account Withdrawl Amount]], )</f>
        <v>0</v>
      </c>
      <c r="O444" s="243">
        <f>IF(Table33[[#This Row],[Category]]="Registration",Table33[[#This Row],[Account Deposit Amount]]-Table33[[#This Row],[Account Withdrawl Amount]], )</f>
        <v>0</v>
      </c>
      <c r="P444" s="243">
        <f>IF(Table33[[#This Row],[Category]]="Insignia",Table33[[#This Row],[Account Deposit Amount]]-Table33[[#This Row],[Account Withdrawl Amount]], )</f>
        <v>0</v>
      </c>
      <c r="Q444" s="243">
        <f>IF(Table33[[#This Row],[Category]]="Activities/Program",Table33[[#This Row],[Account Deposit Amount]]-Table33[[#This Row],[Account Withdrawl Amount]], )</f>
        <v>0</v>
      </c>
      <c r="R444" s="243">
        <f>IF(Table33[[#This Row],[Category]]="Travel",Table33[[#This Row],[Account Deposit Amount]]-Table33[[#This Row],[Account Withdrawl Amount]], )</f>
        <v>0</v>
      </c>
      <c r="S444" s="243">
        <f>IF(Table33[[#This Row],[Category]]="Parties Food &amp; Beverages",Table33[[#This Row],[Account Deposit Amount]]-Table33[[#This Row],[Account Withdrawl Amount]], )</f>
        <v>0</v>
      </c>
      <c r="T444" s="243">
        <f>IF(Table33[[#This Row],[Category]]="Service Projects Donation",Table33[[#This Row],[Account Deposit Amount]]-Table33[[#This Row],[Account Withdrawl Amount]], )</f>
        <v>0</v>
      </c>
      <c r="U444" s="243">
        <f>IF(Table33[[#This Row],[Category]]="Cookie Debt",Table33[[#This Row],[Account Deposit Amount]]-Table33[[#This Row],[Account Withdrawl Amount]], )</f>
        <v>0</v>
      </c>
      <c r="V444" s="243">
        <f>IF(Table33[[#This Row],[Category]]="Other Expense",Table33[[#This Row],[Account Deposit Amount]]-Table33[[#This Row],[Account Withdrawl Amount]], )</f>
        <v>0</v>
      </c>
    </row>
    <row r="445" spans="1:22">
      <c r="A445" s="225"/>
      <c r="B445" s="241"/>
      <c r="C445" s="225"/>
      <c r="D445" s="225"/>
      <c r="E445" s="242"/>
      <c r="F445" s="242"/>
      <c r="G445" s="243">
        <f t="shared" si="10"/>
        <v>0</v>
      </c>
      <c r="H445" s="225"/>
      <c r="I445" s="243">
        <f>IF(Table33[[#This Row],[Category]]="Fall Product",Table33[[#This Row],[Account Deposit Amount]]-Table33[[#This Row],[Account Withdrawl Amount]], )</f>
        <v>0</v>
      </c>
      <c r="J445" s="243">
        <f>IF(Table33[[#This Row],[Category]]="Cookies",Table33[[#This Row],[Account Deposit Amount]]-Table33[[#This Row],[Account Withdrawl Amount]], )</f>
        <v>0</v>
      </c>
      <c r="K445" s="243">
        <f>IF(Table33[[#This Row],[Category]]="Additional Money Earning Activities",Table33[[#This Row],[Account Deposit Amount]]-Table33[[#This Row],[Account Withdrawl Amount]], )</f>
        <v>0</v>
      </c>
      <c r="L445" s="243">
        <f>IF(Table33[[#This Row],[Category]]="Sponsorships",Table33[[#This Row],[Account Deposit Amount]]-Table33[[#This Row],[Account Withdrawl Amount]], )</f>
        <v>0</v>
      </c>
      <c r="M445" s="243">
        <f>IF(Table33[[#This Row],[Category]]="Troop Dues",Table33[[#This Row],[Account Deposit Amount]]-Table33[[#This Row],[Account Withdrawl Amount]], )</f>
        <v>0</v>
      </c>
      <c r="N445" s="243">
        <f>IF(Table33[[#This Row],[Category]]="Other Income",Table33[[#This Row],[Account Deposit Amount]]-Table33[[#This Row],[Account Withdrawl Amount]], )</f>
        <v>0</v>
      </c>
      <c r="O445" s="243">
        <f>IF(Table33[[#This Row],[Category]]="Registration",Table33[[#This Row],[Account Deposit Amount]]-Table33[[#This Row],[Account Withdrawl Amount]], )</f>
        <v>0</v>
      </c>
      <c r="P445" s="243">
        <f>IF(Table33[[#This Row],[Category]]="Insignia",Table33[[#This Row],[Account Deposit Amount]]-Table33[[#This Row],[Account Withdrawl Amount]], )</f>
        <v>0</v>
      </c>
      <c r="Q445" s="243">
        <f>IF(Table33[[#This Row],[Category]]="Activities/Program",Table33[[#This Row],[Account Deposit Amount]]-Table33[[#This Row],[Account Withdrawl Amount]], )</f>
        <v>0</v>
      </c>
      <c r="R445" s="243">
        <f>IF(Table33[[#This Row],[Category]]="Travel",Table33[[#This Row],[Account Deposit Amount]]-Table33[[#This Row],[Account Withdrawl Amount]], )</f>
        <v>0</v>
      </c>
      <c r="S445" s="243">
        <f>IF(Table33[[#This Row],[Category]]="Parties Food &amp; Beverages",Table33[[#This Row],[Account Deposit Amount]]-Table33[[#This Row],[Account Withdrawl Amount]], )</f>
        <v>0</v>
      </c>
      <c r="T445" s="243">
        <f>IF(Table33[[#This Row],[Category]]="Service Projects Donation",Table33[[#This Row],[Account Deposit Amount]]-Table33[[#This Row],[Account Withdrawl Amount]], )</f>
        <v>0</v>
      </c>
      <c r="U445" s="243">
        <f>IF(Table33[[#This Row],[Category]]="Cookie Debt",Table33[[#This Row],[Account Deposit Amount]]-Table33[[#This Row],[Account Withdrawl Amount]], )</f>
        <v>0</v>
      </c>
      <c r="V445" s="243">
        <f>IF(Table33[[#This Row],[Category]]="Other Expense",Table33[[#This Row],[Account Deposit Amount]]-Table33[[#This Row],[Account Withdrawl Amount]], )</f>
        <v>0</v>
      </c>
    </row>
    <row r="446" spans="1:22">
      <c r="A446" s="225"/>
      <c r="B446" s="241"/>
      <c r="C446" s="225"/>
      <c r="D446" s="225"/>
      <c r="E446" s="242"/>
      <c r="F446" s="242"/>
      <c r="G446" s="243">
        <f t="shared" si="10"/>
        <v>0</v>
      </c>
      <c r="H446" s="225"/>
      <c r="I446" s="243">
        <f>IF(Table33[[#This Row],[Category]]="Fall Product",Table33[[#This Row],[Account Deposit Amount]]-Table33[[#This Row],[Account Withdrawl Amount]], )</f>
        <v>0</v>
      </c>
      <c r="J446" s="243">
        <f>IF(Table33[[#This Row],[Category]]="Cookies",Table33[[#This Row],[Account Deposit Amount]]-Table33[[#This Row],[Account Withdrawl Amount]], )</f>
        <v>0</v>
      </c>
      <c r="K446" s="243">
        <f>IF(Table33[[#This Row],[Category]]="Additional Money Earning Activities",Table33[[#This Row],[Account Deposit Amount]]-Table33[[#This Row],[Account Withdrawl Amount]], )</f>
        <v>0</v>
      </c>
      <c r="L446" s="243">
        <f>IF(Table33[[#This Row],[Category]]="Sponsorships",Table33[[#This Row],[Account Deposit Amount]]-Table33[[#This Row],[Account Withdrawl Amount]], )</f>
        <v>0</v>
      </c>
      <c r="M446" s="243">
        <f>IF(Table33[[#This Row],[Category]]="Troop Dues",Table33[[#This Row],[Account Deposit Amount]]-Table33[[#This Row],[Account Withdrawl Amount]], )</f>
        <v>0</v>
      </c>
      <c r="N446" s="243">
        <f>IF(Table33[[#This Row],[Category]]="Other Income",Table33[[#This Row],[Account Deposit Amount]]-Table33[[#This Row],[Account Withdrawl Amount]], )</f>
        <v>0</v>
      </c>
      <c r="O446" s="243">
        <f>IF(Table33[[#This Row],[Category]]="Registration",Table33[[#This Row],[Account Deposit Amount]]-Table33[[#This Row],[Account Withdrawl Amount]], )</f>
        <v>0</v>
      </c>
      <c r="P446" s="243">
        <f>IF(Table33[[#This Row],[Category]]="Insignia",Table33[[#This Row],[Account Deposit Amount]]-Table33[[#This Row],[Account Withdrawl Amount]], )</f>
        <v>0</v>
      </c>
      <c r="Q446" s="243">
        <f>IF(Table33[[#This Row],[Category]]="Activities/Program",Table33[[#This Row],[Account Deposit Amount]]-Table33[[#This Row],[Account Withdrawl Amount]], )</f>
        <v>0</v>
      </c>
      <c r="R446" s="243">
        <f>IF(Table33[[#This Row],[Category]]="Travel",Table33[[#This Row],[Account Deposit Amount]]-Table33[[#This Row],[Account Withdrawl Amount]], )</f>
        <v>0</v>
      </c>
      <c r="S446" s="243">
        <f>IF(Table33[[#This Row],[Category]]="Parties Food &amp; Beverages",Table33[[#This Row],[Account Deposit Amount]]-Table33[[#This Row],[Account Withdrawl Amount]], )</f>
        <v>0</v>
      </c>
      <c r="T446" s="243">
        <f>IF(Table33[[#This Row],[Category]]="Service Projects Donation",Table33[[#This Row],[Account Deposit Amount]]-Table33[[#This Row],[Account Withdrawl Amount]], )</f>
        <v>0</v>
      </c>
      <c r="U446" s="243">
        <f>IF(Table33[[#This Row],[Category]]="Cookie Debt",Table33[[#This Row],[Account Deposit Amount]]-Table33[[#This Row],[Account Withdrawl Amount]], )</f>
        <v>0</v>
      </c>
      <c r="V446" s="243">
        <f>IF(Table33[[#This Row],[Category]]="Other Expense",Table33[[#This Row],[Account Deposit Amount]]-Table33[[#This Row],[Account Withdrawl Amount]], )</f>
        <v>0</v>
      </c>
    </row>
    <row r="447" spans="1:22">
      <c r="A447" s="225"/>
      <c r="B447" s="241"/>
      <c r="C447" s="225"/>
      <c r="D447" s="225"/>
      <c r="E447" s="242"/>
      <c r="F447" s="242"/>
      <c r="G447" s="243">
        <f t="shared" si="10"/>
        <v>0</v>
      </c>
      <c r="H447" s="225"/>
      <c r="I447" s="243">
        <f>IF(Table33[[#This Row],[Category]]="Fall Product",Table33[[#This Row],[Account Deposit Amount]]-Table33[[#This Row],[Account Withdrawl Amount]], )</f>
        <v>0</v>
      </c>
      <c r="J447" s="243">
        <f>IF(Table33[[#This Row],[Category]]="Cookies",Table33[[#This Row],[Account Deposit Amount]]-Table33[[#This Row],[Account Withdrawl Amount]], )</f>
        <v>0</v>
      </c>
      <c r="K447" s="243">
        <f>IF(Table33[[#This Row],[Category]]="Additional Money Earning Activities",Table33[[#This Row],[Account Deposit Amount]]-Table33[[#This Row],[Account Withdrawl Amount]], )</f>
        <v>0</v>
      </c>
      <c r="L447" s="243">
        <f>IF(Table33[[#This Row],[Category]]="Sponsorships",Table33[[#This Row],[Account Deposit Amount]]-Table33[[#This Row],[Account Withdrawl Amount]], )</f>
        <v>0</v>
      </c>
      <c r="M447" s="243">
        <f>IF(Table33[[#This Row],[Category]]="Troop Dues",Table33[[#This Row],[Account Deposit Amount]]-Table33[[#This Row],[Account Withdrawl Amount]], )</f>
        <v>0</v>
      </c>
      <c r="N447" s="243">
        <f>IF(Table33[[#This Row],[Category]]="Other Income",Table33[[#This Row],[Account Deposit Amount]]-Table33[[#This Row],[Account Withdrawl Amount]], )</f>
        <v>0</v>
      </c>
      <c r="O447" s="243">
        <f>IF(Table33[[#This Row],[Category]]="Registration",Table33[[#This Row],[Account Deposit Amount]]-Table33[[#This Row],[Account Withdrawl Amount]], )</f>
        <v>0</v>
      </c>
      <c r="P447" s="243">
        <f>IF(Table33[[#This Row],[Category]]="Insignia",Table33[[#This Row],[Account Deposit Amount]]-Table33[[#This Row],[Account Withdrawl Amount]], )</f>
        <v>0</v>
      </c>
      <c r="Q447" s="243">
        <f>IF(Table33[[#This Row],[Category]]="Activities/Program",Table33[[#This Row],[Account Deposit Amount]]-Table33[[#This Row],[Account Withdrawl Amount]], )</f>
        <v>0</v>
      </c>
      <c r="R447" s="243">
        <f>IF(Table33[[#This Row],[Category]]="Travel",Table33[[#This Row],[Account Deposit Amount]]-Table33[[#This Row],[Account Withdrawl Amount]], )</f>
        <v>0</v>
      </c>
      <c r="S447" s="243">
        <f>IF(Table33[[#This Row],[Category]]="Parties Food &amp; Beverages",Table33[[#This Row],[Account Deposit Amount]]-Table33[[#This Row],[Account Withdrawl Amount]], )</f>
        <v>0</v>
      </c>
      <c r="T447" s="243">
        <f>IF(Table33[[#This Row],[Category]]="Service Projects Donation",Table33[[#This Row],[Account Deposit Amount]]-Table33[[#This Row],[Account Withdrawl Amount]], )</f>
        <v>0</v>
      </c>
      <c r="U447" s="243">
        <f>IF(Table33[[#This Row],[Category]]="Cookie Debt",Table33[[#This Row],[Account Deposit Amount]]-Table33[[#This Row],[Account Withdrawl Amount]], )</f>
        <v>0</v>
      </c>
      <c r="V447" s="243">
        <f>IF(Table33[[#This Row],[Category]]="Other Expense",Table33[[#This Row],[Account Deposit Amount]]-Table33[[#This Row],[Account Withdrawl Amount]], )</f>
        <v>0</v>
      </c>
    </row>
    <row r="448" spans="1:22">
      <c r="A448" s="225"/>
      <c r="B448" s="241"/>
      <c r="C448" s="225"/>
      <c r="D448" s="225"/>
      <c r="E448" s="242"/>
      <c r="F448" s="242"/>
      <c r="G448" s="243">
        <f t="shared" si="10"/>
        <v>0</v>
      </c>
      <c r="H448" s="225"/>
      <c r="I448" s="243">
        <f>IF(Table33[[#This Row],[Category]]="Fall Product",Table33[[#This Row],[Account Deposit Amount]]-Table33[[#This Row],[Account Withdrawl Amount]], )</f>
        <v>0</v>
      </c>
      <c r="J448" s="243">
        <f>IF(Table33[[#This Row],[Category]]="Cookies",Table33[[#This Row],[Account Deposit Amount]]-Table33[[#This Row],[Account Withdrawl Amount]], )</f>
        <v>0</v>
      </c>
      <c r="K448" s="243">
        <f>IF(Table33[[#This Row],[Category]]="Additional Money Earning Activities",Table33[[#This Row],[Account Deposit Amount]]-Table33[[#This Row],[Account Withdrawl Amount]], )</f>
        <v>0</v>
      </c>
      <c r="L448" s="243">
        <f>IF(Table33[[#This Row],[Category]]="Sponsorships",Table33[[#This Row],[Account Deposit Amount]]-Table33[[#This Row],[Account Withdrawl Amount]], )</f>
        <v>0</v>
      </c>
      <c r="M448" s="243">
        <f>IF(Table33[[#This Row],[Category]]="Troop Dues",Table33[[#This Row],[Account Deposit Amount]]-Table33[[#This Row],[Account Withdrawl Amount]], )</f>
        <v>0</v>
      </c>
      <c r="N448" s="243">
        <f>IF(Table33[[#This Row],[Category]]="Other Income",Table33[[#This Row],[Account Deposit Amount]]-Table33[[#This Row],[Account Withdrawl Amount]], )</f>
        <v>0</v>
      </c>
      <c r="O448" s="243">
        <f>IF(Table33[[#This Row],[Category]]="Registration",Table33[[#This Row],[Account Deposit Amount]]-Table33[[#This Row],[Account Withdrawl Amount]], )</f>
        <v>0</v>
      </c>
      <c r="P448" s="243">
        <f>IF(Table33[[#This Row],[Category]]="Insignia",Table33[[#This Row],[Account Deposit Amount]]-Table33[[#This Row],[Account Withdrawl Amount]], )</f>
        <v>0</v>
      </c>
      <c r="Q448" s="243">
        <f>IF(Table33[[#This Row],[Category]]="Activities/Program",Table33[[#This Row],[Account Deposit Amount]]-Table33[[#This Row],[Account Withdrawl Amount]], )</f>
        <v>0</v>
      </c>
      <c r="R448" s="243">
        <f>IF(Table33[[#This Row],[Category]]="Travel",Table33[[#This Row],[Account Deposit Amount]]-Table33[[#This Row],[Account Withdrawl Amount]], )</f>
        <v>0</v>
      </c>
      <c r="S448" s="243">
        <f>IF(Table33[[#This Row],[Category]]="Parties Food &amp; Beverages",Table33[[#This Row],[Account Deposit Amount]]-Table33[[#This Row],[Account Withdrawl Amount]], )</f>
        <v>0</v>
      </c>
      <c r="T448" s="243">
        <f>IF(Table33[[#This Row],[Category]]="Service Projects Donation",Table33[[#This Row],[Account Deposit Amount]]-Table33[[#This Row],[Account Withdrawl Amount]], )</f>
        <v>0</v>
      </c>
      <c r="U448" s="243">
        <f>IF(Table33[[#This Row],[Category]]="Cookie Debt",Table33[[#This Row],[Account Deposit Amount]]-Table33[[#This Row],[Account Withdrawl Amount]], )</f>
        <v>0</v>
      </c>
      <c r="V448" s="243">
        <f>IF(Table33[[#This Row],[Category]]="Other Expense",Table33[[#This Row],[Account Deposit Amount]]-Table33[[#This Row],[Account Withdrawl Amount]], )</f>
        <v>0</v>
      </c>
    </row>
    <row r="449" spans="1:22">
      <c r="A449" s="225"/>
      <c r="B449" s="241"/>
      <c r="C449" s="225"/>
      <c r="D449" s="225"/>
      <c r="E449" s="242"/>
      <c r="F449" s="242"/>
      <c r="G449" s="243">
        <f t="shared" si="10"/>
        <v>0</v>
      </c>
      <c r="H449" s="225"/>
      <c r="I449" s="243">
        <f>IF(Table33[[#This Row],[Category]]="Fall Product",Table33[[#This Row],[Account Deposit Amount]]-Table33[[#This Row],[Account Withdrawl Amount]], )</f>
        <v>0</v>
      </c>
      <c r="J449" s="243">
        <f>IF(Table33[[#This Row],[Category]]="Cookies",Table33[[#This Row],[Account Deposit Amount]]-Table33[[#This Row],[Account Withdrawl Amount]], )</f>
        <v>0</v>
      </c>
      <c r="K449" s="243">
        <f>IF(Table33[[#This Row],[Category]]="Additional Money Earning Activities",Table33[[#This Row],[Account Deposit Amount]]-Table33[[#This Row],[Account Withdrawl Amount]], )</f>
        <v>0</v>
      </c>
      <c r="L449" s="243">
        <f>IF(Table33[[#This Row],[Category]]="Sponsorships",Table33[[#This Row],[Account Deposit Amount]]-Table33[[#This Row],[Account Withdrawl Amount]], )</f>
        <v>0</v>
      </c>
      <c r="M449" s="243">
        <f>IF(Table33[[#This Row],[Category]]="Troop Dues",Table33[[#This Row],[Account Deposit Amount]]-Table33[[#This Row],[Account Withdrawl Amount]], )</f>
        <v>0</v>
      </c>
      <c r="N449" s="243">
        <f>IF(Table33[[#This Row],[Category]]="Other Income",Table33[[#This Row],[Account Deposit Amount]]-Table33[[#This Row],[Account Withdrawl Amount]], )</f>
        <v>0</v>
      </c>
      <c r="O449" s="243">
        <f>IF(Table33[[#This Row],[Category]]="Registration",Table33[[#This Row],[Account Deposit Amount]]-Table33[[#This Row],[Account Withdrawl Amount]], )</f>
        <v>0</v>
      </c>
      <c r="P449" s="243">
        <f>IF(Table33[[#This Row],[Category]]="Insignia",Table33[[#This Row],[Account Deposit Amount]]-Table33[[#This Row],[Account Withdrawl Amount]], )</f>
        <v>0</v>
      </c>
      <c r="Q449" s="243">
        <f>IF(Table33[[#This Row],[Category]]="Activities/Program",Table33[[#This Row],[Account Deposit Amount]]-Table33[[#This Row],[Account Withdrawl Amount]], )</f>
        <v>0</v>
      </c>
      <c r="R449" s="243">
        <f>IF(Table33[[#This Row],[Category]]="Travel",Table33[[#This Row],[Account Deposit Amount]]-Table33[[#This Row],[Account Withdrawl Amount]], )</f>
        <v>0</v>
      </c>
      <c r="S449" s="243">
        <f>IF(Table33[[#This Row],[Category]]="Parties Food &amp; Beverages",Table33[[#This Row],[Account Deposit Amount]]-Table33[[#This Row],[Account Withdrawl Amount]], )</f>
        <v>0</v>
      </c>
      <c r="T449" s="243">
        <f>IF(Table33[[#This Row],[Category]]="Service Projects Donation",Table33[[#This Row],[Account Deposit Amount]]-Table33[[#This Row],[Account Withdrawl Amount]], )</f>
        <v>0</v>
      </c>
      <c r="U449" s="243">
        <f>IF(Table33[[#This Row],[Category]]="Cookie Debt",Table33[[#This Row],[Account Deposit Amount]]-Table33[[#This Row],[Account Withdrawl Amount]], )</f>
        <v>0</v>
      </c>
      <c r="V449" s="243">
        <f>IF(Table33[[#This Row],[Category]]="Other Expense",Table33[[#This Row],[Account Deposit Amount]]-Table33[[#This Row],[Account Withdrawl Amount]], )</f>
        <v>0</v>
      </c>
    </row>
    <row r="450" spans="1:22">
      <c r="A450" s="225"/>
      <c r="B450" s="241"/>
      <c r="C450" s="225"/>
      <c r="D450" s="225"/>
      <c r="E450" s="242"/>
      <c r="F450" s="242"/>
      <c r="G450" s="243">
        <f t="shared" si="10"/>
        <v>0</v>
      </c>
      <c r="H450" s="225"/>
      <c r="I450" s="243">
        <f>IF(Table33[[#This Row],[Category]]="Fall Product",Table33[[#This Row],[Account Deposit Amount]]-Table33[[#This Row],[Account Withdrawl Amount]], )</f>
        <v>0</v>
      </c>
      <c r="J450" s="243">
        <f>IF(Table33[[#This Row],[Category]]="Cookies",Table33[[#This Row],[Account Deposit Amount]]-Table33[[#This Row],[Account Withdrawl Amount]], )</f>
        <v>0</v>
      </c>
      <c r="K450" s="243">
        <f>IF(Table33[[#This Row],[Category]]="Additional Money Earning Activities",Table33[[#This Row],[Account Deposit Amount]]-Table33[[#This Row],[Account Withdrawl Amount]], )</f>
        <v>0</v>
      </c>
      <c r="L450" s="243">
        <f>IF(Table33[[#This Row],[Category]]="Sponsorships",Table33[[#This Row],[Account Deposit Amount]]-Table33[[#This Row],[Account Withdrawl Amount]], )</f>
        <v>0</v>
      </c>
      <c r="M450" s="243">
        <f>IF(Table33[[#This Row],[Category]]="Troop Dues",Table33[[#This Row],[Account Deposit Amount]]-Table33[[#This Row],[Account Withdrawl Amount]], )</f>
        <v>0</v>
      </c>
      <c r="N450" s="243">
        <f>IF(Table33[[#This Row],[Category]]="Other Income",Table33[[#This Row],[Account Deposit Amount]]-Table33[[#This Row],[Account Withdrawl Amount]], )</f>
        <v>0</v>
      </c>
      <c r="O450" s="243">
        <f>IF(Table33[[#This Row],[Category]]="Registration",Table33[[#This Row],[Account Deposit Amount]]-Table33[[#This Row],[Account Withdrawl Amount]], )</f>
        <v>0</v>
      </c>
      <c r="P450" s="243">
        <f>IF(Table33[[#This Row],[Category]]="Insignia",Table33[[#This Row],[Account Deposit Amount]]-Table33[[#This Row],[Account Withdrawl Amount]], )</f>
        <v>0</v>
      </c>
      <c r="Q450" s="243">
        <f>IF(Table33[[#This Row],[Category]]="Activities/Program",Table33[[#This Row],[Account Deposit Amount]]-Table33[[#This Row],[Account Withdrawl Amount]], )</f>
        <v>0</v>
      </c>
      <c r="R450" s="243">
        <f>IF(Table33[[#This Row],[Category]]="Travel",Table33[[#This Row],[Account Deposit Amount]]-Table33[[#This Row],[Account Withdrawl Amount]], )</f>
        <v>0</v>
      </c>
      <c r="S450" s="243">
        <f>IF(Table33[[#This Row],[Category]]="Parties Food &amp; Beverages",Table33[[#This Row],[Account Deposit Amount]]-Table33[[#This Row],[Account Withdrawl Amount]], )</f>
        <v>0</v>
      </c>
      <c r="T450" s="243">
        <f>IF(Table33[[#This Row],[Category]]="Service Projects Donation",Table33[[#This Row],[Account Deposit Amount]]-Table33[[#This Row],[Account Withdrawl Amount]], )</f>
        <v>0</v>
      </c>
      <c r="U450" s="243">
        <f>IF(Table33[[#This Row],[Category]]="Cookie Debt",Table33[[#This Row],[Account Deposit Amount]]-Table33[[#This Row],[Account Withdrawl Amount]], )</f>
        <v>0</v>
      </c>
      <c r="V450" s="243">
        <f>IF(Table33[[#This Row],[Category]]="Other Expense",Table33[[#This Row],[Account Deposit Amount]]-Table33[[#This Row],[Account Withdrawl Amount]], )</f>
        <v>0</v>
      </c>
    </row>
    <row r="451" spans="1:22">
      <c r="A451" s="225"/>
      <c r="B451" s="241"/>
      <c r="C451" s="225"/>
      <c r="D451" s="225"/>
      <c r="E451" s="242"/>
      <c r="F451" s="242"/>
      <c r="G451" s="243">
        <f t="shared" si="10"/>
        <v>0</v>
      </c>
      <c r="H451" s="225"/>
      <c r="I451" s="243">
        <f>IF(Table33[[#This Row],[Category]]="Fall Product",Table33[[#This Row],[Account Deposit Amount]]-Table33[[#This Row],[Account Withdrawl Amount]], )</f>
        <v>0</v>
      </c>
      <c r="J451" s="243">
        <f>IF(Table33[[#This Row],[Category]]="Cookies",Table33[[#This Row],[Account Deposit Amount]]-Table33[[#This Row],[Account Withdrawl Amount]], )</f>
        <v>0</v>
      </c>
      <c r="K451" s="243">
        <f>IF(Table33[[#This Row],[Category]]="Additional Money Earning Activities",Table33[[#This Row],[Account Deposit Amount]]-Table33[[#This Row],[Account Withdrawl Amount]], )</f>
        <v>0</v>
      </c>
      <c r="L451" s="243">
        <f>IF(Table33[[#This Row],[Category]]="Sponsorships",Table33[[#This Row],[Account Deposit Amount]]-Table33[[#This Row],[Account Withdrawl Amount]], )</f>
        <v>0</v>
      </c>
      <c r="M451" s="243">
        <f>IF(Table33[[#This Row],[Category]]="Troop Dues",Table33[[#This Row],[Account Deposit Amount]]-Table33[[#This Row],[Account Withdrawl Amount]], )</f>
        <v>0</v>
      </c>
      <c r="N451" s="243">
        <f>IF(Table33[[#This Row],[Category]]="Other Income",Table33[[#This Row],[Account Deposit Amount]]-Table33[[#This Row],[Account Withdrawl Amount]], )</f>
        <v>0</v>
      </c>
      <c r="O451" s="243">
        <f>IF(Table33[[#This Row],[Category]]="Registration",Table33[[#This Row],[Account Deposit Amount]]-Table33[[#This Row],[Account Withdrawl Amount]], )</f>
        <v>0</v>
      </c>
      <c r="P451" s="243">
        <f>IF(Table33[[#This Row],[Category]]="Insignia",Table33[[#This Row],[Account Deposit Amount]]-Table33[[#This Row],[Account Withdrawl Amount]], )</f>
        <v>0</v>
      </c>
      <c r="Q451" s="243">
        <f>IF(Table33[[#This Row],[Category]]="Activities/Program",Table33[[#This Row],[Account Deposit Amount]]-Table33[[#This Row],[Account Withdrawl Amount]], )</f>
        <v>0</v>
      </c>
      <c r="R451" s="243">
        <f>IF(Table33[[#This Row],[Category]]="Travel",Table33[[#This Row],[Account Deposit Amount]]-Table33[[#This Row],[Account Withdrawl Amount]], )</f>
        <v>0</v>
      </c>
      <c r="S451" s="243">
        <f>IF(Table33[[#This Row],[Category]]="Parties Food &amp; Beverages",Table33[[#This Row],[Account Deposit Amount]]-Table33[[#This Row],[Account Withdrawl Amount]], )</f>
        <v>0</v>
      </c>
      <c r="T451" s="243">
        <f>IF(Table33[[#This Row],[Category]]="Service Projects Donation",Table33[[#This Row],[Account Deposit Amount]]-Table33[[#This Row],[Account Withdrawl Amount]], )</f>
        <v>0</v>
      </c>
      <c r="U451" s="243">
        <f>IF(Table33[[#This Row],[Category]]="Cookie Debt",Table33[[#This Row],[Account Deposit Amount]]-Table33[[#This Row],[Account Withdrawl Amount]], )</f>
        <v>0</v>
      </c>
      <c r="V451" s="243">
        <f>IF(Table33[[#This Row],[Category]]="Other Expense",Table33[[#This Row],[Account Deposit Amount]]-Table33[[#This Row],[Account Withdrawl Amount]], )</f>
        <v>0</v>
      </c>
    </row>
    <row r="452" spans="1:22">
      <c r="A452" s="225"/>
      <c r="B452" s="241"/>
      <c r="C452" s="225"/>
      <c r="D452" s="225"/>
      <c r="E452" s="242"/>
      <c r="F452" s="242"/>
      <c r="G452" s="243">
        <f t="shared" si="10"/>
        <v>0</v>
      </c>
      <c r="H452" s="225"/>
      <c r="I452" s="243">
        <f>IF(Table33[[#This Row],[Category]]="Fall Product",Table33[[#This Row],[Account Deposit Amount]]-Table33[[#This Row],[Account Withdrawl Amount]], )</f>
        <v>0</v>
      </c>
      <c r="J452" s="243">
        <f>IF(Table33[[#This Row],[Category]]="Cookies",Table33[[#This Row],[Account Deposit Amount]]-Table33[[#This Row],[Account Withdrawl Amount]], )</f>
        <v>0</v>
      </c>
      <c r="K452" s="243">
        <f>IF(Table33[[#This Row],[Category]]="Additional Money Earning Activities",Table33[[#This Row],[Account Deposit Amount]]-Table33[[#This Row],[Account Withdrawl Amount]], )</f>
        <v>0</v>
      </c>
      <c r="L452" s="243">
        <f>IF(Table33[[#This Row],[Category]]="Sponsorships",Table33[[#This Row],[Account Deposit Amount]]-Table33[[#This Row],[Account Withdrawl Amount]], )</f>
        <v>0</v>
      </c>
      <c r="M452" s="243">
        <f>IF(Table33[[#This Row],[Category]]="Troop Dues",Table33[[#This Row],[Account Deposit Amount]]-Table33[[#This Row],[Account Withdrawl Amount]], )</f>
        <v>0</v>
      </c>
      <c r="N452" s="243">
        <f>IF(Table33[[#This Row],[Category]]="Other Income",Table33[[#This Row],[Account Deposit Amount]]-Table33[[#This Row],[Account Withdrawl Amount]], )</f>
        <v>0</v>
      </c>
      <c r="O452" s="243">
        <f>IF(Table33[[#This Row],[Category]]="Registration",Table33[[#This Row],[Account Deposit Amount]]-Table33[[#This Row],[Account Withdrawl Amount]], )</f>
        <v>0</v>
      </c>
      <c r="P452" s="243">
        <f>IF(Table33[[#This Row],[Category]]="Insignia",Table33[[#This Row],[Account Deposit Amount]]-Table33[[#This Row],[Account Withdrawl Amount]], )</f>
        <v>0</v>
      </c>
      <c r="Q452" s="243">
        <f>IF(Table33[[#This Row],[Category]]="Activities/Program",Table33[[#This Row],[Account Deposit Amount]]-Table33[[#This Row],[Account Withdrawl Amount]], )</f>
        <v>0</v>
      </c>
      <c r="R452" s="243">
        <f>IF(Table33[[#This Row],[Category]]="Travel",Table33[[#This Row],[Account Deposit Amount]]-Table33[[#This Row],[Account Withdrawl Amount]], )</f>
        <v>0</v>
      </c>
      <c r="S452" s="243">
        <f>IF(Table33[[#This Row],[Category]]="Parties Food &amp; Beverages",Table33[[#This Row],[Account Deposit Amount]]-Table33[[#This Row],[Account Withdrawl Amount]], )</f>
        <v>0</v>
      </c>
      <c r="T452" s="243">
        <f>IF(Table33[[#This Row],[Category]]="Service Projects Donation",Table33[[#This Row],[Account Deposit Amount]]-Table33[[#This Row],[Account Withdrawl Amount]], )</f>
        <v>0</v>
      </c>
      <c r="U452" s="243">
        <f>IF(Table33[[#This Row],[Category]]="Cookie Debt",Table33[[#This Row],[Account Deposit Amount]]-Table33[[#This Row],[Account Withdrawl Amount]], )</f>
        <v>0</v>
      </c>
      <c r="V452" s="243">
        <f>IF(Table33[[#This Row],[Category]]="Other Expense",Table33[[#This Row],[Account Deposit Amount]]-Table33[[#This Row],[Account Withdrawl Amount]], )</f>
        <v>0</v>
      </c>
    </row>
    <row r="453" spans="1:22">
      <c r="A453" s="225"/>
      <c r="B453" s="241"/>
      <c r="C453" s="225"/>
      <c r="D453" s="225"/>
      <c r="E453" s="242"/>
      <c r="F453" s="242"/>
      <c r="G453" s="243">
        <f t="shared" si="10"/>
        <v>0</v>
      </c>
      <c r="H453" s="225"/>
      <c r="I453" s="243">
        <f>IF(Table33[[#This Row],[Category]]="Fall Product",Table33[[#This Row],[Account Deposit Amount]]-Table33[[#This Row],[Account Withdrawl Amount]], )</f>
        <v>0</v>
      </c>
      <c r="J453" s="243">
        <f>IF(Table33[[#This Row],[Category]]="Cookies",Table33[[#This Row],[Account Deposit Amount]]-Table33[[#This Row],[Account Withdrawl Amount]], )</f>
        <v>0</v>
      </c>
      <c r="K453" s="243">
        <f>IF(Table33[[#This Row],[Category]]="Additional Money Earning Activities",Table33[[#This Row],[Account Deposit Amount]]-Table33[[#This Row],[Account Withdrawl Amount]], )</f>
        <v>0</v>
      </c>
      <c r="L453" s="243">
        <f>IF(Table33[[#This Row],[Category]]="Sponsorships",Table33[[#This Row],[Account Deposit Amount]]-Table33[[#This Row],[Account Withdrawl Amount]], )</f>
        <v>0</v>
      </c>
      <c r="M453" s="243">
        <f>IF(Table33[[#This Row],[Category]]="Troop Dues",Table33[[#This Row],[Account Deposit Amount]]-Table33[[#This Row],[Account Withdrawl Amount]], )</f>
        <v>0</v>
      </c>
      <c r="N453" s="243">
        <f>IF(Table33[[#This Row],[Category]]="Other Income",Table33[[#This Row],[Account Deposit Amount]]-Table33[[#This Row],[Account Withdrawl Amount]], )</f>
        <v>0</v>
      </c>
      <c r="O453" s="243">
        <f>IF(Table33[[#This Row],[Category]]="Registration",Table33[[#This Row],[Account Deposit Amount]]-Table33[[#This Row],[Account Withdrawl Amount]], )</f>
        <v>0</v>
      </c>
      <c r="P453" s="243">
        <f>IF(Table33[[#This Row],[Category]]="Insignia",Table33[[#This Row],[Account Deposit Amount]]-Table33[[#This Row],[Account Withdrawl Amount]], )</f>
        <v>0</v>
      </c>
      <c r="Q453" s="243">
        <f>IF(Table33[[#This Row],[Category]]="Activities/Program",Table33[[#This Row],[Account Deposit Amount]]-Table33[[#This Row],[Account Withdrawl Amount]], )</f>
        <v>0</v>
      </c>
      <c r="R453" s="243">
        <f>IF(Table33[[#This Row],[Category]]="Travel",Table33[[#This Row],[Account Deposit Amount]]-Table33[[#This Row],[Account Withdrawl Amount]], )</f>
        <v>0</v>
      </c>
      <c r="S453" s="243">
        <f>IF(Table33[[#This Row],[Category]]="Parties Food &amp; Beverages",Table33[[#This Row],[Account Deposit Amount]]-Table33[[#This Row],[Account Withdrawl Amount]], )</f>
        <v>0</v>
      </c>
      <c r="T453" s="243">
        <f>IF(Table33[[#This Row],[Category]]="Service Projects Donation",Table33[[#This Row],[Account Deposit Amount]]-Table33[[#This Row],[Account Withdrawl Amount]], )</f>
        <v>0</v>
      </c>
      <c r="U453" s="243">
        <f>IF(Table33[[#This Row],[Category]]="Cookie Debt",Table33[[#This Row],[Account Deposit Amount]]-Table33[[#This Row],[Account Withdrawl Amount]], )</f>
        <v>0</v>
      </c>
      <c r="V453" s="243">
        <f>IF(Table33[[#This Row],[Category]]="Other Expense",Table33[[#This Row],[Account Deposit Amount]]-Table33[[#This Row],[Account Withdrawl Amount]], )</f>
        <v>0</v>
      </c>
    </row>
    <row r="454" spans="1:22">
      <c r="A454" s="225"/>
      <c r="B454" s="241"/>
      <c r="C454" s="225"/>
      <c r="D454" s="225"/>
      <c r="E454" s="242"/>
      <c r="F454" s="242"/>
      <c r="G454" s="243">
        <f t="shared" si="10"/>
        <v>0</v>
      </c>
      <c r="H454" s="225"/>
      <c r="I454" s="243">
        <f>IF(Table33[[#This Row],[Category]]="Fall Product",Table33[[#This Row],[Account Deposit Amount]]-Table33[[#This Row],[Account Withdrawl Amount]], )</f>
        <v>0</v>
      </c>
      <c r="J454" s="243">
        <f>IF(Table33[[#This Row],[Category]]="Cookies",Table33[[#This Row],[Account Deposit Amount]]-Table33[[#This Row],[Account Withdrawl Amount]], )</f>
        <v>0</v>
      </c>
      <c r="K454" s="243">
        <f>IF(Table33[[#This Row],[Category]]="Additional Money Earning Activities",Table33[[#This Row],[Account Deposit Amount]]-Table33[[#This Row],[Account Withdrawl Amount]], )</f>
        <v>0</v>
      </c>
      <c r="L454" s="243">
        <f>IF(Table33[[#This Row],[Category]]="Sponsorships",Table33[[#This Row],[Account Deposit Amount]]-Table33[[#This Row],[Account Withdrawl Amount]], )</f>
        <v>0</v>
      </c>
      <c r="M454" s="243">
        <f>IF(Table33[[#This Row],[Category]]="Troop Dues",Table33[[#This Row],[Account Deposit Amount]]-Table33[[#This Row],[Account Withdrawl Amount]], )</f>
        <v>0</v>
      </c>
      <c r="N454" s="243">
        <f>IF(Table33[[#This Row],[Category]]="Other Income",Table33[[#This Row],[Account Deposit Amount]]-Table33[[#This Row],[Account Withdrawl Amount]], )</f>
        <v>0</v>
      </c>
      <c r="O454" s="243">
        <f>IF(Table33[[#This Row],[Category]]="Registration",Table33[[#This Row],[Account Deposit Amount]]-Table33[[#This Row],[Account Withdrawl Amount]], )</f>
        <v>0</v>
      </c>
      <c r="P454" s="243">
        <f>IF(Table33[[#This Row],[Category]]="Insignia",Table33[[#This Row],[Account Deposit Amount]]-Table33[[#This Row],[Account Withdrawl Amount]], )</f>
        <v>0</v>
      </c>
      <c r="Q454" s="243">
        <f>IF(Table33[[#This Row],[Category]]="Activities/Program",Table33[[#This Row],[Account Deposit Amount]]-Table33[[#This Row],[Account Withdrawl Amount]], )</f>
        <v>0</v>
      </c>
      <c r="R454" s="243">
        <f>IF(Table33[[#This Row],[Category]]="Travel",Table33[[#This Row],[Account Deposit Amount]]-Table33[[#This Row],[Account Withdrawl Amount]], )</f>
        <v>0</v>
      </c>
      <c r="S454" s="243">
        <f>IF(Table33[[#This Row],[Category]]="Parties Food &amp; Beverages",Table33[[#This Row],[Account Deposit Amount]]-Table33[[#This Row],[Account Withdrawl Amount]], )</f>
        <v>0</v>
      </c>
      <c r="T454" s="243">
        <f>IF(Table33[[#This Row],[Category]]="Service Projects Donation",Table33[[#This Row],[Account Deposit Amount]]-Table33[[#This Row],[Account Withdrawl Amount]], )</f>
        <v>0</v>
      </c>
      <c r="U454" s="243">
        <f>IF(Table33[[#This Row],[Category]]="Cookie Debt",Table33[[#This Row],[Account Deposit Amount]]-Table33[[#This Row],[Account Withdrawl Amount]], )</f>
        <v>0</v>
      </c>
      <c r="V454" s="243">
        <f>IF(Table33[[#This Row],[Category]]="Other Expense",Table33[[#This Row],[Account Deposit Amount]]-Table33[[#This Row],[Account Withdrawl Amount]], )</f>
        <v>0</v>
      </c>
    </row>
    <row r="455" spans="1:22">
      <c r="A455" s="225"/>
      <c r="B455" s="241"/>
      <c r="C455" s="225"/>
      <c r="D455" s="225"/>
      <c r="E455" s="242"/>
      <c r="F455" s="242"/>
      <c r="G455" s="243">
        <f t="shared" si="10"/>
        <v>0</v>
      </c>
      <c r="H455" s="225"/>
      <c r="I455" s="243">
        <f>IF(Table33[[#This Row],[Category]]="Fall Product",Table33[[#This Row],[Account Deposit Amount]]-Table33[[#This Row],[Account Withdrawl Amount]], )</f>
        <v>0</v>
      </c>
      <c r="J455" s="243">
        <f>IF(Table33[[#This Row],[Category]]="Cookies",Table33[[#This Row],[Account Deposit Amount]]-Table33[[#This Row],[Account Withdrawl Amount]], )</f>
        <v>0</v>
      </c>
      <c r="K455" s="243">
        <f>IF(Table33[[#This Row],[Category]]="Additional Money Earning Activities",Table33[[#This Row],[Account Deposit Amount]]-Table33[[#This Row],[Account Withdrawl Amount]], )</f>
        <v>0</v>
      </c>
      <c r="L455" s="243">
        <f>IF(Table33[[#This Row],[Category]]="Sponsorships",Table33[[#This Row],[Account Deposit Amount]]-Table33[[#This Row],[Account Withdrawl Amount]], )</f>
        <v>0</v>
      </c>
      <c r="M455" s="243">
        <f>IF(Table33[[#This Row],[Category]]="Troop Dues",Table33[[#This Row],[Account Deposit Amount]]-Table33[[#This Row],[Account Withdrawl Amount]], )</f>
        <v>0</v>
      </c>
      <c r="N455" s="243">
        <f>IF(Table33[[#This Row],[Category]]="Other Income",Table33[[#This Row],[Account Deposit Amount]]-Table33[[#This Row],[Account Withdrawl Amount]], )</f>
        <v>0</v>
      </c>
      <c r="O455" s="243">
        <f>IF(Table33[[#This Row],[Category]]="Registration",Table33[[#This Row],[Account Deposit Amount]]-Table33[[#This Row],[Account Withdrawl Amount]], )</f>
        <v>0</v>
      </c>
      <c r="P455" s="243">
        <f>IF(Table33[[#This Row],[Category]]="Insignia",Table33[[#This Row],[Account Deposit Amount]]-Table33[[#This Row],[Account Withdrawl Amount]], )</f>
        <v>0</v>
      </c>
      <c r="Q455" s="243">
        <f>IF(Table33[[#This Row],[Category]]="Activities/Program",Table33[[#This Row],[Account Deposit Amount]]-Table33[[#This Row],[Account Withdrawl Amount]], )</f>
        <v>0</v>
      </c>
      <c r="R455" s="243">
        <f>IF(Table33[[#This Row],[Category]]="Travel",Table33[[#This Row],[Account Deposit Amount]]-Table33[[#This Row],[Account Withdrawl Amount]], )</f>
        <v>0</v>
      </c>
      <c r="S455" s="243">
        <f>IF(Table33[[#This Row],[Category]]="Parties Food &amp; Beverages",Table33[[#This Row],[Account Deposit Amount]]-Table33[[#This Row],[Account Withdrawl Amount]], )</f>
        <v>0</v>
      </c>
      <c r="T455" s="243">
        <f>IF(Table33[[#This Row],[Category]]="Service Projects Donation",Table33[[#This Row],[Account Deposit Amount]]-Table33[[#This Row],[Account Withdrawl Amount]], )</f>
        <v>0</v>
      </c>
      <c r="U455" s="243">
        <f>IF(Table33[[#This Row],[Category]]="Cookie Debt",Table33[[#This Row],[Account Deposit Amount]]-Table33[[#This Row],[Account Withdrawl Amount]], )</f>
        <v>0</v>
      </c>
      <c r="V455" s="243">
        <f>IF(Table33[[#This Row],[Category]]="Other Expense",Table33[[#This Row],[Account Deposit Amount]]-Table33[[#This Row],[Account Withdrawl Amount]], )</f>
        <v>0</v>
      </c>
    </row>
    <row r="456" spans="1:22">
      <c r="A456" s="225"/>
      <c r="B456" s="241"/>
      <c r="C456" s="225"/>
      <c r="D456" s="225"/>
      <c r="E456" s="242"/>
      <c r="F456" s="242"/>
      <c r="G456" s="243">
        <f t="shared" si="10"/>
        <v>0</v>
      </c>
      <c r="H456" s="225"/>
      <c r="I456" s="243">
        <f>IF(Table33[[#This Row],[Category]]="Fall Product",Table33[[#This Row],[Account Deposit Amount]]-Table33[[#This Row],[Account Withdrawl Amount]], )</f>
        <v>0</v>
      </c>
      <c r="J456" s="243">
        <f>IF(Table33[[#This Row],[Category]]="Cookies",Table33[[#This Row],[Account Deposit Amount]]-Table33[[#This Row],[Account Withdrawl Amount]], )</f>
        <v>0</v>
      </c>
      <c r="K456" s="243">
        <f>IF(Table33[[#This Row],[Category]]="Additional Money Earning Activities",Table33[[#This Row],[Account Deposit Amount]]-Table33[[#This Row],[Account Withdrawl Amount]], )</f>
        <v>0</v>
      </c>
      <c r="L456" s="243">
        <f>IF(Table33[[#This Row],[Category]]="Sponsorships",Table33[[#This Row],[Account Deposit Amount]]-Table33[[#This Row],[Account Withdrawl Amount]], )</f>
        <v>0</v>
      </c>
      <c r="M456" s="243">
        <f>IF(Table33[[#This Row],[Category]]="Troop Dues",Table33[[#This Row],[Account Deposit Amount]]-Table33[[#This Row],[Account Withdrawl Amount]], )</f>
        <v>0</v>
      </c>
      <c r="N456" s="243">
        <f>IF(Table33[[#This Row],[Category]]="Other Income",Table33[[#This Row],[Account Deposit Amount]]-Table33[[#This Row],[Account Withdrawl Amount]], )</f>
        <v>0</v>
      </c>
      <c r="O456" s="243">
        <f>IF(Table33[[#This Row],[Category]]="Registration",Table33[[#This Row],[Account Deposit Amount]]-Table33[[#This Row],[Account Withdrawl Amount]], )</f>
        <v>0</v>
      </c>
      <c r="P456" s="243">
        <f>IF(Table33[[#This Row],[Category]]="Insignia",Table33[[#This Row],[Account Deposit Amount]]-Table33[[#This Row],[Account Withdrawl Amount]], )</f>
        <v>0</v>
      </c>
      <c r="Q456" s="243">
        <f>IF(Table33[[#This Row],[Category]]="Activities/Program",Table33[[#This Row],[Account Deposit Amount]]-Table33[[#This Row],[Account Withdrawl Amount]], )</f>
        <v>0</v>
      </c>
      <c r="R456" s="243">
        <f>IF(Table33[[#This Row],[Category]]="Travel",Table33[[#This Row],[Account Deposit Amount]]-Table33[[#This Row],[Account Withdrawl Amount]], )</f>
        <v>0</v>
      </c>
      <c r="S456" s="243">
        <f>IF(Table33[[#This Row],[Category]]="Parties Food &amp; Beverages",Table33[[#This Row],[Account Deposit Amount]]-Table33[[#This Row],[Account Withdrawl Amount]], )</f>
        <v>0</v>
      </c>
      <c r="T456" s="243">
        <f>IF(Table33[[#This Row],[Category]]="Service Projects Donation",Table33[[#This Row],[Account Deposit Amount]]-Table33[[#This Row],[Account Withdrawl Amount]], )</f>
        <v>0</v>
      </c>
      <c r="U456" s="243">
        <f>IF(Table33[[#This Row],[Category]]="Cookie Debt",Table33[[#This Row],[Account Deposit Amount]]-Table33[[#This Row],[Account Withdrawl Amount]], )</f>
        <v>0</v>
      </c>
      <c r="V456" s="243">
        <f>IF(Table33[[#This Row],[Category]]="Other Expense",Table33[[#This Row],[Account Deposit Amount]]-Table33[[#This Row],[Account Withdrawl Amount]], )</f>
        <v>0</v>
      </c>
    </row>
    <row r="457" spans="1:22">
      <c r="A457" s="225"/>
      <c r="B457" s="241"/>
      <c r="C457" s="225"/>
      <c r="D457" s="225"/>
      <c r="E457" s="242"/>
      <c r="F457" s="242"/>
      <c r="G457" s="243">
        <f t="shared" si="10"/>
        <v>0</v>
      </c>
      <c r="H457" s="225"/>
      <c r="I457" s="243">
        <f>IF(Table33[[#This Row],[Category]]="Fall Product",Table33[[#This Row],[Account Deposit Amount]]-Table33[[#This Row],[Account Withdrawl Amount]], )</f>
        <v>0</v>
      </c>
      <c r="J457" s="243">
        <f>IF(Table33[[#This Row],[Category]]="Cookies",Table33[[#This Row],[Account Deposit Amount]]-Table33[[#This Row],[Account Withdrawl Amount]], )</f>
        <v>0</v>
      </c>
      <c r="K457" s="243">
        <f>IF(Table33[[#This Row],[Category]]="Additional Money Earning Activities",Table33[[#This Row],[Account Deposit Amount]]-Table33[[#This Row],[Account Withdrawl Amount]], )</f>
        <v>0</v>
      </c>
      <c r="L457" s="243">
        <f>IF(Table33[[#This Row],[Category]]="Sponsorships",Table33[[#This Row],[Account Deposit Amount]]-Table33[[#This Row],[Account Withdrawl Amount]], )</f>
        <v>0</v>
      </c>
      <c r="M457" s="243">
        <f>IF(Table33[[#This Row],[Category]]="Troop Dues",Table33[[#This Row],[Account Deposit Amount]]-Table33[[#This Row],[Account Withdrawl Amount]], )</f>
        <v>0</v>
      </c>
      <c r="N457" s="243">
        <f>IF(Table33[[#This Row],[Category]]="Other Income",Table33[[#This Row],[Account Deposit Amount]]-Table33[[#This Row],[Account Withdrawl Amount]], )</f>
        <v>0</v>
      </c>
      <c r="O457" s="243">
        <f>IF(Table33[[#This Row],[Category]]="Registration",Table33[[#This Row],[Account Deposit Amount]]-Table33[[#This Row],[Account Withdrawl Amount]], )</f>
        <v>0</v>
      </c>
      <c r="P457" s="243">
        <f>IF(Table33[[#This Row],[Category]]="Insignia",Table33[[#This Row],[Account Deposit Amount]]-Table33[[#This Row],[Account Withdrawl Amount]], )</f>
        <v>0</v>
      </c>
      <c r="Q457" s="243">
        <f>IF(Table33[[#This Row],[Category]]="Activities/Program",Table33[[#This Row],[Account Deposit Amount]]-Table33[[#This Row],[Account Withdrawl Amount]], )</f>
        <v>0</v>
      </c>
      <c r="R457" s="243">
        <f>IF(Table33[[#This Row],[Category]]="Travel",Table33[[#This Row],[Account Deposit Amount]]-Table33[[#This Row],[Account Withdrawl Amount]], )</f>
        <v>0</v>
      </c>
      <c r="S457" s="243">
        <f>IF(Table33[[#This Row],[Category]]="Parties Food &amp; Beverages",Table33[[#This Row],[Account Deposit Amount]]-Table33[[#This Row],[Account Withdrawl Amount]], )</f>
        <v>0</v>
      </c>
      <c r="T457" s="243">
        <f>IF(Table33[[#This Row],[Category]]="Service Projects Donation",Table33[[#This Row],[Account Deposit Amount]]-Table33[[#This Row],[Account Withdrawl Amount]], )</f>
        <v>0</v>
      </c>
      <c r="U457" s="243">
        <f>IF(Table33[[#This Row],[Category]]="Cookie Debt",Table33[[#This Row],[Account Deposit Amount]]-Table33[[#This Row],[Account Withdrawl Amount]], )</f>
        <v>0</v>
      </c>
      <c r="V457" s="243">
        <f>IF(Table33[[#This Row],[Category]]="Other Expense",Table33[[#This Row],[Account Deposit Amount]]-Table33[[#This Row],[Account Withdrawl Amount]], )</f>
        <v>0</v>
      </c>
    </row>
    <row r="458" spans="1:22">
      <c r="A458" s="225"/>
      <c r="B458" s="241"/>
      <c r="C458" s="225"/>
      <c r="D458" s="225"/>
      <c r="E458" s="242"/>
      <c r="F458" s="242"/>
      <c r="G458" s="243">
        <f t="shared" si="10"/>
        <v>0</v>
      </c>
      <c r="H458" s="225"/>
      <c r="I458" s="243">
        <f>IF(Table33[[#This Row],[Category]]="Fall Product",Table33[[#This Row],[Account Deposit Amount]]-Table33[[#This Row],[Account Withdrawl Amount]], )</f>
        <v>0</v>
      </c>
      <c r="J458" s="243">
        <f>IF(Table33[[#This Row],[Category]]="Cookies",Table33[[#This Row],[Account Deposit Amount]]-Table33[[#This Row],[Account Withdrawl Amount]], )</f>
        <v>0</v>
      </c>
      <c r="K458" s="243">
        <f>IF(Table33[[#This Row],[Category]]="Additional Money Earning Activities",Table33[[#This Row],[Account Deposit Amount]]-Table33[[#This Row],[Account Withdrawl Amount]], )</f>
        <v>0</v>
      </c>
      <c r="L458" s="243">
        <f>IF(Table33[[#This Row],[Category]]="Sponsorships",Table33[[#This Row],[Account Deposit Amount]]-Table33[[#This Row],[Account Withdrawl Amount]], )</f>
        <v>0</v>
      </c>
      <c r="M458" s="243">
        <f>IF(Table33[[#This Row],[Category]]="Troop Dues",Table33[[#This Row],[Account Deposit Amount]]-Table33[[#This Row],[Account Withdrawl Amount]], )</f>
        <v>0</v>
      </c>
      <c r="N458" s="243">
        <f>IF(Table33[[#This Row],[Category]]="Other Income",Table33[[#This Row],[Account Deposit Amount]]-Table33[[#This Row],[Account Withdrawl Amount]], )</f>
        <v>0</v>
      </c>
      <c r="O458" s="243">
        <f>IF(Table33[[#This Row],[Category]]="Registration",Table33[[#This Row],[Account Deposit Amount]]-Table33[[#This Row],[Account Withdrawl Amount]], )</f>
        <v>0</v>
      </c>
      <c r="P458" s="243">
        <f>IF(Table33[[#This Row],[Category]]="Insignia",Table33[[#This Row],[Account Deposit Amount]]-Table33[[#This Row],[Account Withdrawl Amount]], )</f>
        <v>0</v>
      </c>
      <c r="Q458" s="243">
        <f>IF(Table33[[#This Row],[Category]]="Activities/Program",Table33[[#This Row],[Account Deposit Amount]]-Table33[[#This Row],[Account Withdrawl Amount]], )</f>
        <v>0</v>
      </c>
      <c r="R458" s="243">
        <f>IF(Table33[[#This Row],[Category]]="Travel",Table33[[#This Row],[Account Deposit Amount]]-Table33[[#This Row],[Account Withdrawl Amount]], )</f>
        <v>0</v>
      </c>
      <c r="S458" s="243">
        <f>IF(Table33[[#This Row],[Category]]="Parties Food &amp; Beverages",Table33[[#This Row],[Account Deposit Amount]]-Table33[[#This Row],[Account Withdrawl Amount]], )</f>
        <v>0</v>
      </c>
      <c r="T458" s="243">
        <f>IF(Table33[[#This Row],[Category]]="Service Projects Donation",Table33[[#This Row],[Account Deposit Amount]]-Table33[[#This Row],[Account Withdrawl Amount]], )</f>
        <v>0</v>
      </c>
      <c r="U458" s="243">
        <f>IF(Table33[[#This Row],[Category]]="Cookie Debt",Table33[[#This Row],[Account Deposit Amount]]-Table33[[#This Row],[Account Withdrawl Amount]], )</f>
        <v>0</v>
      </c>
      <c r="V458" s="243">
        <f>IF(Table33[[#This Row],[Category]]="Other Expense",Table33[[#This Row],[Account Deposit Amount]]-Table33[[#This Row],[Account Withdrawl Amount]], )</f>
        <v>0</v>
      </c>
    </row>
    <row r="459" spans="1:22">
      <c r="A459" s="225"/>
      <c r="B459" s="241"/>
      <c r="C459" s="225"/>
      <c r="D459" s="225"/>
      <c r="E459" s="242"/>
      <c r="F459" s="242"/>
      <c r="G459" s="243">
        <f t="shared" si="10"/>
        <v>0</v>
      </c>
      <c r="H459" s="225"/>
      <c r="I459" s="243">
        <f>IF(Table33[[#This Row],[Category]]="Fall Product",Table33[[#This Row],[Account Deposit Amount]]-Table33[[#This Row],[Account Withdrawl Amount]], )</f>
        <v>0</v>
      </c>
      <c r="J459" s="243">
        <f>IF(Table33[[#This Row],[Category]]="Cookies",Table33[[#This Row],[Account Deposit Amount]]-Table33[[#This Row],[Account Withdrawl Amount]], )</f>
        <v>0</v>
      </c>
      <c r="K459" s="243">
        <f>IF(Table33[[#This Row],[Category]]="Additional Money Earning Activities",Table33[[#This Row],[Account Deposit Amount]]-Table33[[#This Row],[Account Withdrawl Amount]], )</f>
        <v>0</v>
      </c>
      <c r="L459" s="243">
        <f>IF(Table33[[#This Row],[Category]]="Sponsorships",Table33[[#This Row],[Account Deposit Amount]]-Table33[[#This Row],[Account Withdrawl Amount]], )</f>
        <v>0</v>
      </c>
      <c r="M459" s="243">
        <f>IF(Table33[[#This Row],[Category]]="Troop Dues",Table33[[#This Row],[Account Deposit Amount]]-Table33[[#This Row],[Account Withdrawl Amount]], )</f>
        <v>0</v>
      </c>
      <c r="N459" s="243">
        <f>IF(Table33[[#This Row],[Category]]="Other Income",Table33[[#This Row],[Account Deposit Amount]]-Table33[[#This Row],[Account Withdrawl Amount]], )</f>
        <v>0</v>
      </c>
      <c r="O459" s="243">
        <f>IF(Table33[[#This Row],[Category]]="Registration",Table33[[#This Row],[Account Deposit Amount]]-Table33[[#This Row],[Account Withdrawl Amount]], )</f>
        <v>0</v>
      </c>
      <c r="P459" s="243">
        <f>IF(Table33[[#This Row],[Category]]="Insignia",Table33[[#This Row],[Account Deposit Amount]]-Table33[[#This Row],[Account Withdrawl Amount]], )</f>
        <v>0</v>
      </c>
      <c r="Q459" s="243">
        <f>IF(Table33[[#This Row],[Category]]="Activities/Program",Table33[[#This Row],[Account Deposit Amount]]-Table33[[#This Row],[Account Withdrawl Amount]], )</f>
        <v>0</v>
      </c>
      <c r="R459" s="243">
        <f>IF(Table33[[#This Row],[Category]]="Travel",Table33[[#This Row],[Account Deposit Amount]]-Table33[[#This Row],[Account Withdrawl Amount]], )</f>
        <v>0</v>
      </c>
      <c r="S459" s="243">
        <f>IF(Table33[[#This Row],[Category]]="Parties Food &amp; Beverages",Table33[[#This Row],[Account Deposit Amount]]-Table33[[#This Row],[Account Withdrawl Amount]], )</f>
        <v>0</v>
      </c>
      <c r="T459" s="243">
        <f>IF(Table33[[#This Row],[Category]]="Service Projects Donation",Table33[[#This Row],[Account Deposit Amount]]-Table33[[#This Row],[Account Withdrawl Amount]], )</f>
        <v>0</v>
      </c>
      <c r="U459" s="243">
        <f>IF(Table33[[#This Row],[Category]]="Cookie Debt",Table33[[#This Row],[Account Deposit Amount]]-Table33[[#This Row],[Account Withdrawl Amount]], )</f>
        <v>0</v>
      </c>
      <c r="V459" s="243">
        <f>IF(Table33[[#This Row],[Category]]="Other Expense",Table33[[#This Row],[Account Deposit Amount]]-Table33[[#This Row],[Account Withdrawl Amount]], )</f>
        <v>0</v>
      </c>
    </row>
    <row r="460" spans="1:22">
      <c r="A460" s="225"/>
      <c r="B460" s="241"/>
      <c r="C460" s="225"/>
      <c r="D460" s="225"/>
      <c r="E460" s="242"/>
      <c r="F460" s="242"/>
      <c r="G460" s="243">
        <f t="shared" si="10"/>
        <v>0</v>
      </c>
      <c r="H460" s="225"/>
      <c r="I460" s="243">
        <f>IF(Table33[[#This Row],[Category]]="Fall Product",Table33[[#This Row],[Account Deposit Amount]]-Table33[[#This Row],[Account Withdrawl Amount]], )</f>
        <v>0</v>
      </c>
      <c r="J460" s="243">
        <f>IF(Table33[[#This Row],[Category]]="Cookies",Table33[[#This Row],[Account Deposit Amount]]-Table33[[#This Row],[Account Withdrawl Amount]], )</f>
        <v>0</v>
      </c>
      <c r="K460" s="243">
        <f>IF(Table33[[#This Row],[Category]]="Additional Money Earning Activities",Table33[[#This Row],[Account Deposit Amount]]-Table33[[#This Row],[Account Withdrawl Amount]], )</f>
        <v>0</v>
      </c>
      <c r="L460" s="243">
        <f>IF(Table33[[#This Row],[Category]]="Sponsorships",Table33[[#This Row],[Account Deposit Amount]]-Table33[[#This Row],[Account Withdrawl Amount]], )</f>
        <v>0</v>
      </c>
      <c r="M460" s="243">
        <f>IF(Table33[[#This Row],[Category]]="Troop Dues",Table33[[#This Row],[Account Deposit Amount]]-Table33[[#This Row],[Account Withdrawl Amount]], )</f>
        <v>0</v>
      </c>
      <c r="N460" s="243">
        <f>IF(Table33[[#This Row],[Category]]="Other Income",Table33[[#This Row],[Account Deposit Amount]]-Table33[[#This Row],[Account Withdrawl Amount]], )</f>
        <v>0</v>
      </c>
      <c r="O460" s="243">
        <f>IF(Table33[[#This Row],[Category]]="Registration",Table33[[#This Row],[Account Deposit Amount]]-Table33[[#This Row],[Account Withdrawl Amount]], )</f>
        <v>0</v>
      </c>
      <c r="P460" s="243">
        <f>IF(Table33[[#This Row],[Category]]="Insignia",Table33[[#This Row],[Account Deposit Amount]]-Table33[[#This Row],[Account Withdrawl Amount]], )</f>
        <v>0</v>
      </c>
      <c r="Q460" s="243">
        <f>IF(Table33[[#This Row],[Category]]="Activities/Program",Table33[[#This Row],[Account Deposit Amount]]-Table33[[#This Row],[Account Withdrawl Amount]], )</f>
        <v>0</v>
      </c>
      <c r="R460" s="243">
        <f>IF(Table33[[#This Row],[Category]]="Travel",Table33[[#This Row],[Account Deposit Amount]]-Table33[[#This Row],[Account Withdrawl Amount]], )</f>
        <v>0</v>
      </c>
      <c r="S460" s="243">
        <f>IF(Table33[[#This Row],[Category]]="Parties Food &amp; Beverages",Table33[[#This Row],[Account Deposit Amount]]-Table33[[#This Row],[Account Withdrawl Amount]], )</f>
        <v>0</v>
      </c>
      <c r="T460" s="243">
        <f>IF(Table33[[#This Row],[Category]]="Service Projects Donation",Table33[[#This Row],[Account Deposit Amount]]-Table33[[#This Row],[Account Withdrawl Amount]], )</f>
        <v>0</v>
      </c>
      <c r="U460" s="243">
        <f>IF(Table33[[#This Row],[Category]]="Cookie Debt",Table33[[#This Row],[Account Deposit Amount]]-Table33[[#This Row],[Account Withdrawl Amount]], )</f>
        <v>0</v>
      </c>
      <c r="V460" s="243">
        <f>IF(Table33[[#This Row],[Category]]="Other Expense",Table33[[#This Row],[Account Deposit Amount]]-Table33[[#This Row],[Account Withdrawl Amount]], )</f>
        <v>0</v>
      </c>
    </row>
    <row r="461" spans="1:22">
      <c r="A461" s="225"/>
      <c r="B461" s="241"/>
      <c r="C461" s="225"/>
      <c r="D461" s="225"/>
      <c r="E461" s="242"/>
      <c r="F461" s="242"/>
      <c r="G461" s="243">
        <f t="shared" si="10"/>
        <v>0</v>
      </c>
      <c r="H461" s="225"/>
      <c r="I461" s="243">
        <f>IF(Table33[[#This Row],[Category]]="Fall Product",Table33[[#This Row],[Account Deposit Amount]]-Table33[[#This Row],[Account Withdrawl Amount]], )</f>
        <v>0</v>
      </c>
      <c r="J461" s="243">
        <f>IF(Table33[[#This Row],[Category]]="Cookies",Table33[[#This Row],[Account Deposit Amount]]-Table33[[#This Row],[Account Withdrawl Amount]], )</f>
        <v>0</v>
      </c>
      <c r="K461" s="243">
        <f>IF(Table33[[#This Row],[Category]]="Additional Money Earning Activities",Table33[[#This Row],[Account Deposit Amount]]-Table33[[#This Row],[Account Withdrawl Amount]], )</f>
        <v>0</v>
      </c>
      <c r="L461" s="243">
        <f>IF(Table33[[#This Row],[Category]]="Sponsorships",Table33[[#This Row],[Account Deposit Amount]]-Table33[[#This Row],[Account Withdrawl Amount]], )</f>
        <v>0</v>
      </c>
      <c r="M461" s="243">
        <f>IF(Table33[[#This Row],[Category]]="Troop Dues",Table33[[#This Row],[Account Deposit Amount]]-Table33[[#This Row],[Account Withdrawl Amount]], )</f>
        <v>0</v>
      </c>
      <c r="N461" s="243">
        <f>IF(Table33[[#This Row],[Category]]="Other Income",Table33[[#This Row],[Account Deposit Amount]]-Table33[[#This Row],[Account Withdrawl Amount]], )</f>
        <v>0</v>
      </c>
      <c r="O461" s="243">
        <f>IF(Table33[[#This Row],[Category]]="Registration",Table33[[#This Row],[Account Deposit Amount]]-Table33[[#This Row],[Account Withdrawl Amount]], )</f>
        <v>0</v>
      </c>
      <c r="P461" s="243">
        <f>IF(Table33[[#This Row],[Category]]="Insignia",Table33[[#This Row],[Account Deposit Amount]]-Table33[[#This Row],[Account Withdrawl Amount]], )</f>
        <v>0</v>
      </c>
      <c r="Q461" s="243">
        <f>IF(Table33[[#This Row],[Category]]="Activities/Program",Table33[[#This Row],[Account Deposit Amount]]-Table33[[#This Row],[Account Withdrawl Amount]], )</f>
        <v>0</v>
      </c>
      <c r="R461" s="243">
        <f>IF(Table33[[#This Row],[Category]]="Travel",Table33[[#This Row],[Account Deposit Amount]]-Table33[[#This Row],[Account Withdrawl Amount]], )</f>
        <v>0</v>
      </c>
      <c r="S461" s="243">
        <f>IF(Table33[[#This Row],[Category]]="Parties Food &amp; Beverages",Table33[[#This Row],[Account Deposit Amount]]-Table33[[#This Row],[Account Withdrawl Amount]], )</f>
        <v>0</v>
      </c>
      <c r="T461" s="243">
        <f>IF(Table33[[#This Row],[Category]]="Service Projects Donation",Table33[[#This Row],[Account Deposit Amount]]-Table33[[#This Row],[Account Withdrawl Amount]], )</f>
        <v>0</v>
      </c>
      <c r="U461" s="243">
        <f>IF(Table33[[#This Row],[Category]]="Cookie Debt",Table33[[#This Row],[Account Deposit Amount]]-Table33[[#This Row],[Account Withdrawl Amount]], )</f>
        <v>0</v>
      </c>
      <c r="V461" s="243">
        <f>IF(Table33[[#This Row],[Category]]="Other Expense",Table33[[#This Row],[Account Deposit Amount]]-Table33[[#This Row],[Account Withdrawl Amount]], )</f>
        <v>0</v>
      </c>
    </row>
    <row r="462" spans="1:22">
      <c r="A462" s="225"/>
      <c r="B462" s="241"/>
      <c r="C462" s="225"/>
      <c r="D462" s="225"/>
      <c r="E462" s="242"/>
      <c r="F462" s="242"/>
      <c r="G462" s="243">
        <f t="shared" si="10"/>
        <v>0</v>
      </c>
      <c r="H462" s="225"/>
      <c r="I462" s="243">
        <f>IF(Table33[[#This Row],[Category]]="Fall Product",Table33[[#This Row],[Account Deposit Amount]]-Table33[[#This Row],[Account Withdrawl Amount]], )</f>
        <v>0</v>
      </c>
      <c r="J462" s="243">
        <f>IF(Table33[[#This Row],[Category]]="Cookies",Table33[[#This Row],[Account Deposit Amount]]-Table33[[#This Row],[Account Withdrawl Amount]], )</f>
        <v>0</v>
      </c>
      <c r="K462" s="243">
        <f>IF(Table33[[#This Row],[Category]]="Additional Money Earning Activities",Table33[[#This Row],[Account Deposit Amount]]-Table33[[#This Row],[Account Withdrawl Amount]], )</f>
        <v>0</v>
      </c>
      <c r="L462" s="243">
        <f>IF(Table33[[#This Row],[Category]]="Sponsorships",Table33[[#This Row],[Account Deposit Amount]]-Table33[[#This Row],[Account Withdrawl Amount]], )</f>
        <v>0</v>
      </c>
      <c r="M462" s="243">
        <f>IF(Table33[[#This Row],[Category]]="Troop Dues",Table33[[#This Row],[Account Deposit Amount]]-Table33[[#This Row],[Account Withdrawl Amount]], )</f>
        <v>0</v>
      </c>
      <c r="N462" s="243">
        <f>IF(Table33[[#This Row],[Category]]="Other Income",Table33[[#This Row],[Account Deposit Amount]]-Table33[[#This Row],[Account Withdrawl Amount]], )</f>
        <v>0</v>
      </c>
      <c r="O462" s="243">
        <f>IF(Table33[[#This Row],[Category]]="Registration",Table33[[#This Row],[Account Deposit Amount]]-Table33[[#This Row],[Account Withdrawl Amount]], )</f>
        <v>0</v>
      </c>
      <c r="P462" s="243">
        <f>IF(Table33[[#This Row],[Category]]="Insignia",Table33[[#This Row],[Account Deposit Amount]]-Table33[[#This Row],[Account Withdrawl Amount]], )</f>
        <v>0</v>
      </c>
      <c r="Q462" s="243">
        <f>IF(Table33[[#This Row],[Category]]="Activities/Program",Table33[[#This Row],[Account Deposit Amount]]-Table33[[#This Row],[Account Withdrawl Amount]], )</f>
        <v>0</v>
      </c>
      <c r="R462" s="243">
        <f>IF(Table33[[#This Row],[Category]]="Travel",Table33[[#This Row],[Account Deposit Amount]]-Table33[[#This Row],[Account Withdrawl Amount]], )</f>
        <v>0</v>
      </c>
      <c r="S462" s="243">
        <f>IF(Table33[[#This Row],[Category]]="Parties Food &amp; Beverages",Table33[[#This Row],[Account Deposit Amount]]-Table33[[#This Row],[Account Withdrawl Amount]], )</f>
        <v>0</v>
      </c>
      <c r="T462" s="243">
        <f>IF(Table33[[#This Row],[Category]]="Service Projects Donation",Table33[[#This Row],[Account Deposit Amount]]-Table33[[#This Row],[Account Withdrawl Amount]], )</f>
        <v>0</v>
      </c>
      <c r="U462" s="243">
        <f>IF(Table33[[#This Row],[Category]]="Cookie Debt",Table33[[#This Row],[Account Deposit Amount]]-Table33[[#This Row],[Account Withdrawl Amount]], )</f>
        <v>0</v>
      </c>
      <c r="V462" s="243">
        <f>IF(Table33[[#This Row],[Category]]="Other Expense",Table33[[#This Row],[Account Deposit Amount]]-Table33[[#This Row],[Account Withdrawl Amount]], )</f>
        <v>0</v>
      </c>
    </row>
    <row r="463" spans="1:22">
      <c r="A463" s="225"/>
      <c r="B463" s="241"/>
      <c r="C463" s="225"/>
      <c r="D463" s="225"/>
      <c r="E463" s="242"/>
      <c r="F463" s="242"/>
      <c r="G463" s="243">
        <f t="shared" si="10"/>
        <v>0</v>
      </c>
      <c r="H463" s="225"/>
      <c r="I463" s="243">
        <f>IF(Table33[[#This Row],[Category]]="Fall Product",Table33[[#This Row],[Account Deposit Amount]]-Table33[[#This Row],[Account Withdrawl Amount]], )</f>
        <v>0</v>
      </c>
      <c r="J463" s="243">
        <f>IF(Table33[[#This Row],[Category]]="Cookies",Table33[[#This Row],[Account Deposit Amount]]-Table33[[#This Row],[Account Withdrawl Amount]], )</f>
        <v>0</v>
      </c>
      <c r="K463" s="243">
        <f>IF(Table33[[#This Row],[Category]]="Additional Money Earning Activities",Table33[[#This Row],[Account Deposit Amount]]-Table33[[#This Row],[Account Withdrawl Amount]], )</f>
        <v>0</v>
      </c>
      <c r="L463" s="243">
        <f>IF(Table33[[#This Row],[Category]]="Sponsorships",Table33[[#This Row],[Account Deposit Amount]]-Table33[[#This Row],[Account Withdrawl Amount]], )</f>
        <v>0</v>
      </c>
      <c r="M463" s="243">
        <f>IF(Table33[[#This Row],[Category]]="Troop Dues",Table33[[#This Row],[Account Deposit Amount]]-Table33[[#This Row],[Account Withdrawl Amount]], )</f>
        <v>0</v>
      </c>
      <c r="N463" s="243">
        <f>IF(Table33[[#This Row],[Category]]="Other Income",Table33[[#This Row],[Account Deposit Amount]]-Table33[[#This Row],[Account Withdrawl Amount]], )</f>
        <v>0</v>
      </c>
      <c r="O463" s="243">
        <f>IF(Table33[[#This Row],[Category]]="Registration",Table33[[#This Row],[Account Deposit Amount]]-Table33[[#This Row],[Account Withdrawl Amount]], )</f>
        <v>0</v>
      </c>
      <c r="P463" s="243">
        <f>IF(Table33[[#This Row],[Category]]="Insignia",Table33[[#This Row],[Account Deposit Amount]]-Table33[[#This Row],[Account Withdrawl Amount]], )</f>
        <v>0</v>
      </c>
      <c r="Q463" s="243">
        <f>IF(Table33[[#This Row],[Category]]="Activities/Program",Table33[[#This Row],[Account Deposit Amount]]-Table33[[#This Row],[Account Withdrawl Amount]], )</f>
        <v>0</v>
      </c>
      <c r="R463" s="243">
        <f>IF(Table33[[#This Row],[Category]]="Travel",Table33[[#This Row],[Account Deposit Amount]]-Table33[[#This Row],[Account Withdrawl Amount]], )</f>
        <v>0</v>
      </c>
      <c r="S463" s="243">
        <f>IF(Table33[[#This Row],[Category]]="Parties Food &amp; Beverages",Table33[[#This Row],[Account Deposit Amount]]-Table33[[#This Row],[Account Withdrawl Amount]], )</f>
        <v>0</v>
      </c>
      <c r="T463" s="243">
        <f>IF(Table33[[#This Row],[Category]]="Service Projects Donation",Table33[[#This Row],[Account Deposit Amount]]-Table33[[#This Row],[Account Withdrawl Amount]], )</f>
        <v>0</v>
      </c>
      <c r="U463" s="243">
        <f>IF(Table33[[#This Row],[Category]]="Cookie Debt",Table33[[#This Row],[Account Deposit Amount]]-Table33[[#This Row],[Account Withdrawl Amount]], )</f>
        <v>0</v>
      </c>
      <c r="V463" s="243">
        <f>IF(Table33[[#This Row],[Category]]="Other Expense",Table33[[#This Row],[Account Deposit Amount]]-Table33[[#This Row],[Account Withdrawl Amount]], )</f>
        <v>0</v>
      </c>
    </row>
    <row r="464" spans="1:22">
      <c r="A464" s="225"/>
      <c r="B464" s="241"/>
      <c r="C464" s="225"/>
      <c r="D464" s="225"/>
      <c r="E464" s="242"/>
      <c r="F464" s="242"/>
      <c r="G464" s="243">
        <f t="shared" si="10"/>
        <v>0</v>
      </c>
      <c r="H464" s="225"/>
      <c r="I464" s="243">
        <f>IF(Table33[[#This Row],[Category]]="Fall Product",Table33[[#This Row],[Account Deposit Amount]]-Table33[[#This Row],[Account Withdrawl Amount]], )</f>
        <v>0</v>
      </c>
      <c r="J464" s="243">
        <f>IF(Table33[[#This Row],[Category]]="Cookies",Table33[[#This Row],[Account Deposit Amount]]-Table33[[#This Row],[Account Withdrawl Amount]], )</f>
        <v>0</v>
      </c>
      <c r="K464" s="243">
        <f>IF(Table33[[#This Row],[Category]]="Additional Money Earning Activities",Table33[[#This Row],[Account Deposit Amount]]-Table33[[#This Row],[Account Withdrawl Amount]], )</f>
        <v>0</v>
      </c>
      <c r="L464" s="243">
        <f>IF(Table33[[#This Row],[Category]]="Sponsorships",Table33[[#This Row],[Account Deposit Amount]]-Table33[[#This Row],[Account Withdrawl Amount]], )</f>
        <v>0</v>
      </c>
      <c r="M464" s="243">
        <f>IF(Table33[[#This Row],[Category]]="Troop Dues",Table33[[#This Row],[Account Deposit Amount]]-Table33[[#This Row],[Account Withdrawl Amount]], )</f>
        <v>0</v>
      </c>
      <c r="N464" s="243">
        <f>IF(Table33[[#This Row],[Category]]="Other Income",Table33[[#This Row],[Account Deposit Amount]]-Table33[[#This Row],[Account Withdrawl Amount]], )</f>
        <v>0</v>
      </c>
      <c r="O464" s="243">
        <f>IF(Table33[[#This Row],[Category]]="Registration",Table33[[#This Row],[Account Deposit Amount]]-Table33[[#This Row],[Account Withdrawl Amount]], )</f>
        <v>0</v>
      </c>
      <c r="P464" s="243">
        <f>IF(Table33[[#This Row],[Category]]="Insignia",Table33[[#This Row],[Account Deposit Amount]]-Table33[[#This Row],[Account Withdrawl Amount]], )</f>
        <v>0</v>
      </c>
      <c r="Q464" s="243">
        <f>IF(Table33[[#This Row],[Category]]="Activities/Program",Table33[[#This Row],[Account Deposit Amount]]-Table33[[#This Row],[Account Withdrawl Amount]], )</f>
        <v>0</v>
      </c>
      <c r="R464" s="243">
        <f>IF(Table33[[#This Row],[Category]]="Travel",Table33[[#This Row],[Account Deposit Amount]]-Table33[[#This Row],[Account Withdrawl Amount]], )</f>
        <v>0</v>
      </c>
      <c r="S464" s="243">
        <f>IF(Table33[[#This Row],[Category]]="Parties Food &amp; Beverages",Table33[[#This Row],[Account Deposit Amount]]-Table33[[#This Row],[Account Withdrawl Amount]], )</f>
        <v>0</v>
      </c>
      <c r="T464" s="243">
        <f>IF(Table33[[#This Row],[Category]]="Service Projects Donation",Table33[[#This Row],[Account Deposit Amount]]-Table33[[#This Row],[Account Withdrawl Amount]], )</f>
        <v>0</v>
      </c>
      <c r="U464" s="243">
        <f>IF(Table33[[#This Row],[Category]]="Cookie Debt",Table33[[#This Row],[Account Deposit Amount]]-Table33[[#This Row],[Account Withdrawl Amount]], )</f>
        <v>0</v>
      </c>
      <c r="V464" s="243">
        <f>IF(Table33[[#This Row],[Category]]="Other Expense",Table33[[#This Row],[Account Deposit Amount]]-Table33[[#This Row],[Account Withdrawl Amount]], )</f>
        <v>0</v>
      </c>
    </row>
    <row r="465" spans="1:22">
      <c r="A465" s="225"/>
      <c r="B465" s="241"/>
      <c r="C465" s="225"/>
      <c r="D465" s="225"/>
      <c r="E465" s="242"/>
      <c r="F465" s="242"/>
      <c r="G465" s="243">
        <f t="shared" si="10"/>
        <v>0</v>
      </c>
      <c r="H465" s="225"/>
      <c r="I465" s="243">
        <f>IF(Table33[[#This Row],[Category]]="Fall Product",Table33[[#This Row],[Account Deposit Amount]]-Table33[[#This Row],[Account Withdrawl Amount]], )</f>
        <v>0</v>
      </c>
      <c r="J465" s="243">
        <f>IF(Table33[[#This Row],[Category]]="Cookies",Table33[[#This Row],[Account Deposit Amount]]-Table33[[#This Row],[Account Withdrawl Amount]], )</f>
        <v>0</v>
      </c>
      <c r="K465" s="243">
        <f>IF(Table33[[#This Row],[Category]]="Additional Money Earning Activities",Table33[[#This Row],[Account Deposit Amount]]-Table33[[#This Row],[Account Withdrawl Amount]], )</f>
        <v>0</v>
      </c>
      <c r="L465" s="243">
        <f>IF(Table33[[#This Row],[Category]]="Sponsorships",Table33[[#This Row],[Account Deposit Amount]]-Table33[[#This Row],[Account Withdrawl Amount]], )</f>
        <v>0</v>
      </c>
      <c r="M465" s="243">
        <f>IF(Table33[[#This Row],[Category]]="Troop Dues",Table33[[#This Row],[Account Deposit Amount]]-Table33[[#This Row],[Account Withdrawl Amount]], )</f>
        <v>0</v>
      </c>
      <c r="N465" s="243">
        <f>IF(Table33[[#This Row],[Category]]="Other Income",Table33[[#This Row],[Account Deposit Amount]]-Table33[[#This Row],[Account Withdrawl Amount]], )</f>
        <v>0</v>
      </c>
      <c r="O465" s="243">
        <f>IF(Table33[[#This Row],[Category]]="Registration",Table33[[#This Row],[Account Deposit Amount]]-Table33[[#This Row],[Account Withdrawl Amount]], )</f>
        <v>0</v>
      </c>
      <c r="P465" s="243">
        <f>IF(Table33[[#This Row],[Category]]="Insignia",Table33[[#This Row],[Account Deposit Amount]]-Table33[[#This Row],[Account Withdrawl Amount]], )</f>
        <v>0</v>
      </c>
      <c r="Q465" s="243">
        <f>IF(Table33[[#This Row],[Category]]="Activities/Program",Table33[[#This Row],[Account Deposit Amount]]-Table33[[#This Row],[Account Withdrawl Amount]], )</f>
        <v>0</v>
      </c>
      <c r="R465" s="243">
        <f>IF(Table33[[#This Row],[Category]]="Travel",Table33[[#This Row],[Account Deposit Amount]]-Table33[[#This Row],[Account Withdrawl Amount]], )</f>
        <v>0</v>
      </c>
      <c r="S465" s="243">
        <f>IF(Table33[[#This Row],[Category]]="Parties Food &amp; Beverages",Table33[[#This Row],[Account Deposit Amount]]-Table33[[#This Row],[Account Withdrawl Amount]], )</f>
        <v>0</v>
      </c>
      <c r="T465" s="243">
        <f>IF(Table33[[#This Row],[Category]]="Service Projects Donation",Table33[[#This Row],[Account Deposit Amount]]-Table33[[#This Row],[Account Withdrawl Amount]], )</f>
        <v>0</v>
      </c>
      <c r="U465" s="243">
        <f>IF(Table33[[#This Row],[Category]]="Cookie Debt",Table33[[#This Row],[Account Deposit Amount]]-Table33[[#This Row],[Account Withdrawl Amount]], )</f>
        <v>0</v>
      </c>
      <c r="V465" s="243">
        <f>IF(Table33[[#This Row],[Category]]="Other Expense",Table33[[#This Row],[Account Deposit Amount]]-Table33[[#This Row],[Account Withdrawl Amount]], )</f>
        <v>0</v>
      </c>
    </row>
    <row r="466" spans="1:22">
      <c r="A466" s="225"/>
      <c r="B466" s="241"/>
      <c r="C466" s="225"/>
      <c r="D466" s="225"/>
      <c r="E466" s="242"/>
      <c r="F466" s="242"/>
      <c r="G466" s="243">
        <f t="shared" si="10"/>
        <v>0</v>
      </c>
      <c r="H466" s="225"/>
      <c r="I466" s="243">
        <f>IF(Table33[[#This Row],[Category]]="Fall Product",Table33[[#This Row],[Account Deposit Amount]]-Table33[[#This Row],[Account Withdrawl Amount]], )</f>
        <v>0</v>
      </c>
      <c r="J466" s="243">
        <f>IF(Table33[[#This Row],[Category]]="Cookies",Table33[[#This Row],[Account Deposit Amount]]-Table33[[#This Row],[Account Withdrawl Amount]], )</f>
        <v>0</v>
      </c>
      <c r="K466" s="243">
        <f>IF(Table33[[#This Row],[Category]]="Additional Money Earning Activities",Table33[[#This Row],[Account Deposit Amount]]-Table33[[#This Row],[Account Withdrawl Amount]], )</f>
        <v>0</v>
      </c>
      <c r="L466" s="243">
        <f>IF(Table33[[#This Row],[Category]]="Sponsorships",Table33[[#This Row],[Account Deposit Amount]]-Table33[[#This Row],[Account Withdrawl Amount]], )</f>
        <v>0</v>
      </c>
      <c r="M466" s="243">
        <f>IF(Table33[[#This Row],[Category]]="Troop Dues",Table33[[#This Row],[Account Deposit Amount]]-Table33[[#This Row],[Account Withdrawl Amount]], )</f>
        <v>0</v>
      </c>
      <c r="N466" s="243">
        <f>IF(Table33[[#This Row],[Category]]="Other Income",Table33[[#This Row],[Account Deposit Amount]]-Table33[[#This Row],[Account Withdrawl Amount]], )</f>
        <v>0</v>
      </c>
      <c r="O466" s="243">
        <f>IF(Table33[[#This Row],[Category]]="Registration",Table33[[#This Row],[Account Deposit Amount]]-Table33[[#This Row],[Account Withdrawl Amount]], )</f>
        <v>0</v>
      </c>
      <c r="P466" s="243">
        <f>IF(Table33[[#This Row],[Category]]="Insignia",Table33[[#This Row],[Account Deposit Amount]]-Table33[[#This Row],[Account Withdrawl Amount]], )</f>
        <v>0</v>
      </c>
      <c r="Q466" s="243">
        <f>IF(Table33[[#This Row],[Category]]="Activities/Program",Table33[[#This Row],[Account Deposit Amount]]-Table33[[#This Row],[Account Withdrawl Amount]], )</f>
        <v>0</v>
      </c>
      <c r="R466" s="243">
        <f>IF(Table33[[#This Row],[Category]]="Travel",Table33[[#This Row],[Account Deposit Amount]]-Table33[[#This Row],[Account Withdrawl Amount]], )</f>
        <v>0</v>
      </c>
      <c r="S466" s="243">
        <f>IF(Table33[[#This Row],[Category]]="Parties Food &amp; Beverages",Table33[[#This Row],[Account Deposit Amount]]-Table33[[#This Row],[Account Withdrawl Amount]], )</f>
        <v>0</v>
      </c>
      <c r="T466" s="243">
        <f>IF(Table33[[#This Row],[Category]]="Service Projects Donation",Table33[[#This Row],[Account Deposit Amount]]-Table33[[#This Row],[Account Withdrawl Amount]], )</f>
        <v>0</v>
      </c>
      <c r="U466" s="243">
        <f>IF(Table33[[#This Row],[Category]]="Cookie Debt",Table33[[#This Row],[Account Deposit Amount]]-Table33[[#This Row],[Account Withdrawl Amount]], )</f>
        <v>0</v>
      </c>
      <c r="V466" s="243">
        <f>IF(Table33[[#This Row],[Category]]="Other Expense",Table33[[#This Row],[Account Deposit Amount]]-Table33[[#This Row],[Account Withdrawl Amount]], )</f>
        <v>0</v>
      </c>
    </row>
    <row r="467" spans="1:22">
      <c r="A467" s="225"/>
      <c r="B467" s="241"/>
      <c r="C467" s="225"/>
      <c r="D467" s="225"/>
      <c r="E467" s="242"/>
      <c r="F467" s="242"/>
      <c r="G467" s="243">
        <f t="shared" si="10"/>
        <v>0</v>
      </c>
      <c r="H467" s="225"/>
      <c r="I467" s="243">
        <f>IF(Table33[[#This Row],[Category]]="Fall Product",Table33[[#This Row],[Account Deposit Amount]]-Table33[[#This Row],[Account Withdrawl Amount]], )</f>
        <v>0</v>
      </c>
      <c r="J467" s="243">
        <f>IF(Table33[[#This Row],[Category]]="Cookies",Table33[[#This Row],[Account Deposit Amount]]-Table33[[#This Row],[Account Withdrawl Amount]], )</f>
        <v>0</v>
      </c>
      <c r="K467" s="243">
        <f>IF(Table33[[#This Row],[Category]]="Additional Money Earning Activities",Table33[[#This Row],[Account Deposit Amount]]-Table33[[#This Row],[Account Withdrawl Amount]], )</f>
        <v>0</v>
      </c>
      <c r="L467" s="243">
        <f>IF(Table33[[#This Row],[Category]]="Sponsorships",Table33[[#This Row],[Account Deposit Amount]]-Table33[[#This Row],[Account Withdrawl Amount]], )</f>
        <v>0</v>
      </c>
      <c r="M467" s="243">
        <f>IF(Table33[[#This Row],[Category]]="Troop Dues",Table33[[#This Row],[Account Deposit Amount]]-Table33[[#This Row],[Account Withdrawl Amount]], )</f>
        <v>0</v>
      </c>
      <c r="N467" s="243">
        <f>IF(Table33[[#This Row],[Category]]="Other Income",Table33[[#This Row],[Account Deposit Amount]]-Table33[[#This Row],[Account Withdrawl Amount]], )</f>
        <v>0</v>
      </c>
      <c r="O467" s="243">
        <f>IF(Table33[[#This Row],[Category]]="Registration",Table33[[#This Row],[Account Deposit Amount]]-Table33[[#This Row],[Account Withdrawl Amount]], )</f>
        <v>0</v>
      </c>
      <c r="P467" s="243">
        <f>IF(Table33[[#This Row],[Category]]="Insignia",Table33[[#This Row],[Account Deposit Amount]]-Table33[[#This Row],[Account Withdrawl Amount]], )</f>
        <v>0</v>
      </c>
      <c r="Q467" s="243">
        <f>IF(Table33[[#This Row],[Category]]="Activities/Program",Table33[[#This Row],[Account Deposit Amount]]-Table33[[#This Row],[Account Withdrawl Amount]], )</f>
        <v>0</v>
      </c>
      <c r="R467" s="243">
        <f>IF(Table33[[#This Row],[Category]]="Travel",Table33[[#This Row],[Account Deposit Amount]]-Table33[[#This Row],[Account Withdrawl Amount]], )</f>
        <v>0</v>
      </c>
      <c r="S467" s="243">
        <f>IF(Table33[[#This Row],[Category]]="Parties Food &amp; Beverages",Table33[[#This Row],[Account Deposit Amount]]-Table33[[#This Row],[Account Withdrawl Amount]], )</f>
        <v>0</v>
      </c>
      <c r="T467" s="243">
        <f>IF(Table33[[#This Row],[Category]]="Service Projects Donation",Table33[[#This Row],[Account Deposit Amount]]-Table33[[#This Row],[Account Withdrawl Amount]], )</f>
        <v>0</v>
      </c>
      <c r="U467" s="243">
        <f>IF(Table33[[#This Row],[Category]]="Cookie Debt",Table33[[#This Row],[Account Deposit Amount]]-Table33[[#This Row],[Account Withdrawl Amount]], )</f>
        <v>0</v>
      </c>
      <c r="V467" s="243">
        <f>IF(Table33[[#This Row],[Category]]="Other Expense",Table33[[#This Row],[Account Deposit Amount]]-Table33[[#This Row],[Account Withdrawl Amount]], )</f>
        <v>0</v>
      </c>
    </row>
    <row r="468" spans="1:22">
      <c r="A468" s="225"/>
      <c r="B468" s="241"/>
      <c r="C468" s="225"/>
      <c r="D468" s="225"/>
      <c r="E468" s="242"/>
      <c r="F468" s="242"/>
      <c r="G468" s="243">
        <f t="shared" si="10"/>
        <v>0</v>
      </c>
      <c r="H468" s="225"/>
      <c r="I468" s="243">
        <f>IF(Table33[[#This Row],[Category]]="Fall Product",Table33[[#This Row],[Account Deposit Amount]]-Table33[[#This Row],[Account Withdrawl Amount]], )</f>
        <v>0</v>
      </c>
      <c r="J468" s="243">
        <f>IF(Table33[[#This Row],[Category]]="Cookies",Table33[[#This Row],[Account Deposit Amount]]-Table33[[#This Row],[Account Withdrawl Amount]], )</f>
        <v>0</v>
      </c>
      <c r="K468" s="243">
        <f>IF(Table33[[#This Row],[Category]]="Additional Money Earning Activities",Table33[[#This Row],[Account Deposit Amount]]-Table33[[#This Row],[Account Withdrawl Amount]], )</f>
        <v>0</v>
      </c>
      <c r="L468" s="243">
        <f>IF(Table33[[#This Row],[Category]]="Sponsorships",Table33[[#This Row],[Account Deposit Amount]]-Table33[[#This Row],[Account Withdrawl Amount]], )</f>
        <v>0</v>
      </c>
      <c r="M468" s="243">
        <f>IF(Table33[[#This Row],[Category]]="Troop Dues",Table33[[#This Row],[Account Deposit Amount]]-Table33[[#This Row],[Account Withdrawl Amount]], )</f>
        <v>0</v>
      </c>
      <c r="N468" s="243">
        <f>IF(Table33[[#This Row],[Category]]="Other Income",Table33[[#This Row],[Account Deposit Amount]]-Table33[[#This Row],[Account Withdrawl Amount]], )</f>
        <v>0</v>
      </c>
      <c r="O468" s="243">
        <f>IF(Table33[[#This Row],[Category]]="Registration",Table33[[#This Row],[Account Deposit Amount]]-Table33[[#This Row],[Account Withdrawl Amount]], )</f>
        <v>0</v>
      </c>
      <c r="P468" s="243">
        <f>IF(Table33[[#This Row],[Category]]="Insignia",Table33[[#This Row],[Account Deposit Amount]]-Table33[[#This Row],[Account Withdrawl Amount]], )</f>
        <v>0</v>
      </c>
      <c r="Q468" s="243">
        <f>IF(Table33[[#This Row],[Category]]="Activities/Program",Table33[[#This Row],[Account Deposit Amount]]-Table33[[#This Row],[Account Withdrawl Amount]], )</f>
        <v>0</v>
      </c>
      <c r="R468" s="243">
        <f>IF(Table33[[#This Row],[Category]]="Travel",Table33[[#This Row],[Account Deposit Amount]]-Table33[[#This Row],[Account Withdrawl Amount]], )</f>
        <v>0</v>
      </c>
      <c r="S468" s="243">
        <f>IF(Table33[[#This Row],[Category]]="Parties Food &amp; Beverages",Table33[[#This Row],[Account Deposit Amount]]-Table33[[#This Row],[Account Withdrawl Amount]], )</f>
        <v>0</v>
      </c>
      <c r="T468" s="243">
        <f>IF(Table33[[#This Row],[Category]]="Service Projects Donation",Table33[[#This Row],[Account Deposit Amount]]-Table33[[#This Row],[Account Withdrawl Amount]], )</f>
        <v>0</v>
      </c>
      <c r="U468" s="243">
        <f>IF(Table33[[#This Row],[Category]]="Cookie Debt",Table33[[#This Row],[Account Deposit Amount]]-Table33[[#This Row],[Account Withdrawl Amount]], )</f>
        <v>0</v>
      </c>
      <c r="V468" s="243">
        <f>IF(Table33[[#This Row],[Category]]="Other Expense",Table33[[#This Row],[Account Deposit Amount]]-Table33[[#This Row],[Account Withdrawl Amount]], )</f>
        <v>0</v>
      </c>
    </row>
    <row r="469" spans="1:22">
      <c r="A469" s="225"/>
      <c r="B469" s="241"/>
      <c r="C469" s="225"/>
      <c r="D469" s="225"/>
      <c r="E469" s="242"/>
      <c r="F469" s="242"/>
      <c r="G469" s="243">
        <f t="shared" si="10"/>
        <v>0</v>
      </c>
      <c r="H469" s="225"/>
      <c r="I469" s="243">
        <f>IF(Table33[[#This Row],[Category]]="Fall Product",Table33[[#This Row],[Account Deposit Amount]]-Table33[[#This Row],[Account Withdrawl Amount]], )</f>
        <v>0</v>
      </c>
      <c r="J469" s="243">
        <f>IF(Table33[[#This Row],[Category]]="Cookies",Table33[[#This Row],[Account Deposit Amount]]-Table33[[#This Row],[Account Withdrawl Amount]], )</f>
        <v>0</v>
      </c>
      <c r="K469" s="243">
        <f>IF(Table33[[#This Row],[Category]]="Additional Money Earning Activities",Table33[[#This Row],[Account Deposit Amount]]-Table33[[#This Row],[Account Withdrawl Amount]], )</f>
        <v>0</v>
      </c>
      <c r="L469" s="243">
        <f>IF(Table33[[#This Row],[Category]]="Sponsorships",Table33[[#This Row],[Account Deposit Amount]]-Table33[[#This Row],[Account Withdrawl Amount]], )</f>
        <v>0</v>
      </c>
      <c r="M469" s="243">
        <f>IF(Table33[[#This Row],[Category]]="Troop Dues",Table33[[#This Row],[Account Deposit Amount]]-Table33[[#This Row],[Account Withdrawl Amount]], )</f>
        <v>0</v>
      </c>
      <c r="N469" s="243">
        <f>IF(Table33[[#This Row],[Category]]="Other Income",Table33[[#This Row],[Account Deposit Amount]]-Table33[[#This Row],[Account Withdrawl Amount]], )</f>
        <v>0</v>
      </c>
      <c r="O469" s="243">
        <f>IF(Table33[[#This Row],[Category]]="Registration",Table33[[#This Row],[Account Deposit Amount]]-Table33[[#This Row],[Account Withdrawl Amount]], )</f>
        <v>0</v>
      </c>
      <c r="P469" s="243">
        <f>IF(Table33[[#This Row],[Category]]="Insignia",Table33[[#This Row],[Account Deposit Amount]]-Table33[[#This Row],[Account Withdrawl Amount]], )</f>
        <v>0</v>
      </c>
      <c r="Q469" s="243">
        <f>IF(Table33[[#This Row],[Category]]="Activities/Program",Table33[[#This Row],[Account Deposit Amount]]-Table33[[#This Row],[Account Withdrawl Amount]], )</f>
        <v>0</v>
      </c>
      <c r="R469" s="243">
        <f>IF(Table33[[#This Row],[Category]]="Travel",Table33[[#This Row],[Account Deposit Amount]]-Table33[[#This Row],[Account Withdrawl Amount]], )</f>
        <v>0</v>
      </c>
      <c r="S469" s="243">
        <f>IF(Table33[[#This Row],[Category]]="Parties Food &amp; Beverages",Table33[[#This Row],[Account Deposit Amount]]-Table33[[#This Row],[Account Withdrawl Amount]], )</f>
        <v>0</v>
      </c>
      <c r="T469" s="243">
        <f>IF(Table33[[#This Row],[Category]]="Service Projects Donation",Table33[[#This Row],[Account Deposit Amount]]-Table33[[#This Row],[Account Withdrawl Amount]], )</f>
        <v>0</v>
      </c>
      <c r="U469" s="243">
        <f>IF(Table33[[#This Row],[Category]]="Cookie Debt",Table33[[#This Row],[Account Deposit Amount]]-Table33[[#This Row],[Account Withdrawl Amount]], )</f>
        <v>0</v>
      </c>
      <c r="V469" s="243">
        <f>IF(Table33[[#This Row],[Category]]="Other Expense",Table33[[#This Row],[Account Deposit Amount]]-Table33[[#This Row],[Account Withdrawl Amount]], )</f>
        <v>0</v>
      </c>
    </row>
    <row r="470" spans="1:22">
      <c r="A470" s="225"/>
      <c r="B470" s="241"/>
      <c r="C470" s="225"/>
      <c r="D470" s="225"/>
      <c r="E470" s="242"/>
      <c r="F470" s="242"/>
      <c r="G470" s="243">
        <f t="shared" si="10"/>
        <v>0</v>
      </c>
      <c r="H470" s="225"/>
      <c r="I470" s="243">
        <f>IF(Table33[[#This Row],[Category]]="Fall Product",Table33[[#This Row],[Account Deposit Amount]]-Table33[[#This Row],[Account Withdrawl Amount]], )</f>
        <v>0</v>
      </c>
      <c r="J470" s="243">
        <f>IF(Table33[[#This Row],[Category]]="Cookies",Table33[[#This Row],[Account Deposit Amount]]-Table33[[#This Row],[Account Withdrawl Amount]], )</f>
        <v>0</v>
      </c>
      <c r="K470" s="243">
        <f>IF(Table33[[#This Row],[Category]]="Additional Money Earning Activities",Table33[[#This Row],[Account Deposit Amount]]-Table33[[#This Row],[Account Withdrawl Amount]], )</f>
        <v>0</v>
      </c>
      <c r="L470" s="243">
        <f>IF(Table33[[#This Row],[Category]]="Sponsorships",Table33[[#This Row],[Account Deposit Amount]]-Table33[[#This Row],[Account Withdrawl Amount]], )</f>
        <v>0</v>
      </c>
      <c r="M470" s="243">
        <f>IF(Table33[[#This Row],[Category]]="Troop Dues",Table33[[#This Row],[Account Deposit Amount]]-Table33[[#This Row],[Account Withdrawl Amount]], )</f>
        <v>0</v>
      </c>
      <c r="N470" s="243">
        <f>IF(Table33[[#This Row],[Category]]="Other Income",Table33[[#This Row],[Account Deposit Amount]]-Table33[[#This Row],[Account Withdrawl Amount]], )</f>
        <v>0</v>
      </c>
      <c r="O470" s="243">
        <f>IF(Table33[[#This Row],[Category]]="Registration",Table33[[#This Row],[Account Deposit Amount]]-Table33[[#This Row],[Account Withdrawl Amount]], )</f>
        <v>0</v>
      </c>
      <c r="P470" s="243">
        <f>IF(Table33[[#This Row],[Category]]="Insignia",Table33[[#This Row],[Account Deposit Amount]]-Table33[[#This Row],[Account Withdrawl Amount]], )</f>
        <v>0</v>
      </c>
      <c r="Q470" s="243">
        <f>IF(Table33[[#This Row],[Category]]="Activities/Program",Table33[[#This Row],[Account Deposit Amount]]-Table33[[#This Row],[Account Withdrawl Amount]], )</f>
        <v>0</v>
      </c>
      <c r="R470" s="243">
        <f>IF(Table33[[#This Row],[Category]]="Travel",Table33[[#This Row],[Account Deposit Amount]]-Table33[[#This Row],[Account Withdrawl Amount]], )</f>
        <v>0</v>
      </c>
      <c r="S470" s="243">
        <f>IF(Table33[[#This Row],[Category]]="Parties Food &amp; Beverages",Table33[[#This Row],[Account Deposit Amount]]-Table33[[#This Row],[Account Withdrawl Amount]], )</f>
        <v>0</v>
      </c>
      <c r="T470" s="243">
        <f>IF(Table33[[#This Row],[Category]]="Service Projects Donation",Table33[[#This Row],[Account Deposit Amount]]-Table33[[#This Row],[Account Withdrawl Amount]], )</f>
        <v>0</v>
      </c>
      <c r="U470" s="243">
        <f>IF(Table33[[#This Row],[Category]]="Cookie Debt",Table33[[#This Row],[Account Deposit Amount]]-Table33[[#This Row],[Account Withdrawl Amount]], )</f>
        <v>0</v>
      </c>
      <c r="V470" s="243">
        <f>IF(Table33[[#This Row],[Category]]="Other Expense",Table33[[#This Row],[Account Deposit Amount]]-Table33[[#This Row],[Account Withdrawl Amount]], )</f>
        <v>0</v>
      </c>
    </row>
    <row r="471" spans="1:22">
      <c r="A471" s="225"/>
      <c r="B471" s="241"/>
      <c r="C471" s="225"/>
      <c r="D471" s="225"/>
      <c r="E471" s="242"/>
      <c r="F471" s="242"/>
      <c r="G471" s="243">
        <f t="shared" si="10"/>
        <v>0</v>
      </c>
      <c r="H471" s="225"/>
      <c r="I471" s="243">
        <f>IF(Table33[[#This Row],[Category]]="Fall Product",Table33[[#This Row],[Account Deposit Amount]]-Table33[[#This Row],[Account Withdrawl Amount]], )</f>
        <v>0</v>
      </c>
      <c r="J471" s="243">
        <f>IF(Table33[[#This Row],[Category]]="Cookies",Table33[[#This Row],[Account Deposit Amount]]-Table33[[#This Row],[Account Withdrawl Amount]], )</f>
        <v>0</v>
      </c>
      <c r="K471" s="243">
        <f>IF(Table33[[#This Row],[Category]]="Additional Money Earning Activities",Table33[[#This Row],[Account Deposit Amount]]-Table33[[#This Row],[Account Withdrawl Amount]], )</f>
        <v>0</v>
      </c>
      <c r="L471" s="243">
        <f>IF(Table33[[#This Row],[Category]]="Sponsorships",Table33[[#This Row],[Account Deposit Amount]]-Table33[[#This Row],[Account Withdrawl Amount]], )</f>
        <v>0</v>
      </c>
      <c r="M471" s="243">
        <f>IF(Table33[[#This Row],[Category]]="Troop Dues",Table33[[#This Row],[Account Deposit Amount]]-Table33[[#This Row],[Account Withdrawl Amount]], )</f>
        <v>0</v>
      </c>
      <c r="N471" s="243">
        <f>IF(Table33[[#This Row],[Category]]="Other Income",Table33[[#This Row],[Account Deposit Amount]]-Table33[[#This Row],[Account Withdrawl Amount]], )</f>
        <v>0</v>
      </c>
      <c r="O471" s="243">
        <f>IF(Table33[[#This Row],[Category]]="Registration",Table33[[#This Row],[Account Deposit Amount]]-Table33[[#This Row],[Account Withdrawl Amount]], )</f>
        <v>0</v>
      </c>
      <c r="P471" s="243">
        <f>IF(Table33[[#This Row],[Category]]="Insignia",Table33[[#This Row],[Account Deposit Amount]]-Table33[[#This Row],[Account Withdrawl Amount]], )</f>
        <v>0</v>
      </c>
      <c r="Q471" s="243">
        <f>IF(Table33[[#This Row],[Category]]="Activities/Program",Table33[[#This Row],[Account Deposit Amount]]-Table33[[#This Row],[Account Withdrawl Amount]], )</f>
        <v>0</v>
      </c>
      <c r="R471" s="243">
        <f>IF(Table33[[#This Row],[Category]]="Travel",Table33[[#This Row],[Account Deposit Amount]]-Table33[[#This Row],[Account Withdrawl Amount]], )</f>
        <v>0</v>
      </c>
      <c r="S471" s="243">
        <f>IF(Table33[[#This Row],[Category]]="Parties Food &amp; Beverages",Table33[[#This Row],[Account Deposit Amount]]-Table33[[#This Row],[Account Withdrawl Amount]], )</f>
        <v>0</v>
      </c>
      <c r="T471" s="243">
        <f>IF(Table33[[#This Row],[Category]]="Service Projects Donation",Table33[[#This Row],[Account Deposit Amount]]-Table33[[#This Row],[Account Withdrawl Amount]], )</f>
        <v>0</v>
      </c>
      <c r="U471" s="243">
        <f>IF(Table33[[#This Row],[Category]]="Cookie Debt",Table33[[#This Row],[Account Deposit Amount]]-Table33[[#This Row],[Account Withdrawl Amount]], )</f>
        <v>0</v>
      </c>
      <c r="V471" s="243">
        <f>IF(Table33[[#This Row],[Category]]="Other Expense",Table33[[#This Row],[Account Deposit Amount]]-Table33[[#This Row],[Account Withdrawl Amount]], )</f>
        <v>0</v>
      </c>
    </row>
    <row r="472" spans="1:22">
      <c r="A472" s="225"/>
      <c r="B472" s="241"/>
      <c r="C472" s="225"/>
      <c r="D472" s="225"/>
      <c r="E472" s="242"/>
      <c r="F472" s="242"/>
      <c r="G472" s="243">
        <f t="shared" si="10"/>
        <v>0</v>
      </c>
      <c r="H472" s="225"/>
      <c r="I472" s="243">
        <f>IF(Table33[[#This Row],[Category]]="Fall Product",Table33[[#This Row],[Account Deposit Amount]]-Table33[[#This Row],[Account Withdrawl Amount]], )</f>
        <v>0</v>
      </c>
      <c r="J472" s="243">
        <f>IF(Table33[[#This Row],[Category]]="Cookies",Table33[[#This Row],[Account Deposit Amount]]-Table33[[#This Row],[Account Withdrawl Amount]], )</f>
        <v>0</v>
      </c>
      <c r="K472" s="243">
        <f>IF(Table33[[#This Row],[Category]]="Additional Money Earning Activities",Table33[[#This Row],[Account Deposit Amount]]-Table33[[#This Row],[Account Withdrawl Amount]], )</f>
        <v>0</v>
      </c>
      <c r="L472" s="243">
        <f>IF(Table33[[#This Row],[Category]]="Sponsorships",Table33[[#This Row],[Account Deposit Amount]]-Table33[[#This Row],[Account Withdrawl Amount]], )</f>
        <v>0</v>
      </c>
      <c r="M472" s="243">
        <f>IF(Table33[[#This Row],[Category]]="Troop Dues",Table33[[#This Row],[Account Deposit Amount]]-Table33[[#This Row],[Account Withdrawl Amount]], )</f>
        <v>0</v>
      </c>
      <c r="N472" s="243">
        <f>IF(Table33[[#This Row],[Category]]="Other Income",Table33[[#This Row],[Account Deposit Amount]]-Table33[[#This Row],[Account Withdrawl Amount]], )</f>
        <v>0</v>
      </c>
      <c r="O472" s="243">
        <f>IF(Table33[[#This Row],[Category]]="Registration",Table33[[#This Row],[Account Deposit Amount]]-Table33[[#This Row],[Account Withdrawl Amount]], )</f>
        <v>0</v>
      </c>
      <c r="P472" s="243">
        <f>IF(Table33[[#This Row],[Category]]="Insignia",Table33[[#This Row],[Account Deposit Amount]]-Table33[[#This Row],[Account Withdrawl Amount]], )</f>
        <v>0</v>
      </c>
      <c r="Q472" s="243">
        <f>IF(Table33[[#This Row],[Category]]="Activities/Program",Table33[[#This Row],[Account Deposit Amount]]-Table33[[#This Row],[Account Withdrawl Amount]], )</f>
        <v>0</v>
      </c>
      <c r="R472" s="243">
        <f>IF(Table33[[#This Row],[Category]]="Travel",Table33[[#This Row],[Account Deposit Amount]]-Table33[[#This Row],[Account Withdrawl Amount]], )</f>
        <v>0</v>
      </c>
      <c r="S472" s="243">
        <f>IF(Table33[[#This Row],[Category]]="Parties Food &amp; Beverages",Table33[[#This Row],[Account Deposit Amount]]-Table33[[#This Row],[Account Withdrawl Amount]], )</f>
        <v>0</v>
      </c>
      <c r="T472" s="243">
        <f>IF(Table33[[#This Row],[Category]]="Service Projects Donation",Table33[[#This Row],[Account Deposit Amount]]-Table33[[#This Row],[Account Withdrawl Amount]], )</f>
        <v>0</v>
      </c>
      <c r="U472" s="243">
        <f>IF(Table33[[#This Row],[Category]]="Cookie Debt",Table33[[#This Row],[Account Deposit Amount]]-Table33[[#This Row],[Account Withdrawl Amount]], )</f>
        <v>0</v>
      </c>
      <c r="V472" s="243">
        <f>IF(Table33[[#This Row],[Category]]="Other Expense",Table33[[#This Row],[Account Deposit Amount]]-Table33[[#This Row],[Account Withdrawl Amount]], )</f>
        <v>0</v>
      </c>
    </row>
    <row r="473" spans="1:22">
      <c r="A473" s="225"/>
      <c r="B473" s="241"/>
      <c r="C473" s="225"/>
      <c r="D473" s="225"/>
      <c r="E473" s="242"/>
      <c r="F473" s="242"/>
      <c r="G473" s="243">
        <f t="shared" si="10"/>
        <v>0</v>
      </c>
      <c r="H473" s="225"/>
      <c r="I473" s="243">
        <f>IF(Table33[[#This Row],[Category]]="Fall Product",Table33[[#This Row],[Account Deposit Amount]]-Table33[[#This Row],[Account Withdrawl Amount]], )</f>
        <v>0</v>
      </c>
      <c r="J473" s="243">
        <f>IF(Table33[[#This Row],[Category]]="Cookies",Table33[[#This Row],[Account Deposit Amount]]-Table33[[#This Row],[Account Withdrawl Amount]], )</f>
        <v>0</v>
      </c>
      <c r="K473" s="243">
        <f>IF(Table33[[#This Row],[Category]]="Additional Money Earning Activities",Table33[[#This Row],[Account Deposit Amount]]-Table33[[#This Row],[Account Withdrawl Amount]], )</f>
        <v>0</v>
      </c>
      <c r="L473" s="243">
        <f>IF(Table33[[#This Row],[Category]]="Sponsorships",Table33[[#This Row],[Account Deposit Amount]]-Table33[[#This Row],[Account Withdrawl Amount]], )</f>
        <v>0</v>
      </c>
      <c r="M473" s="243">
        <f>IF(Table33[[#This Row],[Category]]="Troop Dues",Table33[[#This Row],[Account Deposit Amount]]-Table33[[#This Row],[Account Withdrawl Amount]], )</f>
        <v>0</v>
      </c>
      <c r="N473" s="243">
        <f>IF(Table33[[#This Row],[Category]]="Other Income",Table33[[#This Row],[Account Deposit Amount]]-Table33[[#This Row],[Account Withdrawl Amount]], )</f>
        <v>0</v>
      </c>
      <c r="O473" s="243">
        <f>IF(Table33[[#This Row],[Category]]="Registration",Table33[[#This Row],[Account Deposit Amount]]-Table33[[#This Row],[Account Withdrawl Amount]], )</f>
        <v>0</v>
      </c>
      <c r="P473" s="243">
        <f>IF(Table33[[#This Row],[Category]]="Insignia",Table33[[#This Row],[Account Deposit Amount]]-Table33[[#This Row],[Account Withdrawl Amount]], )</f>
        <v>0</v>
      </c>
      <c r="Q473" s="243">
        <f>IF(Table33[[#This Row],[Category]]="Activities/Program",Table33[[#This Row],[Account Deposit Amount]]-Table33[[#This Row],[Account Withdrawl Amount]], )</f>
        <v>0</v>
      </c>
      <c r="R473" s="243">
        <f>IF(Table33[[#This Row],[Category]]="Travel",Table33[[#This Row],[Account Deposit Amount]]-Table33[[#This Row],[Account Withdrawl Amount]], )</f>
        <v>0</v>
      </c>
      <c r="S473" s="243">
        <f>IF(Table33[[#This Row],[Category]]="Parties Food &amp; Beverages",Table33[[#This Row],[Account Deposit Amount]]-Table33[[#This Row],[Account Withdrawl Amount]], )</f>
        <v>0</v>
      </c>
      <c r="T473" s="243">
        <f>IF(Table33[[#This Row],[Category]]="Service Projects Donation",Table33[[#This Row],[Account Deposit Amount]]-Table33[[#This Row],[Account Withdrawl Amount]], )</f>
        <v>0</v>
      </c>
      <c r="U473" s="243">
        <f>IF(Table33[[#This Row],[Category]]="Cookie Debt",Table33[[#This Row],[Account Deposit Amount]]-Table33[[#This Row],[Account Withdrawl Amount]], )</f>
        <v>0</v>
      </c>
      <c r="V473" s="243">
        <f>IF(Table33[[#This Row],[Category]]="Other Expense",Table33[[#This Row],[Account Deposit Amount]]-Table33[[#This Row],[Account Withdrawl Amount]], )</f>
        <v>0</v>
      </c>
    </row>
    <row r="474" spans="1:22">
      <c r="A474" s="225"/>
      <c r="B474" s="241"/>
      <c r="C474" s="225"/>
      <c r="D474" s="225"/>
      <c r="E474" s="242"/>
      <c r="F474" s="242"/>
      <c r="G474" s="243">
        <f t="shared" si="10"/>
        <v>0</v>
      </c>
      <c r="H474" s="225"/>
      <c r="I474" s="243">
        <f>IF(Table33[[#This Row],[Category]]="Fall Product",Table33[[#This Row],[Account Deposit Amount]]-Table33[[#This Row],[Account Withdrawl Amount]], )</f>
        <v>0</v>
      </c>
      <c r="J474" s="243">
        <f>IF(Table33[[#This Row],[Category]]="Cookies",Table33[[#This Row],[Account Deposit Amount]]-Table33[[#This Row],[Account Withdrawl Amount]], )</f>
        <v>0</v>
      </c>
      <c r="K474" s="243">
        <f>IF(Table33[[#This Row],[Category]]="Additional Money Earning Activities",Table33[[#This Row],[Account Deposit Amount]]-Table33[[#This Row],[Account Withdrawl Amount]], )</f>
        <v>0</v>
      </c>
      <c r="L474" s="243">
        <f>IF(Table33[[#This Row],[Category]]="Sponsorships",Table33[[#This Row],[Account Deposit Amount]]-Table33[[#This Row],[Account Withdrawl Amount]], )</f>
        <v>0</v>
      </c>
      <c r="M474" s="243">
        <f>IF(Table33[[#This Row],[Category]]="Troop Dues",Table33[[#This Row],[Account Deposit Amount]]-Table33[[#This Row],[Account Withdrawl Amount]], )</f>
        <v>0</v>
      </c>
      <c r="N474" s="243">
        <f>IF(Table33[[#This Row],[Category]]="Other Income",Table33[[#This Row],[Account Deposit Amount]]-Table33[[#This Row],[Account Withdrawl Amount]], )</f>
        <v>0</v>
      </c>
      <c r="O474" s="243">
        <f>IF(Table33[[#This Row],[Category]]="Registration",Table33[[#This Row],[Account Deposit Amount]]-Table33[[#This Row],[Account Withdrawl Amount]], )</f>
        <v>0</v>
      </c>
      <c r="P474" s="243">
        <f>IF(Table33[[#This Row],[Category]]="Insignia",Table33[[#This Row],[Account Deposit Amount]]-Table33[[#This Row],[Account Withdrawl Amount]], )</f>
        <v>0</v>
      </c>
      <c r="Q474" s="243">
        <f>IF(Table33[[#This Row],[Category]]="Activities/Program",Table33[[#This Row],[Account Deposit Amount]]-Table33[[#This Row],[Account Withdrawl Amount]], )</f>
        <v>0</v>
      </c>
      <c r="R474" s="243">
        <f>IF(Table33[[#This Row],[Category]]="Travel",Table33[[#This Row],[Account Deposit Amount]]-Table33[[#This Row],[Account Withdrawl Amount]], )</f>
        <v>0</v>
      </c>
      <c r="S474" s="243">
        <f>IF(Table33[[#This Row],[Category]]="Parties Food &amp; Beverages",Table33[[#This Row],[Account Deposit Amount]]-Table33[[#This Row],[Account Withdrawl Amount]], )</f>
        <v>0</v>
      </c>
      <c r="T474" s="243">
        <f>IF(Table33[[#This Row],[Category]]="Service Projects Donation",Table33[[#This Row],[Account Deposit Amount]]-Table33[[#This Row],[Account Withdrawl Amount]], )</f>
        <v>0</v>
      </c>
      <c r="U474" s="243">
        <f>IF(Table33[[#This Row],[Category]]="Cookie Debt",Table33[[#This Row],[Account Deposit Amount]]-Table33[[#This Row],[Account Withdrawl Amount]], )</f>
        <v>0</v>
      </c>
      <c r="V474" s="243">
        <f>IF(Table33[[#This Row],[Category]]="Other Expense",Table33[[#This Row],[Account Deposit Amount]]-Table33[[#This Row],[Account Withdrawl Amount]], )</f>
        <v>0</v>
      </c>
    </row>
    <row r="475" spans="1:22">
      <c r="A475" s="225"/>
      <c r="B475" s="241"/>
      <c r="C475" s="225"/>
      <c r="D475" s="225"/>
      <c r="E475" s="242"/>
      <c r="F475" s="242"/>
      <c r="G475" s="243">
        <f t="shared" si="10"/>
        <v>0</v>
      </c>
      <c r="H475" s="225"/>
      <c r="I475" s="243">
        <f>IF(Table33[[#This Row],[Category]]="Fall Product",Table33[[#This Row],[Account Deposit Amount]]-Table33[[#This Row],[Account Withdrawl Amount]], )</f>
        <v>0</v>
      </c>
      <c r="J475" s="243">
        <f>IF(Table33[[#This Row],[Category]]="Cookies",Table33[[#This Row],[Account Deposit Amount]]-Table33[[#This Row],[Account Withdrawl Amount]], )</f>
        <v>0</v>
      </c>
      <c r="K475" s="243">
        <f>IF(Table33[[#This Row],[Category]]="Additional Money Earning Activities",Table33[[#This Row],[Account Deposit Amount]]-Table33[[#This Row],[Account Withdrawl Amount]], )</f>
        <v>0</v>
      </c>
      <c r="L475" s="243">
        <f>IF(Table33[[#This Row],[Category]]="Sponsorships",Table33[[#This Row],[Account Deposit Amount]]-Table33[[#This Row],[Account Withdrawl Amount]], )</f>
        <v>0</v>
      </c>
      <c r="M475" s="243">
        <f>IF(Table33[[#This Row],[Category]]="Troop Dues",Table33[[#This Row],[Account Deposit Amount]]-Table33[[#This Row],[Account Withdrawl Amount]], )</f>
        <v>0</v>
      </c>
      <c r="N475" s="243">
        <f>IF(Table33[[#This Row],[Category]]="Other Income",Table33[[#This Row],[Account Deposit Amount]]-Table33[[#This Row],[Account Withdrawl Amount]], )</f>
        <v>0</v>
      </c>
      <c r="O475" s="243">
        <f>IF(Table33[[#This Row],[Category]]="Registration",Table33[[#This Row],[Account Deposit Amount]]-Table33[[#This Row],[Account Withdrawl Amount]], )</f>
        <v>0</v>
      </c>
      <c r="P475" s="243">
        <f>IF(Table33[[#This Row],[Category]]="Insignia",Table33[[#This Row],[Account Deposit Amount]]-Table33[[#This Row],[Account Withdrawl Amount]], )</f>
        <v>0</v>
      </c>
      <c r="Q475" s="243">
        <f>IF(Table33[[#This Row],[Category]]="Activities/Program",Table33[[#This Row],[Account Deposit Amount]]-Table33[[#This Row],[Account Withdrawl Amount]], )</f>
        <v>0</v>
      </c>
      <c r="R475" s="243">
        <f>IF(Table33[[#This Row],[Category]]="Travel",Table33[[#This Row],[Account Deposit Amount]]-Table33[[#This Row],[Account Withdrawl Amount]], )</f>
        <v>0</v>
      </c>
      <c r="S475" s="243">
        <f>IF(Table33[[#This Row],[Category]]="Parties Food &amp; Beverages",Table33[[#This Row],[Account Deposit Amount]]-Table33[[#This Row],[Account Withdrawl Amount]], )</f>
        <v>0</v>
      </c>
      <c r="T475" s="243">
        <f>IF(Table33[[#This Row],[Category]]="Service Projects Donation",Table33[[#This Row],[Account Deposit Amount]]-Table33[[#This Row],[Account Withdrawl Amount]], )</f>
        <v>0</v>
      </c>
      <c r="U475" s="243">
        <f>IF(Table33[[#This Row],[Category]]="Cookie Debt",Table33[[#This Row],[Account Deposit Amount]]-Table33[[#This Row],[Account Withdrawl Amount]], )</f>
        <v>0</v>
      </c>
      <c r="V475" s="243">
        <f>IF(Table33[[#This Row],[Category]]="Other Expense",Table33[[#This Row],[Account Deposit Amount]]-Table33[[#This Row],[Account Withdrawl Amount]], )</f>
        <v>0</v>
      </c>
    </row>
    <row r="476" spans="1:22">
      <c r="A476" s="225"/>
      <c r="B476" s="241"/>
      <c r="C476" s="225"/>
      <c r="D476" s="225"/>
      <c r="E476" s="242"/>
      <c r="F476" s="242"/>
      <c r="G476" s="243">
        <f t="shared" si="10"/>
        <v>0</v>
      </c>
      <c r="H476" s="225"/>
      <c r="I476" s="243">
        <f>IF(Table33[[#This Row],[Category]]="Fall Product",Table33[[#This Row],[Account Deposit Amount]]-Table33[[#This Row],[Account Withdrawl Amount]], )</f>
        <v>0</v>
      </c>
      <c r="J476" s="243">
        <f>IF(Table33[[#This Row],[Category]]="Cookies",Table33[[#This Row],[Account Deposit Amount]]-Table33[[#This Row],[Account Withdrawl Amount]], )</f>
        <v>0</v>
      </c>
      <c r="K476" s="243">
        <f>IF(Table33[[#This Row],[Category]]="Additional Money Earning Activities",Table33[[#This Row],[Account Deposit Amount]]-Table33[[#This Row],[Account Withdrawl Amount]], )</f>
        <v>0</v>
      </c>
      <c r="L476" s="243">
        <f>IF(Table33[[#This Row],[Category]]="Sponsorships",Table33[[#This Row],[Account Deposit Amount]]-Table33[[#This Row],[Account Withdrawl Amount]], )</f>
        <v>0</v>
      </c>
      <c r="M476" s="243">
        <f>IF(Table33[[#This Row],[Category]]="Troop Dues",Table33[[#This Row],[Account Deposit Amount]]-Table33[[#This Row],[Account Withdrawl Amount]], )</f>
        <v>0</v>
      </c>
      <c r="N476" s="243">
        <f>IF(Table33[[#This Row],[Category]]="Other Income",Table33[[#This Row],[Account Deposit Amount]]-Table33[[#This Row],[Account Withdrawl Amount]], )</f>
        <v>0</v>
      </c>
      <c r="O476" s="243">
        <f>IF(Table33[[#This Row],[Category]]="Registration",Table33[[#This Row],[Account Deposit Amount]]-Table33[[#This Row],[Account Withdrawl Amount]], )</f>
        <v>0</v>
      </c>
      <c r="P476" s="243">
        <f>IF(Table33[[#This Row],[Category]]="Insignia",Table33[[#This Row],[Account Deposit Amount]]-Table33[[#This Row],[Account Withdrawl Amount]], )</f>
        <v>0</v>
      </c>
      <c r="Q476" s="243">
        <f>IF(Table33[[#This Row],[Category]]="Activities/Program",Table33[[#This Row],[Account Deposit Amount]]-Table33[[#This Row],[Account Withdrawl Amount]], )</f>
        <v>0</v>
      </c>
      <c r="R476" s="243">
        <f>IF(Table33[[#This Row],[Category]]="Travel",Table33[[#This Row],[Account Deposit Amount]]-Table33[[#This Row],[Account Withdrawl Amount]], )</f>
        <v>0</v>
      </c>
      <c r="S476" s="243">
        <f>IF(Table33[[#This Row],[Category]]="Parties Food &amp; Beverages",Table33[[#This Row],[Account Deposit Amount]]-Table33[[#This Row],[Account Withdrawl Amount]], )</f>
        <v>0</v>
      </c>
      <c r="T476" s="243">
        <f>IF(Table33[[#This Row],[Category]]="Service Projects Donation",Table33[[#This Row],[Account Deposit Amount]]-Table33[[#This Row],[Account Withdrawl Amount]], )</f>
        <v>0</v>
      </c>
      <c r="U476" s="243">
        <f>IF(Table33[[#This Row],[Category]]="Cookie Debt",Table33[[#This Row],[Account Deposit Amount]]-Table33[[#This Row],[Account Withdrawl Amount]], )</f>
        <v>0</v>
      </c>
      <c r="V476" s="243">
        <f>IF(Table33[[#This Row],[Category]]="Other Expense",Table33[[#This Row],[Account Deposit Amount]]-Table33[[#This Row],[Account Withdrawl Amount]], )</f>
        <v>0</v>
      </c>
    </row>
    <row r="477" spans="1:22">
      <c r="A477" s="225"/>
      <c r="B477" s="241"/>
      <c r="C477" s="225"/>
      <c r="D477" s="225"/>
      <c r="E477" s="242"/>
      <c r="F477" s="242"/>
      <c r="G477" s="243">
        <f t="shared" si="10"/>
        <v>0</v>
      </c>
      <c r="H477" s="225"/>
      <c r="I477" s="243">
        <f>IF(Table33[[#This Row],[Category]]="Fall Product",Table33[[#This Row],[Account Deposit Amount]]-Table33[[#This Row],[Account Withdrawl Amount]], )</f>
        <v>0</v>
      </c>
      <c r="J477" s="243">
        <f>IF(Table33[[#This Row],[Category]]="Cookies",Table33[[#This Row],[Account Deposit Amount]]-Table33[[#This Row],[Account Withdrawl Amount]], )</f>
        <v>0</v>
      </c>
      <c r="K477" s="243">
        <f>IF(Table33[[#This Row],[Category]]="Additional Money Earning Activities",Table33[[#This Row],[Account Deposit Amount]]-Table33[[#This Row],[Account Withdrawl Amount]], )</f>
        <v>0</v>
      </c>
      <c r="L477" s="243">
        <f>IF(Table33[[#This Row],[Category]]="Sponsorships",Table33[[#This Row],[Account Deposit Amount]]-Table33[[#This Row],[Account Withdrawl Amount]], )</f>
        <v>0</v>
      </c>
      <c r="M477" s="243">
        <f>IF(Table33[[#This Row],[Category]]="Troop Dues",Table33[[#This Row],[Account Deposit Amount]]-Table33[[#This Row],[Account Withdrawl Amount]], )</f>
        <v>0</v>
      </c>
      <c r="N477" s="243">
        <f>IF(Table33[[#This Row],[Category]]="Other Income",Table33[[#This Row],[Account Deposit Amount]]-Table33[[#This Row],[Account Withdrawl Amount]], )</f>
        <v>0</v>
      </c>
      <c r="O477" s="243">
        <f>IF(Table33[[#This Row],[Category]]="Registration",Table33[[#This Row],[Account Deposit Amount]]-Table33[[#This Row],[Account Withdrawl Amount]], )</f>
        <v>0</v>
      </c>
      <c r="P477" s="243">
        <f>IF(Table33[[#This Row],[Category]]="Insignia",Table33[[#This Row],[Account Deposit Amount]]-Table33[[#This Row],[Account Withdrawl Amount]], )</f>
        <v>0</v>
      </c>
      <c r="Q477" s="243">
        <f>IF(Table33[[#This Row],[Category]]="Activities/Program",Table33[[#This Row],[Account Deposit Amount]]-Table33[[#This Row],[Account Withdrawl Amount]], )</f>
        <v>0</v>
      </c>
      <c r="R477" s="243">
        <f>IF(Table33[[#This Row],[Category]]="Travel",Table33[[#This Row],[Account Deposit Amount]]-Table33[[#This Row],[Account Withdrawl Amount]], )</f>
        <v>0</v>
      </c>
      <c r="S477" s="243">
        <f>IF(Table33[[#This Row],[Category]]="Parties Food &amp; Beverages",Table33[[#This Row],[Account Deposit Amount]]-Table33[[#This Row],[Account Withdrawl Amount]], )</f>
        <v>0</v>
      </c>
      <c r="T477" s="243">
        <f>IF(Table33[[#This Row],[Category]]="Service Projects Donation",Table33[[#This Row],[Account Deposit Amount]]-Table33[[#This Row],[Account Withdrawl Amount]], )</f>
        <v>0</v>
      </c>
      <c r="U477" s="243">
        <f>IF(Table33[[#This Row],[Category]]="Cookie Debt",Table33[[#This Row],[Account Deposit Amount]]-Table33[[#This Row],[Account Withdrawl Amount]], )</f>
        <v>0</v>
      </c>
      <c r="V477" s="243">
        <f>IF(Table33[[#This Row],[Category]]="Other Expense",Table33[[#This Row],[Account Deposit Amount]]-Table33[[#This Row],[Account Withdrawl Amount]], )</f>
        <v>0</v>
      </c>
    </row>
    <row r="478" spans="1:22">
      <c r="A478" s="225"/>
      <c r="B478" s="241"/>
      <c r="C478" s="225"/>
      <c r="D478" s="225"/>
      <c r="E478" s="242"/>
      <c r="F478" s="242"/>
      <c r="G478" s="243">
        <f t="shared" si="10"/>
        <v>0</v>
      </c>
      <c r="H478" s="225"/>
      <c r="I478" s="243">
        <f>IF(Table33[[#This Row],[Category]]="Fall Product",Table33[[#This Row],[Account Deposit Amount]]-Table33[[#This Row],[Account Withdrawl Amount]], )</f>
        <v>0</v>
      </c>
      <c r="J478" s="243">
        <f>IF(Table33[[#This Row],[Category]]="Cookies",Table33[[#This Row],[Account Deposit Amount]]-Table33[[#This Row],[Account Withdrawl Amount]], )</f>
        <v>0</v>
      </c>
      <c r="K478" s="243">
        <f>IF(Table33[[#This Row],[Category]]="Additional Money Earning Activities",Table33[[#This Row],[Account Deposit Amount]]-Table33[[#This Row],[Account Withdrawl Amount]], )</f>
        <v>0</v>
      </c>
      <c r="L478" s="243">
        <f>IF(Table33[[#This Row],[Category]]="Sponsorships",Table33[[#This Row],[Account Deposit Amount]]-Table33[[#This Row],[Account Withdrawl Amount]], )</f>
        <v>0</v>
      </c>
      <c r="M478" s="243">
        <f>IF(Table33[[#This Row],[Category]]="Troop Dues",Table33[[#This Row],[Account Deposit Amount]]-Table33[[#This Row],[Account Withdrawl Amount]], )</f>
        <v>0</v>
      </c>
      <c r="N478" s="243">
        <f>IF(Table33[[#This Row],[Category]]="Other Income",Table33[[#This Row],[Account Deposit Amount]]-Table33[[#This Row],[Account Withdrawl Amount]], )</f>
        <v>0</v>
      </c>
      <c r="O478" s="243">
        <f>IF(Table33[[#This Row],[Category]]="Registration",Table33[[#This Row],[Account Deposit Amount]]-Table33[[#This Row],[Account Withdrawl Amount]], )</f>
        <v>0</v>
      </c>
      <c r="P478" s="243">
        <f>IF(Table33[[#This Row],[Category]]="Insignia",Table33[[#This Row],[Account Deposit Amount]]-Table33[[#This Row],[Account Withdrawl Amount]], )</f>
        <v>0</v>
      </c>
      <c r="Q478" s="243">
        <f>IF(Table33[[#This Row],[Category]]="Activities/Program",Table33[[#This Row],[Account Deposit Amount]]-Table33[[#This Row],[Account Withdrawl Amount]], )</f>
        <v>0</v>
      </c>
      <c r="R478" s="243">
        <f>IF(Table33[[#This Row],[Category]]="Travel",Table33[[#This Row],[Account Deposit Amount]]-Table33[[#This Row],[Account Withdrawl Amount]], )</f>
        <v>0</v>
      </c>
      <c r="S478" s="243">
        <f>IF(Table33[[#This Row],[Category]]="Parties Food &amp; Beverages",Table33[[#This Row],[Account Deposit Amount]]-Table33[[#This Row],[Account Withdrawl Amount]], )</f>
        <v>0</v>
      </c>
      <c r="T478" s="243">
        <f>IF(Table33[[#This Row],[Category]]="Service Projects Donation",Table33[[#This Row],[Account Deposit Amount]]-Table33[[#This Row],[Account Withdrawl Amount]], )</f>
        <v>0</v>
      </c>
      <c r="U478" s="243">
        <f>IF(Table33[[#This Row],[Category]]="Cookie Debt",Table33[[#This Row],[Account Deposit Amount]]-Table33[[#This Row],[Account Withdrawl Amount]], )</f>
        <v>0</v>
      </c>
      <c r="V478" s="243">
        <f>IF(Table33[[#This Row],[Category]]="Other Expense",Table33[[#This Row],[Account Deposit Amount]]-Table33[[#This Row],[Account Withdrawl Amount]], )</f>
        <v>0</v>
      </c>
    </row>
    <row r="479" spans="1:22">
      <c r="A479" s="225"/>
      <c r="B479" s="241"/>
      <c r="C479" s="225"/>
      <c r="D479" s="225"/>
      <c r="E479" s="242"/>
      <c r="F479" s="242"/>
      <c r="G479" s="243">
        <f t="shared" si="10"/>
        <v>0</v>
      </c>
      <c r="H479" s="225"/>
      <c r="I479" s="243">
        <f>IF(Table33[[#This Row],[Category]]="Fall Product",Table33[[#This Row],[Account Deposit Amount]]-Table33[[#This Row],[Account Withdrawl Amount]], )</f>
        <v>0</v>
      </c>
      <c r="J479" s="243">
        <f>IF(Table33[[#This Row],[Category]]="Cookies",Table33[[#This Row],[Account Deposit Amount]]-Table33[[#This Row],[Account Withdrawl Amount]], )</f>
        <v>0</v>
      </c>
      <c r="K479" s="243">
        <f>IF(Table33[[#This Row],[Category]]="Additional Money Earning Activities",Table33[[#This Row],[Account Deposit Amount]]-Table33[[#This Row],[Account Withdrawl Amount]], )</f>
        <v>0</v>
      </c>
      <c r="L479" s="243">
        <f>IF(Table33[[#This Row],[Category]]="Sponsorships",Table33[[#This Row],[Account Deposit Amount]]-Table33[[#This Row],[Account Withdrawl Amount]], )</f>
        <v>0</v>
      </c>
      <c r="M479" s="243">
        <f>IF(Table33[[#This Row],[Category]]="Troop Dues",Table33[[#This Row],[Account Deposit Amount]]-Table33[[#This Row],[Account Withdrawl Amount]], )</f>
        <v>0</v>
      </c>
      <c r="N479" s="243">
        <f>IF(Table33[[#This Row],[Category]]="Other Income",Table33[[#This Row],[Account Deposit Amount]]-Table33[[#This Row],[Account Withdrawl Amount]], )</f>
        <v>0</v>
      </c>
      <c r="O479" s="243">
        <f>IF(Table33[[#This Row],[Category]]="Registration",Table33[[#This Row],[Account Deposit Amount]]-Table33[[#This Row],[Account Withdrawl Amount]], )</f>
        <v>0</v>
      </c>
      <c r="P479" s="243">
        <f>IF(Table33[[#This Row],[Category]]="Insignia",Table33[[#This Row],[Account Deposit Amount]]-Table33[[#This Row],[Account Withdrawl Amount]], )</f>
        <v>0</v>
      </c>
      <c r="Q479" s="243">
        <f>IF(Table33[[#This Row],[Category]]="Activities/Program",Table33[[#This Row],[Account Deposit Amount]]-Table33[[#This Row],[Account Withdrawl Amount]], )</f>
        <v>0</v>
      </c>
      <c r="R479" s="243">
        <f>IF(Table33[[#This Row],[Category]]="Travel",Table33[[#This Row],[Account Deposit Amount]]-Table33[[#This Row],[Account Withdrawl Amount]], )</f>
        <v>0</v>
      </c>
      <c r="S479" s="243">
        <f>IF(Table33[[#This Row],[Category]]="Parties Food &amp; Beverages",Table33[[#This Row],[Account Deposit Amount]]-Table33[[#This Row],[Account Withdrawl Amount]], )</f>
        <v>0</v>
      </c>
      <c r="T479" s="243">
        <f>IF(Table33[[#This Row],[Category]]="Service Projects Donation",Table33[[#This Row],[Account Deposit Amount]]-Table33[[#This Row],[Account Withdrawl Amount]], )</f>
        <v>0</v>
      </c>
      <c r="U479" s="243">
        <f>IF(Table33[[#This Row],[Category]]="Cookie Debt",Table33[[#This Row],[Account Deposit Amount]]-Table33[[#This Row],[Account Withdrawl Amount]], )</f>
        <v>0</v>
      </c>
      <c r="V479" s="243">
        <f>IF(Table33[[#This Row],[Category]]="Other Expense",Table33[[#This Row],[Account Deposit Amount]]-Table33[[#This Row],[Account Withdrawl Amount]], )</f>
        <v>0</v>
      </c>
    </row>
    <row r="480" spans="1:22">
      <c r="A480" s="225"/>
      <c r="B480" s="241"/>
      <c r="C480" s="225"/>
      <c r="D480" s="225"/>
      <c r="E480" s="242"/>
      <c r="F480" s="242"/>
      <c r="G480" s="243">
        <f t="shared" si="10"/>
        <v>0</v>
      </c>
      <c r="H480" s="225"/>
      <c r="I480" s="243">
        <f>IF(Table33[[#This Row],[Category]]="Fall Product",Table33[[#This Row],[Account Deposit Amount]]-Table33[[#This Row],[Account Withdrawl Amount]], )</f>
        <v>0</v>
      </c>
      <c r="J480" s="243">
        <f>IF(Table33[[#This Row],[Category]]="Cookies",Table33[[#This Row],[Account Deposit Amount]]-Table33[[#This Row],[Account Withdrawl Amount]], )</f>
        <v>0</v>
      </c>
      <c r="K480" s="243">
        <f>IF(Table33[[#This Row],[Category]]="Additional Money Earning Activities",Table33[[#This Row],[Account Deposit Amount]]-Table33[[#This Row],[Account Withdrawl Amount]], )</f>
        <v>0</v>
      </c>
      <c r="L480" s="243">
        <f>IF(Table33[[#This Row],[Category]]="Sponsorships",Table33[[#This Row],[Account Deposit Amount]]-Table33[[#This Row],[Account Withdrawl Amount]], )</f>
        <v>0</v>
      </c>
      <c r="M480" s="243">
        <f>IF(Table33[[#This Row],[Category]]="Troop Dues",Table33[[#This Row],[Account Deposit Amount]]-Table33[[#This Row],[Account Withdrawl Amount]], )</f>
        <v>0</v>
      </c>
      <c r="N480" s="243">
        <f>IF(Table33[[#This Row],[Category]]="Other Income",Table33[[#This Row],[Account Deposit Amount]]-Table33[[#This Row],[Account Withdrawl Amount]], )</f>
        <v>0</v>
      </c>
      <c r="O480" s="243">
        <f>IF(Table33[[#This Row],[Category]]="Registration",Table33[[#This Row],[Account Deposit Amount]]-Table33[[#This Row],[Account Withdrawl Amount]], )</f>
        <v>0</v>
      </c>
      <c r="P480" s="243">
        <f>IF(Table33[[#This Row],[Category]]="Insignia",Table33[[#This Row],[Account Deposit Amount]]-Table33[[#This Row],[Account Withdrawl Amount]], )</f>
        <v>0</v>
      </c>
      <c r="Q480" s="243">
        <f>IF(Table33[[#This Row],[Category]]="Activities/Program",Table33[[#This Row],[Account Deposit Amount]]-Table33[[#This Row],[Account Withdrawl Amount]], )</f>
        <v>0</v>
      </c>
      <c r="R480" s="243">
        <f>IF(Table33[[#This Row],[Category]]="Travel",Table33[[#This Row],[Account Deposit Amount]]-Table33[[#This Row],[Account Withdrawl Amount]], )</f>
        <v>0</v>
      </c>
      <c r="S480" s="243">
        <f>IF(Table33[[#This Row],[Category]]="Parties Food &amp; Beverages",Table33[[#This Row],[Account Deposit Amount]]-Table33[[#This Row],[Account Withdrawl Amount]], )</f>
        <v>0</v>
      </c>
      <c r="T480" s="243">
        <f>IF(Table33[[#This Row],[Category]]="Service Projects Donation",Table33[[#This Row],[Account Deposit Amount]]-Table33[[#This Row],[Account Withdrawl Amount]], )</f>
        <v>0</v>
      </c>
      <c r="U480" s="243">
        <f>IF(Table33[[#This Row],[Category]]="Cookie Debt",Table33[[#This Row],[Account Deposit Amount]]-Table33[[#This Row],[Account Withdrawl Amount]], )</f>
        <v>0</v>
      </c>
      <c r="V480" s="243">
        <f>IF(Table33[[#This Row],[Category]]="Other Expense",Table33[[#This Row],[Account Deposit Amount]]-Table33[[#This Row],[Account Withdrawl Amount]], )</f>
        <v>0</v>
      </c>
    </row>
    <row r="481" spans="1:22">
      <c r="A481" s="225"/>
      <c r="B481" s="241"/>
      <c r="C481" s="225"/>
      <c r="D481" s="225"/>
      <c r="E481" s="242"/>
      <c r="F481" s="242"/>
      <c r="G481" s="243">
        <f t="shared" si="10"/>
        <v>0</v>
      </c>
      <c r="H481" s="225"/>
      <c r="I481" s="243">
        <f>IF(Table33[[#This Row],[Category]]="Fall Product",Table33[[#This Row],[Account Deposit Amount]]-Table33[[#This Row],[Account Withdrawl Amount]], )</f>
        <v>0</v>
      </c>
      <c r="J481" s="243">
        <f>IF(Table33[[#This Row],[Category]]="Cookies",Table33[[#This Row],[Account Deposit Amount]]-Table33[[#This Row],[Account Withdrawl Amount]], )</f>
        <v>0</v>
      </c>
      <c r="K481" s="243">
        <f>IF(Table33[[#This Row],[Category]]="Additional Money Earning Activities",Table33[[#This Row],[Account Deposit Amount]]-Table33[[#This Row],[Account Withdrawl Amount]], )</f>
        <v>0</v>
      </c>
      <c r="L481" s="243">
        <f>IF(Table33[[#This Row],[Category]]="Sponsorships",Table33[[#This Row],[Account Deposit Amount]]-Table33[[#This Row],[Account Withdrawl Amount]], )</f>
        <v>0</v>
      </c>
      <c r="M481" s="243">
        <f>IF(Table33[[#This Row],[Category]]="Troop Dues",Table33[[#This Row],[Account Deposit Amount]]-Table33[[#This Row],[Account Withdrawl Amount]], )</f>
        <v>0</v>
      </c>
      <c r="N481" s="243">
        <f>IF(Table33[[#This Row],[Category]]="Other Income",Table33[[#This Row],[Account Deposit Amount]]-Table33[[#This Row],[Account Withdrawl Amount]], )</f>
        <v>0</v>
      </c>
      <c r="O481" s="243">
        <f>IF(Table33[[#This Row],[Category]]="Registration",Table33[[#This Row],[Account Deposit Amount]]-Table33[[#This Row],[Account Withdrawl Amount]], )</f>
        <v>0</v>
      </c>
      <c r="P481" s="243">
        <f>IF(Table33[[#This Row],[Category]]="Insignia",Table33[[#This Row],[Account Deposit Amount]]-Table33[[#This Row],[Account Withdrawl Amount]], )</f>
        <v>0</v>
      </c>
      <c r="Q481" s="243">
        <f>IF(Table33[[#This Row],[Category]]="Activities/Program",Table33[[#This Row],[Account Deposit Amount]]-Table33[[#This Row],[Account Withdrawl Amount]], )</f>
        <v>0</v>
      </c>
      <c r="R481" s="243">
        <f>IF(Table33[[#This Row],[Category]]="Travel",Table33[[#This Row],[Account Deposit Amount]]-Table33[[#This Row],[Account Withdrawl Amount]], )</f>
        <v>0</v>
      </c>
      <c r="S481" s="243">
        <f>IF(Table33[[#This Row],[Category]]="Parties Food &amp; Beverages",Table33[[#This Row],[Account Deposit Amount]]-Table33[[#This Row],[Account Withdrawl Amount]], )</f>
        <v>0</v>
      </c>
      <c r="T481" s="243">
        <f>IF(Table33[[#This Row],[Category]]="Service Projects Donation",Table33[[#This Row],[Account Deposit Amount]]-Table33[[#This Row],[Account Withdrawl Amount]], )</f>
        <v>0</v>
      </c>
      <c r="U481" s="243">
        <f>IF(Table33[[#This Row],[Category]]="Cookie Debt",Table33[[#This Row],[Account Deposit Amount]]-Table33[[#This Row],[Account Withdrawl Amount]], )</f>
        <v>0</v>
      </c>
      <c r="V481" s="243">
        <f>IF(Table33[[#This Row],[Category]]="Other Expense",Table33[[#This Row],[Account Deposit Amount]]-Table33[[#This Row],[Account Withdrawl Amount]], )</f>
        <v>0</v>
      </c>
    </row>
    <row r="482" spans="1:22">
      <c r="A482" s="225"/>
      <c r="B482" s="241"/>
      <c r="C482" s="225"/>
      <c r="D482" s="225"/>
      <c r="E482" s="242"/>
      <c r="F482" s="242"/>
      <c r="G482" s="243">
        <f t="shared" si="10"/>
        <v>0</v>
      </c>
      <c r="H482" s="225"/>
      <c r="I482" s="243">
        <f>IF(Table33[[#This Row],[Category]]="Fall Product",Table33[[#This Row],[Account Deposit Amount]]-Table33[[#This Row],[Account Withdrawl Amount]], )</f>
        <v>0</v>
      </c>
      <c r="J482" s="243">
        <f>IF(Table33[[#This Row],[Category]]="Cookies",Table33[[#This Row],[Account Deposit Amount]]-Table33[[#This Row],[Account Withdrawl Amount]], )</f>
        <v>0</v>
      </c>
      <c r="K482" s="243">
        <f>IF(Table33[[#This Row],[Category]]="Additional Money Earning Activities",Table33[[#This Row],[Account Deposit Amount]]-Table33[[#This Row],[Account Withdrawl Amount]], )</f>
        <v>0</v>
      </c>
      <c r="L482" s="243">
        <f>IF(Table33[[#This Row],[Category]]="Sponsorships",Table33[[#This Row],[Account Deposit Amount]]-Table33[[#This Row],[Account Withdrawl Amount]], )</f>
        <v>0</v>
      </c>
      <c r="M482" s="243">
        <f>IF(Table33[[#This Row],[Category]]="Troop Dues",Table33[[#This Row],[Account Deposit Amount]]-Table33[[#This Row],[Account Withdrawl Amount]], )</f>
        <v>0</v>
      </c>
      <c r="N482" s="243">
        <f>IF(Table33[[#This Row],[Category]]="Other Income",Table33[[#This Row],[Account Deposit Amount]]-Table33[[#This Row],[Account Withdrawl Amount]], )</f>
        <v>0</v>
      </c>
      <c r="O482" s="243">
        <f>IF(Table33[[#This Row],[Category]]="Registration",Table33[[#This Row],[Account Deposit Amount]]-Table33[[#This Row],[Account Withdrawl Amount]], )</f>
        <v>0</v>
      </c>
      <c r="P482" s="243">
        <f>IF(Table33[[#This Row],[Category]]="Insignia",Table33[[#This Row],[Account Deposit Amount]]-Table33[[#This Row],[Account Withdrawl Amount]], )</f>
        <v>0</v>
      </c>
      <c r="Q482" s="243">
        <f>IF(Table33[[#This Row],[Category]]="Activities/Program",Table33[[#This Row],[Account Deposit Amount]]-Table33[[#This Row],[Account Withdrawl Amount]], )</f>
        <v>0</v>
      </c>
      <c r="R482" s="243">
        <f>IF(Table33[[#This Row],[Category]]="Travel",Table33[[#This Row],[Account Deposit Amount]]-Table33[[#This Row],[Account Withdrawl Amount]], )</f>
        <v>0</v>
      </c>
      <c r="S482" s="243">
        <f>IF(Table33[[#This Row],[Category]]="Parties Food &amp; Beverages",Table33[[#This Row],[Account Deposit Amount]]-Table33[[#This Row],[Account Withdrawl Amount]], )</f>
        <v>0</v>
      </c>
      <c r="T482" s="243">
        <f>IF(Table33[[#This Row],[Category]]="Service Projects Donation",Table33[[#This Row],[Account Deposit Amount]]-Table33[[#This Row],[Account Withdrawl Amount]], )</f>
        <v>0</v>
      </c>
      <c r="U482" s="243">
        <f>IF(Table33[[#This Row],[Category]]="Cookie Debt",Table33[[#This Row],[Account Deposit Amount]]-Table33[[#This Row],[Account Withdrawl Amount]], )</f>
        <v>0</v>
      </c>
      <c r="V482" s="243">
        <f>IF(Table33[[#This Row],[Category]]="Other Expense",Table33[[#This Row],[Account Deposit Amount]]-Table33[[#This Row],[Account Withdrawl Amount]], )</f>
        <v>0</v>
      </c>
    </row>
    <row r="483" spans="1:22">
      <c r="A483" s="225"/>
      <c r="B483" s="241"/>
      <c r="C483" s="225"/>
      <c r="D483" s="225"/>
      <c r="E483" s="242"/>
      <c r="F483" s="242"/>
      <c r="G483" s="243">
        <f t="shared" si="10"/>
        <v>0</v>
      </c>
      <c r="H483" s="225"/>
      <c r="I483" s="243">
        <f>IF(Table33[[#This Row],[Category]]="Fall Product",Table33[[#This Row],[Account Deposit Amount]]-Table33[[#This Row],[Account Withdrawl Amount]], )</f>
        <v>0</v>
      </c>
      <c r="J483" s="243">
        <f>IF(Table33[[#This Row],[Category]]="Cookies",Table33[[#This Row],[Account Deposit Amount]]-Table33[[#This Row],[Account Withdrawl Amount]], )</f>
        <v>0</v>
      </c>
      <c r="K483" s="243">
        <f>IF(Table33[[#This Row],[Category]]="Additional Money Earning Activities",Table33[[#This Row],[Account Deposit Amount]]-Table33[[#This Row],[Account Withdrawl Amount]], )</f>
        <v>0</v>
      </c>
      <c r="L483" s="243">
        <f>IF(Table33[[#This Row],[Category]]="Sponsorships",Table33[[#This Row],[Account Deposit Amount]]-Table33[[#This Row],[Account Withdrawl Amount]], )</f>
        <v>0</v>
      </c>
      <c r="M483" s="243">
        <f>IF(Table33[[#This Row],[Category]]="Troop Dues",Table33[[#This Row],[Account Deposit Amount]]-Table33[[#This Row],[Account Withdrawl Amount]], )</f>
        <v>0</v>
      </c>
      <c r="N483" s="243">
        <f>IF(Table33[[#This Row],[Category]]="Other Income",Table33[[#This Row],[Account Deposit Amount]]-Table33[[#This Row],[Account Withdrawl Amount]], )</f>
        <v>0</v>
      </c>
      <c r="O483" s="243">
        <f>IF(Table33[[#This Row],[Category]]="Registration",Table33[[#This Row],[Account Deposit Amount]]-Table33[[#This Row],[Account Withdrawl Amount]], )</f>
        <v>0</v>
      </c>
      <c r="P483" s="243">
        <f>IF(Table33[[#This Row],[Category]]="Insignia",Table33[[#This Row],[Account Deposit Amount]]-Table33[[#This Row],[Account Withdrawl Amount]], )</f>
        <v>0</v>
      </c>
      <c r="Q483" s="243">
        <f>IF(Table33[[#This Row],[Category]]="Activities/Program",Table33[[#This Row],[Account Deposit Amount]]-Table33[[#This Row],[Account Withdrawl Amount]], )</f>
        <v>0</v>
      </c>
      <c r="R483" s="243">
        <f>IF(Table33[[#This Row],[Category]]="Travel",Table33[[#This Row],[Account Deposit Amount]]-Table33[[#This Row],[Account Withdrawl Amount]], )</f>
        <v>0</v>
      </c>
      <c r="S483" s="243">
        <f>IF(Table33[[#This Row],[Category]]="Parties Food &amp; Beverages",Table33[[#This Row],[Account Deposit Amount]]-Table33[[#This Row],[Account Withdrawl Amount]], )</f>
        <v>0</v>
      </c>
      <c r="T483" s="243">
        <f>IF(Table33[[#This Row],[Category]]="Service Projects Donation",Table33[[#This Row],[Account Deposit Amount]]-Table33[[#This Row],[Account Withdrawl Amount]], )</f>
        <v>0</v>
      </c>
      <c r="U483" s="243">
        <f>IF(Table33[[#This Row],[Category]]="Cookie Debt",Table33[[#This Row],[Account Deposit Amount]]-Table33[[#This Row],[Account Withdrawl Amount]], )</f>
        <v>0</v>
      </c>
      <c r="V483" s="243">
        <f>IF(Table33[[#This Row],[Category]]="Other Expense",Table33[[#This Row],[Account Deposit Amount]]-Table33[[#This Row],[Account Withdrawl Amount]], )</f>
        <v>0</v>
      </c>
    </row>
    <row r="484" spans="1:22">
      <c r="A484" s="225"/>
      <c r="B484" s="241"/>
      <c r="C484" s="225"/>
      <c r="D484" s="225"/>
      <c r="E484" s="242"/>
      <c r="F484" s="242"/>
      <c r="G484" s="243">
        <f t="shared" si="10"/>
        <v>0</v>
      </c>
      <c r="H484" s="225"/>
      <c r="I484" s="243">
        <f>IF(Table33[[#This Row],[Category]]="Fall Product",Table33[[#This Row],[Account Deposit Amount]]-Table33[[#This Row],[Account Withdrawl Amount]], )</f>
        <v>0</v>
      </c>
      <c r="J484" s="243">
        <f>IF(Table33[[#This Row],[Category]]="Cookies",Table33[[#This Row],[Account Deposit Amount]]-Table33[[#This Row],[Account Withdrawl Amount]], )</f>
        <v>0</v>
      </c>
      <c r="K484" s="243">
        <f>IF(Table33[[#This Row],[Category]]="Additional Money Earning Activities",Table33[[#This Row],[Account Deposit Amount]]-Table33[[#This Row],[Account Withdrawl Amount]], )</f>
        <v>0</v>
      </c>
      <c r="L484" s="243">
        <f>IF(Table33[[#This Row],[Category]]="Sponsorships",Table33[[#This Row],[Account Deposit Amount]]-Table33[[#This Row],[Account Withdrawl Amount]], )</f>
        <v>0</v>
      </c>
      <c r="M484" s="243">
        <f>IF(Table33[[#This Row],[Category]]="Troop Dues",Table33[[#This Row],[Account Deposit Amount]]-Table33[[#This Row],[Account Withdrawl Amount]], )</f>
        <v>0</v>
      </c>
      <c r="N484" s="243">
        <f>IF(Table33[[#This Row],[Category]]="Other Income",Table33[[#This Row],[Account Deposit Amount]]-Table33[[#This Row],[Account Withdrawl Amount]], )</f>
        <v>0</v>
      </c>
      <c r="O484" s="243">
        <f>IF(Table33[[#This Row],[Category]]="Registration",Table33[[#This Row],[Account Deposit Amount]]-Table33[[#This Row],[Account Withdrawl Amount]], )</f>
        <v>0</v>
      </c>
      <c r="P484" s="243">
        <f>IF(Table33[[#This Row],[Category]]="Insignia",Table33[[#This Row],[Account Deposit Amount]]-Table33[[#This Row],[Account Withdrawl Amount]], )</f>
        <v>0</v>
      </c>
      <c r="Q484" s="243">
        <f>IF(Table33[[#This Row],[Category]]="Activities/Program",Table33[[#This Row],[Account Deposit Amount]]-Table33[[#This Row],[Account Withdrawl Amount]], )</f>
        <v>0</v>
      </c>
      <c r="R484" s="243">
        <f>IF(Table33[[#This Row],[Category]]="Travel",Table33[[#This Row],[Account Deposit Amount]]-Table33[[#This Row],[Account Withdrawl Amount]], )</f>
        <v>0</v>
      </c>
      <c r="S484" s="243">
        <f>IF(Table33[[#This Row],[Category]]="Parties Food &amp; Beverages",Table33[[#This Row],[Account Deposit Amount]]-Table33[[#This Row],[Account Withdrawl Amount]], )</f>
        <v>0</v>
      </c>
      <c r="T484" s="243">
        <f>IF(Table33[[#This Row],[Category]]="Service Projects Donation",Table33[[#This Row],[Account Deposit Amount]]-Table33[[#This Row],[Account Withdrawl Amount]], )</f>
        <v>0</v>
      </c>
      <c r="U484" s="243">
        <f>IF(Table33[[#This Row],[Category]]="Cookie Debt",Table33[[#This Row],[Account Deposit Amount]]-Table33[[#This Row],[Account Withdrawl Amount]], )</f>
        <v>0</v>
      </c>
      <c r="V484" s="243">
        <f>IF(Table33[[#This Row],[Category]]="Other Expense",Table33[[#This Row],[Account Deposit Amount]]-Table33[[#This Row],[Account Withdrawl Amount]], )</f>
        <v>0</v>
      </c>
    </row>
    <row r="485" spans="1:22">
      <c r="A485" s="225"/>
      <c r="B485" s="241"/>
      <c r="C485" s="225"/>
      <c r="D485" s="225"/>
      <c r="E485" s="242"/>
      <c r="F485" s="242"/>
      <c r="G485" s="243">
        <f t="shared" ref="G485:G500" si="11">G484+E485-F485</f>
        <v>0</v>
      </c>
      <c r="H485" s="225"/>
      <c r="I485" s="243">
        <f>IF(Table33[[#This Row],[Category]]="Fall Product",Table33[[#This Row],[Account Deposit Amount]]-Table33[[#This Row],[Account Withdrawl Amount]], )</f>
        <v>0</v>
      </c>
      <c r="J485" s="243">
        <f>IF(Table33[[#This Row],[Category]]="Cookies",Table33[[#This Row],[Account Deposit Amount]]-Table33[[#This Row],[Account Withdrawl Amount]], )</f>
        <v>0</v>
      </c>
      <c r="K485" s="243">
        <f>IF(Table33[[#This Row],[Category]]="Additional Money Earning Activities",Table33[[#This Row],[Account Deposit Amount]]-Table33[[#This Row],[Account Withdrawl Amount]], )</f>
        <v>0</v>
      </c>
      <c r="L485" s="243">
        <f>IF(Table33[[#This Row],[Category]]="Sponsorships",Table33[[#This Row],[Account Deposit Amount]]-Table33[[#This Row],[Account Withdrawl Amount]], )</f>
        <v>0</v>
      </c>
      <c r="M485" s="243">
        <f>IF(Table33[[#This Row],[Category]]="Troop Dues",Table33[[#This Row],[Account Deposit Amount]]-Table33[[#This Row],[Account Withdrawl Amount]], )</f>
        <v>0</v>
      </c>
      <c r="N485" s="243">
        <f>IF(Table33[[#This Row],[Category]]="Other Income",Table33[[#This Row],[Account Deposit Amount]]-Table33[[#This Row],[Account Withdrawl Amount]], )</f>
        <v>0</v>
      </c>
      <c r="O485" s="243">
        <f>IF(Table33[[#This Row],[Category]]="Registration",Table33[[#This Row],[Account Deposit Amount]]-Table33[[#This Row],[Account Withdrawl Amount]], )</f>
        <v>0</v>
      </c>
      <c r="P485" s="243">
        <f>IF(Table33[[#This Row],[Category]]="Insignia",Table33[[#This Row],[Account Deposit Amount]]-Table33[[#This Row],[Account Withdrawl Amount]], )</f>
        <v>0</v>
      </c>
      <c r="Q485" s="243">
        <f>IF(Table33[[#This Row],[Category]]="Activities/Program",Table33[[#This Row],[Account Deposit Amount]]-Table33[[#This Row],[Account Withdrawl Amount]], )</f>
        <v>0</v>
      </c>
      <c r="R485" s="243">
        <f>IF(Table33[[#This Row],[Category]]="Travel",Table33[[#This Row],[Account Deposit Amount]]-Table33[[#This Row],[Account Withdrawl Amount]], )</f>
        <v>0</v>
      </c>
      <c r="S485" s="243">
        <f>IF(Table33[[#This Row],[Category]]="Parties Food &amp; Beverages",Table33[[#This Row],[Account Deposit Amount]]-Table33[[#This Row],[Account Withdrawl Amount]], )</f>
        <v>0</v>
      </c>
      <c r="T485" s="243">
        <f>IF(Table33[[#This Row],[Category]]="Service Projects Donation",Table33[[#This Row],[Account Deposit Amount]]-Table33[[#This Row],[Account Withdrawl Amount]], )</f>
        <v>0</v>
      </c>
      <c r="U485" s="243">
        <f>IF(Table33[[#This Row],[Category]]="Cookie Debt",Table33[[#This Row],[Account Deposit Amount]]-Table33[[#This Row],[Account Withdrawl Amount]], )</f>
        <v>0</v>
      </c>
      <c r="V485" s="243">
        <f>IF(Table33[[#This Row],[Category]]="Other Expense",Table33[[#This Row],[Account Deposit Amount]]-Table33[[#This Row],[Account Withdrawl Amount]], )</f>
        <v>0</v>
      </c>
    </row>
    <row r="486" spans="1:22">
      <c r="A486" s="225"/>
      <c r="B486" s="241"/>
      <c r="C486" s="225"/>
      <c r="D486" s="225"/>
      <c r="E486" s="242"/>
      <c r="F486" s="242"/>
      <c r="G486" s="243">
        <f t="shared" si="11"/>
        <v>0</v>
      </c>
      <c r="H486" s="225"/>
      <c r="I486" s="243">
        <f>IF(Table33[[#This Row],[Category]]="Fall Product",Table33[[#This Row],[Account Deposit Amount]]-Table33[[#This Row],[Account Withdrawl Amount]], )</f>
        <v>0</v>
      </c>
      <c r="J486" s="243">
        <f>IF(Table33[[#This Row],[Category]]="Cookies",Table33[[#This Row],[Account Deposit Amount]]-Table33[[#This Row],[Account Withdrawl Amount]], )</f>
        <v>0</v>
      </c>
      <c r="K486" s="243">
        <f>IF(Table33[[#This Row],[Category]]="Additional Money Earning Activities",Table33[[#This Row],[Account Deposit Amount]]-Table33[[#This Row],[Account Withdrawl Amount]], )</f>
        <v>0</v>
      </c>
      <c r="L486" s="243">
        <f>IF(Table33[[#This Row],[Category]]="Sponsorships",Table33[[#This Row],[Account Deposit Amount]]-Table33[[#This Row],[Account Withdrawl Amount]], )</f>
        <v>0</v>
      </c>
      <c r="M486" s="243">
        <f>IF(Table33[[#This Row],[Category]]="Troop Dues",Table33[[#This Row],[Account Deposit Amount]]-Table33[[#This Row],[Account Withdrawl Amount]], )</f>
        <v>0</v>
      </c>
      <c r="N486" s="243">
        <f>IF(Table33[[#This Row],[Category]]="Other Income",Table33[[#This Row],[Account Deposit Amount]]-Table33[[#This Row],[Account Withdrawl Amount]], )</f>
        <v>0</v>
      </c>
      <c r="O486" s="243">
        <f>IF(Table33[[#This Row],[Category]]="Registration",Table33[[#This Row],[Account Deposit Amount]]-Table33[[#This Row],[Account Withdrawl Amount]], )</f>
        <v>0</v>
      </c>
      <c r="P486" s="243">
        <f>IF(Table33[[#This Row],[Category]]="Insignia",Table33[[#This Row],[Account Deposit Amount]]-Table33[[#This Row],[Account Withdrawl Amount]], )</f>
        <v>0</v>
      </c>
      <c r="Q486" s="243">
        <f>IF(Table33[[#This Row],[Category]]="Activities/Program",Table33[[#This Row],[Account Deposit Amount]]-Table33[[#This Row],[Account Withdrawl Amount]], )</f>
        <v>0</v>
      </c>
      <c r="R486" s="243">
        <f>IF(Table33[[#This Row],[Category]]="Travel",Table33[[#This Row],[Account Deposit Amount]]-Table33[[#This Row],[Account Withdrawl Amount]], )</f>
        <v>0</v>
      </c>
      <c r="S486" s="243">
        <f>IF(Table33[[#This Row],[Category]]="Parties Food &amp; Beverages",Table33[[#This Row],[Account Deposit Amount]]-Table33[[#This Row],[Account Withdrawl Amount]], )</f>
        <v>0</v>
      </c>
      <c r="T486" s="243">
        <f>IF(Table33[[#This Row],[Category]]="Service Projects Donation",Table33[[#This Row],[Account Deposit Amount]]-Table33[[#This Row],[Account Withdrawl Amount]], )</f>
        <v>0</v>
      </c>
      <c r="U486" s="243">
        <f>IF(Table33[[#This Row],[Category]]="Cookie Debt",Table33[[#This Row],[Account Deposit Amount]]-Table33[[#This Row],[Account Withdrawl Amount]], )</f>
        <v>0</v>
      </c>
      <c r="V486" s="243">
        <f>IF(Table33[[#This Row],[Category]]="Other Expense",Table33[[#This Row],[Account Deposit Amount]]-Table33[[#This Row],[Account Withdrawl Amount]], )</f>
        <v>0</v>
      </c>
    </row>
    <row r="487" spans="1:22">
      <c r="A487" s="225"/>
      <c r="B487" s="241"/>
      <c r="C487" s="225"/>
      <c r="D487" s="225"/>
      <c r="E487" s="242"/>
      <c r="F487" s="242"/>
      <c r="G487" s="243">
        <f t="shared" si="11"/>
        <v>0</v>
      </c>
      <c r="H487" s="225"/>
      <c r="I487" s="243">
        <f>IF(Table33[[#This Row],[Category]]="Fall Product",Table33[[#This Row],[Account Deposit Amount]]-Table33[[#This Row],[Account Withdrawl Amount]], )</f>
        <v>0</v>
      </c>
      <c r="J487" s="243">
        <f>IF(Table33[[#This Row],[Category]]="Cookies",Table33[[#This Row],[Account Deposit Amount]]-Table33[[#This Row],[Account Withdrawl Amount]], )</f>
        <v>0</v>
      </c>
      <c r="K487" s="243">
        <f>IF(Table33[[#This Row],[Category]]="Additional Money Earning Activities",Table33[[#This Row],[Account Deposit Amount]]-Table33[[#This Row],[Account Withdrawl Amount]], )</f>
        <v>0</v>
      </c>
      <c r="L487" s="243">
        <f>IF(Table33[[#This Row],[Category]]="Sponsorships",Table33[[#This Row],[Account Deposit Amount]]-Table33[[#This Row],[Account Withdrawl Amount]], )</f>
        <v>0</v>
      </c>
      <c r="M487" s="243">
        <f>IF(Table33[[#This Row],[Category]]="Troop Dues",Table33[[#This Row],[Account Deposit Amount]]-Table33[[#This Row],[Account Withdrawl Amount]], )</f>
        <v>0</v>
      </c>
      <c r="N487" s="243">
        <f>IF(Table33[[#This Row],[Category]]="Other Income",Table33[[#This Row],[Account Deposit Amount]]-Table33[[#This Row],[Account Withdrawl Amount]], )</f>
        <v>0</v>
      </c>
      <c r="O487" s="243">
        <f>IF(Table33[[#This Row],[Category]]="Registration",Table33[[#This Row],[Account Deposit Amount]]-Table33[[#This Row],[Account Withdrawl Amount]], )</f>
        <v>0</v>
      </c>
      <c r="P487" s="243">
        <f>IF(Table33[[#This Row],[Category]]="Insignia",Table33[[#This Row],[Account Deposit Amount]]-Table33[[#This Row],[Account Withdrawl Amount]], )</f>
        <v>0</v>
      </c>
      <c r="Q487" s="243">
        <f>IF(Table33[[#This Row],[Category]]="Activities/Program",Table33[[#This Row],[Account Deposit Amount]]-Table33[[#This Row],[Account Withdrawl Amount]], )</f>
        <v>0</v>
      </c>
      <c r="R487" s="243">
        <f>IF(Table33[[#This Row],[Category]]="Travel",Table33[[#This Row],[Account Deposit Amount]]-Table33[[#This Row],[Account Withdrawl Amount]], )</f>
        <v>0</v>
      </c>
      <c r="S487" s="243">
        <f>IF(Table33[[#This Row],[Category]]="Parties Food &amp; Beverages",Table33[[#This Row],[Account Deposit Amount]]-Table33[[#This Row],[Account Withdrawl Amount]], )</f>
        <v>0</v>
      </c>
      <c r="T487" s="243">
        <f>IF(Table33[[#This Row],[Category]]="Service Projects Donation",Table33[[#This Row],[Account Deposit Amount]]-Table33[[#This Row],[Account Withdrawl Amount]], )</f>
        <v>0</v>
      </c>
      <c r="U487" s="243">
        <f>IF(Table33[[#This Row],[Category]]="Cookie Debt",Table33[[#This Row],[Account Deposit Amount]]-Table33[[#This Row],[Account Withdrawl Amount]], )</f>
        <v>0</v>
      </c>
      <c r="V487" s="243">
        <f>IF(Table33[[#This Row],[Category]]="Other Expense",Table33[[#This Row],[Account Deposit Amount]]-Table33[[#This Row],[Account Withdrawl Amount]], )</f>
        <v>0</v>
      </c>
    </row>
    <row r="488" spans="1:22">
      <c r="A488" s="225"/>
      <c r="B488" s="241"/>
      <c r="C488" s="225"/>
      <c r="D488" s="225"/>
      <c r="E488" s="242"/>
      <c r="F488" s="242"/>
      <c r="G488" s="243">
        <f t="shared" si="11"/>
        <v>0</v>
      </c>
      <c r="H488" s="225"/>
      <c r="I488" s="243">
        <f>IF(Table33[[#This Row],[Category]]="Fall Product",Table33[[#This Row],[Account Deposit Amount]]-Table33[[#This Row],[Account Withdrawl Amount]], )</f>
        <v>0</v>
      </c>
      <c r="J488" s="243">
        <f>IF(Table33[[#This Row],[Category]]="Cookies",Table33[[#This Row],[Account Deposit Amount]]-Table33[[#This Row],[Account Withdrawl Amount]], )</f>
        <v>0</v>
      </c>
      <c r="K488" s="243">
        <f>IF(Table33[[#This Row],[Category]]="Additional Money Earning Activities",Table33[[#This Row],[Account Deposit Amount]]-Table33[[#This Row],[Account Withdrawl Amount]], )</f>
        <v>0</v>
      </c>
      <c r="L488" s="243">
        <f>IF(Table33[[#This Row],[Category]]="Sponsorships",Table33[[#This Row],[Account Deposit Amount]]-Table33[[#This Row],[Account Withdrawl Amount]], )</f>
        <v>0</v>
      </c>
      <c r="M488" s="243">
        <f>IF(Table33[[#This Row],[Category]]="Troop Dues",Table33[[#This Row],[Account Deposit Amount]]-Table33[[#This Row],[Account Withdrawl Amount]], )</f>
        <v>0</v>
      </c>
      <c r="N488" s="243">
        <f>IF(Table33[[#This Row],[Category]]="Other Income",Table33[[#This Row],[Account Deposit Amount]]-Table33[[#This Row],[Account Withdrawl Amount]], )</f>
        <v>0</v>
      </c>
      <c r="O488" s="243">
        <f>IF(Table33[[#This Row],[Category]]="Registration",Table33[[#This Row],[Account Deposit Amount]]-Table33[[#This Row],[Account Withdrawl Amount]], )</f>
        <v>0</v>
      </c>
      <c r="P488" s="243">
        <f>IF(Table33[[#This Row],[Category]]="Insignia",Table33[[#This Row],[Account Deposit Amount]]-Table33[[#This Row],[Account Withdrawl Amount]], )</f>
        <v>0</v>
      </c>
      <c r="Q488" s="243">
        <f>IF(Table33[[#This Row],[Category]]="Activities/Program",Table33[[#This Row],[Account Deposit Amount]]-Table33[[#This Row],[Account Withdrawl Amount]], )</f>
        <v>0</v>
      </c>
      <c r="R488" s="243">
        <f>IF(Table33[[#This Row],[Category]]="Travel",Table33[[#This Row],[Account Deposit Amount]]-Table33[[#This Row],[Account Withdrawl Amount]], )</f>
        <v>0</v>
      </c>
      <c r="S488" s="243">
        <f>IF(Table33[[#This Row],[Category]]="Parties Food &amp; Beverages",Table33[[#This Row],[Account Deposit Amount]]-Table33[[#This Row],[Account Withdrawl Amount]], )</f>
        <v>0</v>
      </c>
      <c r="T488" s="243">
        <f>IF(Table33[[#This Row],[Category]]="Service Projects Donation",Table33[[#This Row],[Account Deposit Amount]]-Table33[[#This Row],[Account Withdrawl Amount]], )</f>
        <v>0</v>
      </c>
      <c r="U488" s="243">
        <f>IF(Table33[[#This Row],[Category]]="Cookie Debt",Table33[[#This Row],[Account Deposit Amount]]-Table33[[#This Row],[Account Withdrawl Amount]], )</f>
        <v>0</v>
      </c>
      <c r="V488" s="243">
        <f>IF(Table33[[#This Row],[Category]]="Other Expense",Table33[[#This Row],[Account Deposit Amount]]-Table33[[#This Row],[Account Withdrawl Amount]], )</f>
        <v>0</v>
      </c>
    </row>
    <row r="489" spans="1:22">
      <c r="A489" s="225"/>
      <c r="B489" s="241"/>
      <c r="C489" s="225"/>
      <c r="D489" s="225"/>
      <c r="E489" s="242"/>
      <c r="F489" s="242"/>
      <c r="G489" s="243">
        <f t="shared" si="11"/>
        <v>0</v>
      </c>
      <c r="H489" s="225"/>
      <c r="I489" s="243">
        <f>IF(Table33[[#This Row],[Category]]="Fall Product",Table33[[#This Row],[Account Deposit Amount]]-Table33[[#This Row],[Account Withdrawl Amount]], )</f>
        <v>0</v>
      </c>
      <c r="J489" s="243">
        <f>IF(Table33[[#This Row],[Category]]="Cookies",Table33[[#This Row],[Account Deposit Amount]]-Table33[[#This Row],[Account Withdrawl Amount]], )</f>
        <v>0</v>
      </c>
      <c r="K489" s="243">
        <f>IF(Table33[[#This Row],[Category]]="Additional Money Earning Activities",Table33[[#This Row],[Account Deposit Amount]]-Table33[[#This Row],[Account Withdrawl Amount]], )</f>
        <v>0</v>
      </c>
      <c r="L489" s="243">
        <f>IF(Table33[[#This Row],[Category]]="Sponsorships",Table33[[#This Row],[Account Deposit Amount]]-Table33[[#This Row],[Account Withdrawl Amount]], )</f>
        <v>0</v>
      </c>
      <c r="M489" s="243">
        <f>IF(Table33[[#This Row],[Category]]="Troop Dues",Table33[[#This Row],[Account Deposit Amount]]-Table33[[#This Row],[Account Withdrawl Amount]], )</f>
        <v>0</v>
      </c>
      <c r="N489" s="243">
        <f>IF(Table33[[#This Row],[Category]]="Other Income",Table33[[#This Row],[Account Deposit Amount]]-Table33[[#This Row],[Account Withdrawl Amount]], )</f>
        <v>0</v>
      </c>
      <c r="O489" s="243">
        <f>IF(Table33[[#This Row],[Category]]="Registration",Table33[[#This Row],[Account Deposit Amount]]-Table33[[#This Row],[Account Withdrawl Amount]], )</f>
        <v>0</v>
      </c>
      <c r="P489" s="243">
        <f>IF(Table33[[#This Row],[Category]]="Insignia",Table33[[#This Row],[Account Deposit Amount]]-Table33[[#This Row],[Account Withdrawl Amount]], )</f>
        <v>0</v>
      </c>
      <c r="Q489" s="243">
        <f>IF(Table33[[#This Row],[Category]]="Activities/Program",Table33[[#This Row],[Account Deposit Amount]]-Table33[[#This Row],[Account Withdrawl Amount]], )</f>
        <v>0</v>
      </c>
      <c r="R489" s="243">
        <f>IF(Table33[[#This Row],[Category]]="Travel",Table33[[#This Row],[Account Deposit Amount]]-Table33[[#This Row],[Account Withdrawl Amount]], )</f>
        <v>0</v>
      </c>
      <c r="S489" s="243">
        <f>IF(Table33[[#This Row],[Category]]="Parties Food &amp; Beverages",Table33[[#This Row],[Account Deposit Amount]]-Table33[[#This Row],[Account Withdrawl Amount]], )</f>
        <v>0</v>
      </c>
      <c r="T489" s="243">
        <f>IF(Table33[[#This Row],[Category]]="Service Projects Donation",Table33[[#This Row],[Account Deposit Amount]]-Table33[[#This Row],[Account Withdrawl Amount]], )</f>
        <v>0</v>
      </c>
      <c r="U489" s="243">
        <f>IF(Table33[[#This Row],[Category]]="Cookie Debt",Table33[[#This Row],[Account Deposit Amount]]-Table33[[#This Row],[Account Withdrawl Amount]], )</f>
        <v>0</v>
      </c>
      <c r="V489" s="243">
        <f>IF(Table33[[#This Row],[Category]]="Other Expense",Table33[[#This Row],[Account Deposit Amount]]-Table33[[#This Row],[Account Withdrawl Amount]], )</f>
        <v>0</v>
      </c>
    </row>
    <row r="490" spans="1:22">
      <c r="A490" s="225"/>
      <c r="B490" s="241"/>
      <c r="C490" s="225"/>
      <c r="D490" s="225"/>
      <c r="E490" s="242"/>
      <c r="F490" s="242"/>
      <c r="G490" s="243">
        <f t="shared" si="11"/>
        <v>0</v>
      </c>
      <c r="H490" s="225"/>
      <c r="I490" s="243">
        <f>IF(Table33[[#This Row],[Category]]="Fall Product",Table33[[#This Row],[Account Deposit Amount]]-Table33[[#This Row],[Account Withdrawl Amount]], )</f>
        <v>0</v>
      </c>
      <c r="J490" s="243">
        <f>IF(Table33[[#This Row],[Category]]="Cookies",Table33[[#This Row],[Account Deposit Amount]]-Table33[[#This Row],[Account Withdrawl Amount]], )</f>
        <v>0</v>
      </c>
      <c r="K490" s="243">
        <f>IF(Table33[[#This Row],[Category]]="Additional Money Earning Activities",Table33[[#This Row],[Account Deposit Amount]]-Table33[[#This Row],[Account Withdrawl Amount]], )</f>
        <v>0</v>
      </c>
      <c r="L490" s="243">
        <f>IF(Table33[[#This Row],[Category]]="Sponsorships",Table33[[#This Row],[Account Deposit Amount]]-Table33[[#This Row],[Account Withdrawl Amount]], )</f>
        <v>0</v>
      </c>
      <c r="M490" s="243">
        <f>IF(Table33[[#This Row],[Category]]="Troop Dues",Table33[[#This Row],[Account Deposit Amount]]-Table33[[#This Row],[Account Withdrawl Amount]], )</f>
        <v>0</v>
      </c>
      <c r="N490" s="243">
        <f>IF(Table33[[#This Row],[Category]]="Other Income",Table33[[#This Row],[Account Deposit Amount]]-Table33[[#This Row],[Account Withdrawl Amount]], )</f>
        <v>0</v>
      </c>
      <c r="O490" s="243">
        <f>IF(Table33[[#This Row],[Category]]="Registration",Table33[[#This Row],[Account Deposit Amount]]-Table33[[#This Row],[Account Withdrawl Amount]], )</f>
        <v>0</v>
      </c>
      <c r="P490" s="243">
        <f>IF(Table33[[#This Row],[Category]]="Insignia",Table33[[#This Row],[Account Deposit Amount]]-Table33[[#This Row],[Account Withdrawl Amount]], )</f>
        <v>0</v>
      </c>
      <c r="Q490" s="243">
        <f>IF(Table33[[#This Row],[Category]]="Activities/Program",Table33[[#This Row],[Account Deposit Amount]]-Table33[[#This Row],[Account Withdrawl Amount]], )</f>
        <v>0</v>
      </c>
      <c r="R490" s="243">
        <f>IF(Table33[[#This Row],[Category]]="Travel",Table33[[#This Row],[Account Deposit Amount]]-Table33[[#This Row],[Account Withdrawl Amount]], )</f>
        <v>0</v>
      </c>
      <c r="S490" s="243">
        <f>IF(Table33[[#This Row],[Category]]="Parties Food &amp; Beverages",Table33[[#This Row],[Account Deposit Amount]]-Table33[[#This Row],[Account Withdrawl Amount]], )</f>
        <v>0</v>
      </c>
      <c r="T490" s="243">
        <f>IF(Table33[[#This Row],[Category]]="Service Projects Donation",Table33[[#This Row],[Account Deposit Amount]]-Table33[[#This Row],[Account Withdrawl Amount]], )</f>
        <v>0</v>
      </c>
      <c r="U490" s="243">
        <f>IF(Table33[[#This Row],[Category]]="Cookie Debt",Table33[[#This Row],[Account Deposit Amount]]-Table33[[#This Row],[Account Withdrawl Amount]], )</f>
        <v>0</v>
      </c>
      <c r="V490" s="243">
        <f>IF(Table33[[#This Row],[Category]]="Other Expense",Table33[[#This Row],[Account Deposit Amount]]-Table33[[#This Row],[Account Withdrawl Amount]], )</f>
        <v>0</v>
      </c>
    </row>
    <row r="491" spans="1:22">
      <c r="A491" s="225"/>
      <c r="B491" s="241"/>
      <c r="C491" s="225"/>
      <c r="D491" s="225"/>
      <c r="E491" s="242"/>
      <c r="F491" s="242"/>
      <c r="G491" s="243">
        <f t="shared" si="11"/>
        <v>0</v>
      </c>
      <c r="H491" s="225"/>
      <c r="I491" s="243">
        <f>IF(Table33[[#This Row],[Category]]="Fall Product",Table33[[#This Row],[Account Deposit Amount]]-Table33[[#This Row],[Account Withdrawl Amount]], )</f>
        <v>0</v>
      </c>
      <c r="J491" s="243">
        <f>IF(Table33[[#This Row],[Category]]="Cookies",Table33[[#This Row],[Account Deposit Amount]]-Table33[[#This Row],[Account Withdrawl Amount]], )</f>
        <v>0</v>
      </c>
      <c r="K491" s="243">
        <f>IF(Table33[[#This Row],[Category]]="Additional Money Earning Activities",Table33[[#This Row],[Account Deposit Amount]]-Table33[[#This Row],[Account Withdrawl Amount]], )</f>
        <v>0</v>
      </c>
      <c r="L491" s="243">
        <f>IF(Table33[[#This Row],[Category]]="Sponsorships",Table33[[#This Row],[Account Deposit Amount]]-Table33[[#This Row],[Account Withdrawl Amount]], )</f>
        <v>0</v>
      </c>
      <c r="M491" s="243">
        <f>IF(Table33[[#This Row],[Category]]="Troop Dues",Table33[[#This Row],[Account Deposit Amount]]-Table33[[#This Row],[Account Withdrawl Amount]], )</f>
        <v>0</v>
      </c>
      <c r="N491" s="243">
        <f>IF(Table33[[#This Row],[Category]]="Other Income",Table33[[#This Row],[Account Deposit Amount]]-Table33[[#This Row],[Account Withdrawl Amount]], )</f>
        <v>0</v>
      </c>
      <c r="O491" s="243">
        <f>IF(Table33[[#This Row],[Category]]="Registration",Table33[[#This Row],[Account Deposit Amount]]-Table33[[#This Row],[Account Withdrawl Amount]], )</f>
        <v>0</v>
      </c>
      <c r="P491" s="243">
        <f>IF(Table33[[#This Row],[Category]]="Insignia",Table33[[#This Row],[Account Deposit Amount]]-Table33[[#This Row],[Account Withdrawl Amount]], )</f>
        <v>0</v>
      </c>
      <c r="Q491" s="243">
        <f>IF(Table33[[#This Row],[Category]]="Activities/Program",Table33[[#This Row],[Account Deposit Amount]]-Table33[[#This Row],[Account Withdrawl Amount]], )</f>
        <v>0</v>
      </c>
      <c r="R491" s="243">
        <f>IF(Table33[[#This Row],[Category]]="Travel",Table33[[#This Row],[Account Deposit Amount]]-Table33[[#This Row],[Account Withdrawl Amount]], )</f>
        <v>0</v>
      </c>
      <c r="S491" s="243">
        <f>IF(Table33[[#This Row],[Category]]="Parties Food &amp; Beverages",Table33[[#This Row],[Account Deposit Amount]]-Table33[[#This Row],[Account Withdrawl Amount]], )</f>
        <v>0</v>
      </c>
      <c r="T491" s="243">
        <f>IF(Table33[[#This Row],[Category]]="Service Projects Donation",Table33[[#This Row],[Account Deposit Amount]]-Table33[[#This Row],[Account Withdrawl Amount]], )</f>
        <v>0</v>
      </c>
      <c r="U491" s="243">
        <f>IF(Table33[[#This Row],[Category]]="Cookie Debt",Table33[[#This Row],[Account Deposit Amount]]-Table33[[#This Row],[Account Withdrawl Amount]], )</f>
        <v>0</v>
      </c>
      <c r="V491" s="243">
        <f>IF(Table33[[#This Row],[Category]]="Other Expense",Table33[[#This Row],[Account Deposit Amount]]-Table33[[#This Row],[Account Withdrawl Amount]], )</f>
        <v>0</v>
      </c>
    </row>
    <row r="492" spans="1:22">
      <c r="A492" s="225"/>
      <c r="B492" s="241"/>
      <c r="C492" s="225"/>
      <c r="D492" s="225"/>
      <c r="E492" s="242"/>
      <c r="F492" s="242"/>
      <c r="G492" s="243">
        <f t="shared" si="11"/>
        <v>0</v>
      </c>
      <c r="H492" s="225"/>
      <c r="I492" s="243">
        <f>IF(Table33[[#This Row],[Category]]="Fall Product",Table33[[#This Row],[Account Deposit Amount]]-Table33[[#This Row],[Account Withdrawl Amount]], )</f>
        <v>0</v>
      </c>
      <c r="J492" s="243">
        <f>IF(Table33[[#This Row],[Category]]="Cookies",Table33[[#This Row],[Account Deposit Amount]]-Table33[[#This Row],[Account Withdrawl Amount]], )</f>
        <v>0</v>
      </c>
      <c r="K492" s="243">
        <f>IF(Table33[[#This Row],[Category]]="Additional Money Earning Activities",Table33[[#This Row],[Account Deposit Amount]]-Table33[[#This Row],[Account Withdrawl Amount]], )</f>
        <v>0</v>
      </c>
      <c r="L492" s="243">
        <f>IF(Table33[[#This Row],[Category]]="Sponsorships",Table33[[#This Row],[Account Deposit Amount]]-Table33[[#This Row],[Account Withdrawl Amount]], )</f>
        <v>0</v>
      </c>
      <c r="M492" s="243">
        <f>IF(Table33[[#This Row],[Category]]="Troop Dues",Table33[[#This Row],[Account Deposit Amount]]-Table33[[#This Row],[Account Withdrawl Amount]], )</f>
        <v>0</v>
      </c>
      <c r="N492" s="243">
        <f>IF(Table33[[#This Row],[Category]]="Other Income",Table33[[#This Row],[Account Deposit Amount]]-Table33[[#This Row],[Account Withdrawl Amount]], )</f>
        <v>0</v>
      </c>
      <c r="O492" s="243">
        <f>IF(Table33[[#This Row],[Category]]="Registration",Table33[[#This Row],[Account Deposit Amount]]-Table33[[#This Row],[Account Withdrawl Amount]], )</f>
        <v>0</v>
      </c>
      <c r="P492" s="243">
        <f>IF(Table33[[#This Row],[Category]]="Insignia",Table33[[#This Row],[Account Deposit Amount]]-Table33[[#This Row],[Account Withdrawl Amount]], )</f>
        <v>0</v>
      </c>
      <c r="Q492" s="243">
        <f>IF(Table33[[#This Row],[Category]]="Activities/Program",Table33[[#This Row],[Account Deposit Amount]]-Table33[[#This Row],[Account Withdrawl Amount]], )</f>
        <v>0</v>
      </c>
      <c r="R492" s="243">
        <f>IF(Table33[[#This Row],[Category]]="Travel",Table33[[#This Row],[Account Deposit Amount]]-Table33[[#This Row],[Account Withdrawl Amount]], )</f>
        <v>0</v>
      </c>
      <c r="S492" s="243">
        <f>IF(Table33[[#This Row],[Category]]="Parties Food &amp; Beverages",Table33[[#This Row],[Account Deposit Amount]]-Table33[[#This Row],[Account Withdrawl Amount]], )</f>
        <v>0</v>
      </c>
      <c r="T492" s="243">
        <f>IF(Table33[[#This Row],[Category]]="Service Projects Donation",Table33[[#This Row],[Account Deposit Amount]]-Table33[[#This Row],[Account Withdrawl Amount]], )</f>
        <v>0</v>
      </c>
      <c r="U492" s="243">
        <f>IF(Table33[[#This Row],[Category]]="Cookie Debt",Table33[[#This Row],[Account Deposit Amount]]-Table33[[#This Row],[Account Withdrawl Amount]], )</f>
        <v>0</v>
      </c>
      <c r="V492" s="243">
        <f>IF(Table33[[#This Row],[Category]]="Other Expense",Table33[[#This Row],[Account Deposit Amount]]-Table33[[#This Row],[Account Withdrawl Amount]], )</f>
        <v>0</v>
      </c>
    </row>
    <row r="493" spans="1:22">
      <c r="A493" s="225"/>
      <c r="B493" s="241"/>
      <c r="C493" s="225"/>
      <c r="D493" s="225"/>
      <c r="E493" s="242"/>
      <c r="F493" s="242"/>
      <c r="G493" s="243">
        <f t="shared" si="11"/>
        <v>0</v>
      </c>
      <c r="H493" s="225"/>
      <c r="I493" s="243">
        <f>IF(Table33[[#This Row],[Category]]="Fall Product",Table33[[#This Row],[Account Deposit Amount]]-Table33[[#This Row],[Account Withdrawl Amount]], )</f>
        <v>0</v>
      </c>
      <c r="J493" s="243">
        <f>IF(Table33[[#This Row],[Category]]="Cookies",Table33[[#This Row],[Account Deposit Amount]]-Table33[[#This Row],[Account Withdrawl Amount]], )</f>
        <v>0</v>
      </c>
      <c r="K493" s="243">
        <f>IF(Table33[[#This Row],[Category]]="Additional Money Earning Activities",Table33[[#This Row],[Account Deposit Amount]]-Table33[[#This Row],[Account Withdrawl Amount]], )</f>
        <v>0</v>
      </c>
      <c r="L493" s="243">
        <f>IF(Table33[[#This Row],[Category]]="Sponsorships",Table33[[#This Row],[Account Deposit Amount]]-Table33[[#This Row],[Account Withdrawl Amount]], )</f>
        <v>0</v>
      </c>
      <c r="M493" s="243">
        <f>IF(Table33[[#This Row],[Category]]="Troop Dues",Table33[[#This Row],[Account Deposit Amount]]-Table33[[#This Row],[Account Withdrawl Amount]], )</f>
        <v>0</v>
      </c>
      <c r="N493" s="243">
        <f>IF(Table33[[#This Row],[Category]]="Other Income",Table33[[#This Row],[Account Deposit Amount]]-Table33[[#This Row],[Account Withdrawl Amount]], )</f>
        <v>0</v>
      </c>
      <c r="O493" s="243">
        <f>IF(Table33[[#This Row],[Category]]="Registration",Table33[[#This Row],[Account Deposit Amount]]-Table33[[#This Row],[Account Withdrawl Amount]], )</f>
        <v>0</v>
      </c>
      <c r="P493" s="243">
        <f>IF(Table33[[#This Row],[Category]]="Insignia",Table33[[#This Row],[Account Deposit Amount]]-Table33[[#This Row],[Account Withdrawl Amount]], )</f>
        <v>0</v>
      </c>
      <c r="Q493" s="243">
        <f>IF(Table33[[#This Row],[Category]]="Activities/Program",Table33[[#This Row],[Account Deposit Amount]]-Table33[[#This Row],[Account Withdrawl Amount]], )</f>
        <v>0</v>
      </c>
      <c r="R493" s="243">
        <f>IF(Table33[[#This Row],[Category]]="Travel",Table33[[#This Row],[Account Deposit Amount]]-Table33[[#This Row],[Account Withdrawl Amount]], )</f>
        <v>0</v>
      </c>
      <c r="S493" s="243">
        <f>IF(Table33[[#This Row],[Category]]="Parties Food &amp; Beverages",Table33[[#This Row],[Account Deposit Amount]]-Table33[[#This Row],[Account Withdrawl Amount]], )</f>
        <v>0</v>
      </c>
      <c r="T493" s="243">
        <f>IF(Table33[[#This Row],[Category]]="Service Projects Donation",Table33[[#This Row],[Account Deposit Amount]]-Table33[[#This Row],[Account Withdrawl Amount]], )</f>
        <v>0</v>
      </c>
      <c r="U493" s="243">
        <f>IF(Table33[[#This Row],[Category]]="Cookie Debt",Table33[[#This Row],[Account Deposit Amount]]-Table33[[#This Row],[Account Withdrawl Amount]], )</f>
        <v>0</v>
      </c>
      <c r="V493" s="243">
        <f>IF(Table33[[#This Row],[Category]]="Other Expense",Table33[[#This Row],[Account Deposit Amount]]-Table33[[#This Row],[Account Withdrawl Amount]], )</f>
        <v>0</v>
      </c>
    </row>
    <row r="494" spans="1:22">
      <c r="A494" s="225"/>
      <c r="B494" s="241"/>
      <c r="C494" s="225"/>
      <c r="D494" s="225"/>
      <c r="E494" s="242"/>
      <c r="F494" s="242"/>
      <c r="G494" s="243">
        <f t="shared" si="11"/>
        <v>0</v>
      </c>
      <c r="H494" s="225"/>
      <c r="I494" s="243">
        <f>IF(Table33[[#This Row],[Category]]="Fall Product",Table33[[#This Row],[Account Deposit Amount]]-Table33[[#This Row],[Account Withdrawl Amount]], )</f>
        <v>0</v>
      </c>
      <c r="J494" s="243">
        <f>IF(Table33[[#This Row],[Category]]="Cookies",Table33[[#This Row],[Account Deposit Amount]]-Table33[[#This Row],[Account Withdrawl Amount]], )</f>
        <v>0</v>
      </c>
      <c r="K494" s="243">
        <f>IF(Table33[[#This Row],[Category]]="Additional Money Earning Activities",Table33[[#This Row],[Account Deposit Amount]]-Table33[[#This Row],[Account Withdrawl Amount]], )</f>
        <v>0</v>
      </c>
      <c r="L494" s="243">
        <f>IF(Table33[[#This Row],[Category]]="Sponsorships",Table33[[#This Row],[Account Deposit Amount]]-Table33[[#This Row],[Account Withdrawl Amount]], )</f>
        <v>0</v>
      </c>
      <c r="M494" s="243">
        <f>IF(Table33[[#This Row],[Category]]="Troop Dues",Table33[[#This Row],[Account Deposit Amount]]-Table33[[#This Row],[Account Withdrawl Amount]], )</f>
        <v>0</v>
      </c>
      <c r="N494" s="243">
        <f>IF(Table33[[#This Row],[Category]]="Other Income",Table33[[#This Row],[Account Deposit Amount]]-Table33[[#This Row],[Account Withdrawl Amount]], )</f>
        <v>0</v>
      </c>
      <c r="O494" s="243">
        <f>IF(Table33[[#This Row],[Category]]="Registration",Table33[[#This Row],[Account Deposit Amount]]-Table33[[#This Row],[Account Withdrawl Amount]], )</f>
        <v>0</v>
      </c>
      <c r="P494" s="243">
        <f>IF(Table33[[#This Row],[Category]]="Insignia",Table33[[#This Row],[Account Deposit Amount]]-Table33[[#This Row],[Account Withdrawl Amount]], )</f>
        <v>0</v>
      </c>
      <c r="Q494" s="243">
        <f>IF(Table33[[#This Row],[Category]]="Activities/Program",Table33[[#This Row],[Account Deposit Amount]]-Table33[[#This Row],[Account Withdrawl Amount]], )</f>
        <v>0</v>
      </c>
      <c r="R494" s="243">
        <f>IF(Table33[[#This Row],[Category]]="Travel",Table33[[#This Row],[Account Deposit Amount]]-Table33[[#This Row],[Account Withdrawl Amount]], )</f>
        <v>0</v>
      </c>
      <c r="S494" s="243">
        <f>IF(Table33[[#This Row],[Category]]="Parties Food &amp; Beverages",Table33[[#This Row],[Account Deposit Amount]]-Table33[[#This Row],[Account Withdrawl Amount]], )</f>
        <v>0</v>
      </c>
      <c r="T494" s="243">
        <f>IF(Table33[[#This Row],[Category]]="Service Projects Donation",Table33[[#This Row],[Account Deposit Amount]]-Table33[[#This Row],[Account Withdrawl Amount]], )</f>
        <v>0</v>
      </c>
      <c r="U494" s="243">
        <f>IF(Table33[[#This Row],[Category]]="Cookie Debt",Table33[[#This Row],[Account Deposit Amount]]-Table33[[#This Row],[Account Withdrawl Amount]], )</f>
        <v>0</v>
      </c>
      <c r="V494" s="243">
        <f>IF(Table33[[#This Row],[Category]]="Other Expense",Table33[[#This Row],[Account Deposit Amount]]-Table33[[#This Row],[Account Withdrawl Amount]], )</f>
        <v>0</v>
      </c>
    </row>
    <row r="495" spans="1:22">
      <c r="A495" s="225"/>
      <c r="B495" s="241"/>
      <c r="C495" s="225"/>
      <c r="D495" s="225"/>
      <c r="E495" s="242"/>
      <c r="F495" s="242"/>
      <c r="G495" s="243">
        <f t="shared" si="11"/>
        <v>0</v>
      </c>
      <c r="H495" s="225"/>
      <c r="I495" s="243">
        <f>IF(Table33[[#This Row],[Category]]="Fall Product",Table33[[#This Row],[Account Deposit Amount]]-Table33[[#This Row],[Account Withdrawl Amount]], )</f>
        <v>0</v>
      </c>
      <c r="J495" s="243">
        <f>IF(Table33[[#This Row],[Category]]="Cookies",Table33[[#This Row],[Account Deposit Amount]]-Table33[[#This Row],[Account Withdrawl Amount]], )</f>
        <v>0</v>
      </c>
      <c r="K495" s="243">
        <f>IF(Table33[[#This Row],[Category]]="Additional Money Earning Activities",Table33[[#This Row],[Account Deposit Amount]]-Table33[[#This Row],[Account Withdrawl Amount]], )</f>
        <v>0</v>
      </c>
      <c r="L495" s="243">
        <f>IF(Table33[[#This Row],[Category]]="Sponsorships",Table33[[#This Row],[Account Deposit Amount]]-Table33[[#This Row],[Account Withdrawl Amount]], )</f>
        <v>0</v>
      </c>
      <c r="M495" s="243">
        <f>IF(Table33[[#This Row],[Category]]="Troop Dues",Table33[[#This Row],[Account Deposit Amount]]-Table33[[#This Row],[Account Withdrawl Amount]], )</f>
        <v>0</v>
      </c>
      <c r="N495" s="243">
        <f>IF(Table33[[#This Row],[Category]]="Other Income",Table33[[#This Row],[Account Deposit Amount]]-Table33[[#This Row],[Account Withdrawl Amount]], )</f>
        <v>0</v>
      </c>
      <c r="O495" s="243">
        <f>IF(Table33[[#This Row],[Category]]="Registration",Table33[[#This Row],[Account Deposit Amount]]-Table33[[#This Row],[Account Withdrawl Amount]], )</f>
        <v>0</v>
      </c>
      <c r="P495" s="243">
        <f>IF(Table33[[#This Row],[Category]]="Insignia",Table33[[#This Row],[Account Deposit Amount]]-Table33[[#This Row],[Account Withdrawl Amount]], )</f>
        <v>0</v>
      </c>
      <c r="Q495" s="243">
        <f>IF(Table33[[#This Row],[Category]]="Activities/Program",Table33[[#This Row],[Account Deposit Amount]]-Table33[[#This Row],[Account Withdrawl Amount]], )</f>
        <v>0</v>
      </c>
      <c r="R495" s="243">
        <f>IF(Table33[[#This Row],[Category]]="Travel",Table33[[#This Row],[Account Deposit Amount]]-Table33[[#This Row],[Account Withdrawl Amount]], )</f>
        <v>0</v>
      </c>
      <c r="S495" s="243">
        <f>IF(Table33[[#This Row],[Category]]="Parties Food &amp; Beverages",Table33[[#This Row],[Account Deposit Amount]]-Table33[[#This Row],[Account Withdrawl Amount]], )</f>
        <v>0</v>
      </c>
      <c r="T495" s="243">
        <f>IF(Table33[[#This Row],[Category]]="Service Projects Donation",Table33[[#This Row],[Account Deposit Amount]]-Table33[[#This Row],[Account Withdrawl Amount]], )</f>
        <v>0</v>
      </c>
      <c r="U495" s="243">
        <f>IF(Table33[[#This Row],[Category]]="Cookie Debt",Table33[[#This Row],[Account Deposit Amount]]-Table33[[#This Row],[Account Withdrawl Amount]], )</f>
        <v>0</v>
      </c>
      <c r="V495" s="243">
        <f>IF(Table33[[#This Row],[Category]]="Other Expense",Table33[[#This Row],[Account Deposit Amount]]-Table33[[#This Row],[Account Withdrawl Amount]], )</f>
        <v>0</v>
      </c>
    </row>
    <row r="496" spans="1:22">
      <c r="A496" s="225"/>
      <c r="B496" s="241"/>
      <c r="C496" s="225"/>
      <c r="D496" s="225"/>
      <c r="E496" s="242"/>
      <c r="F496" s="242"/>
      <c r="G496" s="243">
        <f t="shared" si="11"/>
        <v>0</v>
      </c>
      <c r="H496" s="225"/>
      <c r="I496" s="243">
        <f>IF(Table33[[#This Row],[Category]]="Fall Product",Table33[[#This Row],[Account Deposit Amount]]-Table33[[#This Row],[Account Withdrawl Amount]], )</f>
        <v>0</v>
      </c>
      <c r="J496" s="243">
        <f>IF(Table33[[#This Row],[Category]]="Cookies",Table33[[#This Row],[Account Deposit Amount]]-Table33[[#This Row],[Account Withdrawl Amount]], )</f>
        <v>0</v>
      </c>
      <c r="K496" s="243">
        <f>IF(Table33[[#This Row],[Category]]="Additional Money Earning Activities",Table33[[#This Row],[Account Deposit Amount]]-Table33[[#This Row],[Account Withdrawl Amount]], )</f>
        <v>0</v>
      </c>
      <c r="L496" s="243">
        <f>IF(Table33[[#This Row],[Category]]="Sponsorships",Table33[[#This Row],[Account Deposit Amount]]-Table33[[#This Row],[Account Withdrawl Amount]], )</f>
        <v>0</v>
      </c>
      <c r="M496" s="243">
        <f>IF(Table33[[#This Row],[Category]]="Troop Dues",Table33[[#This Row],[Account Deposit Amount]]-Table33[[#This Row],[Account Withdrawl Amount]], )</f>
        <v>0</v>
      </c>
      <c r="N496" s="243">
        <f>IF(Table33[[#This Row],[Category]]="Other Income",Table33[[#This Row],[Account Deposit Amount]]-Table33[[#This Row],[Account Withdrawl Amount]], )</f>
        <v>0</v>
      </c>
      <c r="O496" s="243">
        <f>IF(Table33[[#This Row],[Category]]="Registration",Table33[[#This Row],[Account Deposit Amount]]-Table33[[#This Row],[Account Withdrawl Amount]], )</f>
        <v>0</v>
      </c>
      <c r="P496" s="243">
        <f>IF(Table33[[#This Row],[Category]]="Insignia",Table33[[#This Row],[Account Deposit Amount]]-Table33[[#This Row],[Account Withdrawl Amount]], )</f>
        <v>0</v>
      </c>
      <c r="Q496" s="243">
        <f>IF(Table33[[#This Row],[Category]]="Activities/Program",Table33[[#This Row],[Account Deposit Amount]]-Table33[[#This Row],[Account Withdrawl Amount]], )</f>
        <v>0</v>
      </c>
      <c r="R496" s="243">
        <f>IF(Table33[[#This Row],[Category]]="Travel",Table33[[#This Row],[Account Deposit Amount]]-Table33[[#This Row],[Account Withdrawl Amount]], )</f>
        <v>0</v>
      </c>
      <c r="S496" s="243">
        <f>IF(Table33[[#This Row],[Category]]="Parties Food &amp; Beverages",Table33[[#This Row],[Account Deposit Amount]]-Table33[[#This Row],[Account Withdrawl Amount]], )</f>
        <v>0</v>
      </c>
      <c r="T496" s="243">
        <f>IF(Table33[[#This Row],[Category]]="Service Projects Donation",Table33[[#This Row],[Account Deposit Amount]]-Table33[[#This Row],[Account Withdrawl Amount]], )</f>
        <v>0</v>
      </c>
      <c r="U496" s="243">
        <f>IF(Table33[[#This Row],[Category]]="Cookie Debt",Table33[[#This Row],[Account Deposit Amount]]-Table33[[#This Row],[Account Withdrawl Amount]], )</f>
        <v>0</v>
      </c>
      <c r="V496" s="243">
        <f>IF(Table33[[#This Row],[Category]]="Other Expense",Table33[[#This Row],[Account Deposit Amount]]-Table33[[#This Row],[Account Withdrawl Amount]], )</f>
        <v>0</v>
      </c>
    </row>
    <row r="497" spans="1:22">
      <c r="A497" s="225"/>
      <c r="B497" s="241"/>
      <c r="C497" s="225"/>
      <c r="D497" s="225"/>
      <c r="E497" s="242"/>
      <c r="F497" s="242"/>
      <c r="G497" s="243">
        <f t="shared" si="11"/>
        <v>0</v>
      </c>
      <c r="H497" s="225"/>
      <c r="I497" s="243">
        <f>IF(Table33[[#This Row],[Category]]="Fall Product",Table33[[#This Row],[Account Deposit Amount]]-Table33[[#This Row],[Account Withdrawl Amount]], )</f>
        <v>0</v>
      </c>
      <c r="J497" s="243">
        <f>IF(Table33[[#This Row],[Category]]="Cookies",Table33[[#This Row],[Account Deposit Amount]]-Table33[[#This Row],[Account Withdrawl Amount]], )</f>
        <v>0</v>
      </c>
      <c r="K497" s="243">
        <f>IF(Table33[[#This Row],[Category]]="Additional Money Earning Activities",Table33[[#This Row],[Account Deposit Amount]]-Table33[[#This Row],[Account Withdrawl Amount]], )</f>
        <v>0</v>
      </c>
      <c r="L497" s="243">
        <f>IF(Table33[[#This Row],[Category]]="Sponsorships",Table33[[#This Row],[Account Deposit Amount]]-Table33[[#This Row],[Account Withdrawl Amount]], )</f>
        <v>0</v>
      </c>
      <c r="M497" s="243">
        <f>IF(Table33[[#This Row],[Category]]="Troop Dues",Table33[[#This Row],[Account Deposit Amount]]-Table33[[#This Row],[Account Withdrawl Amount]], )</f>
        <v>0</v>
      </c>
      <c r="N497" s="243">
        <f>IF(Table33[[#This Row],[Category]]="Other Income",Table33[[#This Row],[Account Deposit Amount]]-Table33[[#This Row],[Account Withdrawl Amount]], )</f>
        <v>0</v>
      </c>
      <c r="O497" s="243">
        <f>IF(Table33[[#This Row],[Category]]="Registration",Table33[[#This Row],[Account Deposit Amount]]-Table33[[#This Row],[Account Withdrawl Amount]], )</f>
        <v>0</v>
      </c>
      <c r="P497" s="243">
        <f>IF(Table33[[#This Row],[Category]]="Insignia",Table33[[#This Row],[Account Deposit Amount]]-Table33[[#This Row],[Account Withdrawl Amount]], )</f>
        <v>0</v>
      </c>
      <c r="Q497" s="243">
        <f>IF(Table33[[#This Row],[Category]]="Activities/Program",Table33[[#This Row],[Account Deposit Amount]]-Table33[[#This Row],[Account Withdrawl Amount]], )</f>
        <v>0</v>
      </c>
      <c r="R497" s="243">
        <f>IF(Table33[[#This Row],[Category]]="Travel",Table33[[#This Row],[Account Deposit Amount]]-Table33[[#This Row],[Account Withdrawl Amount]], )</f>
        <v>0</v>
      </c>
      <c r="S497" s="243">
        <f>IF(Table33[[#This Row],[Category]]="Parties Food &amp; Beverages",Table33[[#This Row],[Account Deposit Amount]]-Table33[[#This Row],[Account Withdrawl Amount]], )</f>
        <v>0</v>
      </c>
      <c r="T497" s="243">
        <f>IF(Table33[[#This Row],[Category]]="Service Projects Donation",Table33[[#This Row],[Account Deposit Amount]]-Table33[[#This Row],[Account Withdrawl Amount]], )</f>
        <v>0</v>
      </c>
      <c r="U497" s="243">
        <f>IF(Table33[[#This Row],[Category]]="Cookie Debt",Table33[[#This Row],[Account Deposit Amount]]-Table33[[#This Row],[Account Withdrawl Amount]], )</f>
        <v>0</v>
      </c>
      <c r="V497" s="243">
        <f>IF(Table33[[#This Row],[Category]]="Other Expense",Table33[[#This Row],[Account Deposit Amount]]-Table33[[#This Row],[Account Withdrawl Amount]], )</f>
        <v>0</v>
      </c>
    </row>
    <row r="498" spans="1:22">
      <c r="A498" s="225"/>
      <c r="B498" s="241"/>
      <c r="C498" s="225"/>
      <c r="D498" s="225"/>
      <c r="E498" s="242"/>
      <c r="F498" s="242"/>
      <c r="G498" s="243">
        <f t="shared" si="11"/>
        <v>0</v>
      </c>
      <c r="H498" s="225"/>
      <c r="I498" s="243">
        <f>IF(Table33[[#This Row],[Category]]="Fall Product",Table33[[#This Row],[Account Deposit Amount]]-Table33[[#This Row],[Account Withdrawl Amount]], )</f>
        <v>0</v>
      </c>
      <c r="J498" s="243">
        <f>IF(Table33[[#This Row],[Category]]="Cookies",Table33[[#This Row],[Account Deposit Amount]]-Table33[[#This Row],[Account Withdrawl Amount]], )</f>
        <v>0</v>
      </c>
      <c r="K498" s="243">
        <f>IF(Table33[[#This Row],[Category]]="Additional Money Earning Activities",Table33[[#This Row],[Account Deposit Amount]]-Table33[[#This Row],[Account Withdrawl Amount]], )</f>
        <v>0</v>
      </c>
      <c r="L498" s="243">
        <f>IF(Table33[[#This Row],[Category]]="Sponsorships",Table33[[#This Row],[Account Deposit Amount]]-Table33[[#This Row],[Account Withdrawl Amount]], )</f>
        <v>0</v>
      </c>
      <c r="M498" s="243">
        <f>IF(Table33[[#This Row],[Category]]="Troop Dues",Table33[[#This Row],[Account Deposit Amount]]-Table33[[#This Row],[Account Withdrawl Amount]], )</f>
        <v>0</v>
      </c>
      <c r="N498" s="243">
        <f>IF(Table33[[#This Row],[Category]]="Other Income",Table33[[#This Row],[Account Deposit Amount]]-Table33[[#This Row],[Account Withdrawl Amount]], )</f>
        <v>0</v>
      </c>
      <c r="O498" s="243">
        <f>IF(Table33[[#This Row],[Category]]="Registration",Table33[[#This Row],[Account Deposit Amount]]-Table33[[#This Row],[Account Withdrawl Amount]], )</f>
        <v>0</v>
      </c>
      <c r="P498" s="243">
        <f>IF(Table33[[#This Row],[Category]]="Insignia",Table33[[#This Row],[Account Deposit Amount]]-Table33[[#This Row],[Account Withdrawl Amount]], )</f>
        <v>0</v>
      </c>
      <c r="Q498" s="243">
        <f>IF(Table33[[#This Row],[Category]]="Activities/Program",Table33[[#This Row],[Account Deposit Amount]]-Table33[[#This Row],[Account Withdrawl Amount]], )</f>
        <v>0</v>
      </c>
      <c r="R498" s="243">
        <f>IF(Table33[[#This Row],[Category]]="Travel",Table33[[#This Row],[Account Deposit Amount]]-Table33[[#This Row],[Account Withdrawl Amount]], )</f>
        <v>0</v>
      </c>
      <c r="S498" s="243">
        <f>IF(Table33[[#This Row],[Category]]="Parties Food &amp; Beverages",Table33[[#This Row],[Account Deposit Amount]]-Table33[[#This Row],[Account Withdrawl Amount]], )</f>
        <v>0</v>
      </c>
      <c r="T498" s="243">
        <f>IF(Table33[[#This Row],[Category]]="Service Projects Donation",Table33[[#This Row],[Account Deposit Amount]]-Table33[[#This Row],[Account Withdrawl Amount]], )</f>
        <v>0</v>
      </c>
      <c r="U498" s="243">
        <f>IF(Table33[[#This Row],[Category]]="Cookie Debt",Table33[[#This Row],[Account Deposit Amount]]-Table33[[#This Row],[Account Withdrawl Amount]], )</f>
        <v>0</v>
      </c>
      <c r="V498" s="243">
        <f>IF(Table33[[#This Row],[Category]]="Other Expense",Table33[[#This Row],[Account Deposit Amount]]-Table33[[#This Row],[Account Withdrawl Amount]], )</f>
        <v>0</v>
      </c>
    </row>
    <row r="499" spans="1:22">
      <c r="A499" s="225"/>
      <c r="B499" s="241"/>
      <c r="C499" s="225"/>
      <c r="D499" s="225"/>
      <c r="E499" s="242"/>
      <c r="F499" s="242"/>
      <c r="G499" s="243">
        <f t="shared" si="11"/>
        <v>0</v>
      </c>
      <c r="H499" s="225"/>
      <c r="I499" s="243">
        <f>IF(Table33[[#This Row],[Category]]="Fall Product",Table33[[#This Row],[Account Deposit Amount]]-Table33[[#This Row],[Account Withdrawl Amount]], )</f>
        <v>0</v>
      </c>
      <c r="J499" s="243">
        <f>IF(Table33[[#This Row],[Category]]="Cookies",Table33[[#This Row],[Account Deposit Amount]]-Table33[[#This Row],[Account Withdrawl Amount]], )</f>
        <v>0</v>
      </c>
      <c r="K499" s="243">
        <f>IF(Table33[[#This Row],[Category]]="Additional Money Earning Activities",Table33[[#This Row],[Account Deposit Amount]]-Table33[[#This Row],[Account Withdrawl Amount]], )</f>
        <v>0</v>
      </c>
      <c r="L499" s="243">
        <f>IF(Table33[[#This Row],[Category]]="Sponsorships",Table33[[#This Row],[Account Deposit Amount]]-Table33[[#This Row],[Account Withdrawl Amount]], )</f>
        <v>0</v>
      </c>
      <c r="M499" s="243">
        <f>IF(Table33[[#This Row],[Category]]="Troop Dues",Table33[[#This Row],[Account Deposit Amount]]-Table33[[#This Row],[Account Withdrawl Amount]], )</f>
        <v>0</v>
      </c>
      <c r="N499" s="243">
        <f>IF(Table33[[#This Row],[Category]]="Other Income",Table33[[#This Row],[Account Deposit Amount]]-Table33[[#This Row],[Account Withdrawl Amount]], )</f>
        <v>0</v>
      </c>
      <c r="O499" s="243">
        <f>IF(Table33[[#This Row],[Category]]="Registration",Table33[[#This Row],[Account Deposit Amount]]-Table33[[#This Row],[Account Withdrawl Amount]], )</f>
        <v>0</v>
      </c>
      <c r="P499" s="243">
        <f>IF(Table33[[#This Row],[Category]]="Insignia",Table33[[#This Row],[Account Deposit Amount]]-Table33[[#This Row],[Account Withdrawl Amount]], )</f>
        <v>0</v>
      </c>
      <c r="Q499" s="243">
        <f>IF(Table33[[#This Row],[Category]]="Activities/Program",Table33[[#This Row],[Account Deposit Amount]]-Table33[[#This Row],[Account Withdrawl Amount]], )</f>
        <v>0</v>
      </c>
      <c r="R499" s="243">
        <f>IF(Table33[[#This Row],[Category]]="Travel",Table33[[#This Row],[Account Deposit Amount]]-Table33[[#This Row],[Account Withdrawl Amount]], )</f>
        <v>0</v>
      </c>
      <c r="S499" s="243">
        <f>IF(Table33[[#This Row],[Category]]="Parties Food &amp; Beverages",Table33[[#This Row],[Account Deposit Amount]]-Table33[[#This Row],[Account Withdrawl Amount]], )</f>
        <v>0</v>
      </c>
      <c r="T499" s="243">
        <f>IF(Table33[[#This Row],[Category]]="Service Projects Donation",Table33[[#This Row],[Account Deposit Amount]]-Table33[[#This Row],[Account Withdrawl Amount]], )</f>
        <v>0</v>
      </c>
      <c r="U499" s="243">
        <f>IF(Table33[[#This Row],[Category]]="Cookie Debt",Table33[[#This Row],[Account Deposit Amount]]-Table33[[#This Row],[Account Withdrawl Amount]], )</f>
        <v>0</v>
      </c>
      <c r="V499" s="243">
        <f>IF(Table33[[#This Row],[Category]]="Other Expense",Table33[[#This Row],[Account Deposit Amount]]-Table33[[#This Row],[Account Withdrawl Amount]], )</f>
        <v>0</v>
      </c>
    </row>
    <row r="500" spans="1:22">
      <c r="A500" s="225"/>
      <c r="B500" s="241"/>
      <c r="C500" s="225"/>
      <c r="D500" s="225"/>
      <c r="E500" s="242"/>
      <c r="F500" s="242"/>
      <c r="G500" s="243">
        <f t="shared" si="11"/>
        <v>0</v>
      </c>
      <c r="H500" s="225"/>
      <c r="I500" s="243">
        <f>IF(Table33[[#This Row],[Category]]="Fall Product",Table33[[#This Row],[Account Deposit Amount]]-Table33[[#This Row],[Account Withdrawl Amount]], )</f>
        <v>0</v>
      </c>
      <c r="J500" s="243">
        <f>IF(Table33[[#This Row],[Category]]="Cookies",Table33[[#This Row],[Account Deposit Amount]]-Table33[[#This Row],[Account Withdrawl Amount]], )</f>
        <v>0</v>
      </c>
      <c r="K500" s="243">
        <f>IF(Table33[[#This Row],[Category]]="Additional Money Earning Activities",Table33[[#This Row],[Account Deposit Amount]]-Table33[[#This Row],[Account Withdrawl Amount]], )</f>
        <v>0</v>
      </c>
      <c r="L500" s="243">
        <f>IF(Table33[[#This Row],[Category]]="Sponsorships",Table33[[#This Row],[Account Deposit Amount]]-Table33[[#This Row],[Account Withdrawl Amount]], )</f>
        <v>0</v>
      </c>
      <c r="M500" s="243">
        <f>IF(Table33[[#This Row],[Category]]="Troop Dues",Table33[[#This Row],[Account Deposit Amount]]-Table33[[#This Row],[Account Withdrawl Amount]], )</f>
        <v>0</v>
      </c>
      <c r="N500" s="243">
        <f>IF(Table33[[#This Row],[Category]]="Other Income",Table33[[#This Row],[Account Deposit Amount]]-Table33[[#This Row],[Account Withdrawl Amount]], )</f>
        <v>0</v>
      </c>
      <c r="O500" s="243">
        <f>IF(Table33[[#This Row],[Category]]="Registration",Table33[[#This Row],[Account Deposit Amount]]-Table33[[#This Row],[Account Withdrawl Amount]], )</f>
        <v>0</v>
      </c>
      <c r="P500" s="243">
        <f>IF(Table33[[#This Row],[Category]]="Insignia",Table33[[#This Row],[Account Deposit Amount]]-Table33[[#This Row],[Account Withdrawl Amount]], )</f>
        <v>0</v>
      </c>
      <c r="Q500" s="243">
        <f>IF(Table33[[#This Row],[Category]]="Activities/Program",Table33[[#This Row],[Account Deposit Amount]]-Table33[[#This Row],[Account Withdrawl Amount]], )</f>
        <v>0</v>
      </c>
      <c r="R500" s="243">
        <f>IF(Table33[[#This Row],[Category]]="Travel",Table33[[#This Row],[Account Deposit Amount]]-Table33[[#This Row],[Account Withdrawl Amount]], )</f>
        <v>0</v>
      </c>
      <c r="S500" s="243">
        <f>IF(Table33[[#This Row],[Category]]="Parties Food &amp; Beverages",Table33[[#This Row],[Account Deposit Amount]]-Table33[[#This Row],[Account Withdrawl Amount]], )</f>
        <v>0</v>
      </c>
      <c r="T500" s="243">
        <f>IF(Table33[[#This Row],[Category]]="Service Projects Donation",Table33[[#This Row],[Account Deposit Amount]]-Table33[[#This Row],[Account Withdrawl Amount]], )</f>
        <v>0</v>
      </c>
      <c r="U500" s="243">
        <f>IF(Table33[[#This Row],[Category]]="Cookie Debt",Table33[[#This Row],[Account Deposit Amount]]-Table33[[#This Row],[Account Withdrawl Amount]], )</f>
        <v>0</v>
      </c>
      <c r="V500" s="243">
        <f>IF(Table33[[#This Row],[Category]]="Other Expense",Table33[[#This Row],[Account Deposit Amount]]-Table33[[#This Row],[Account Withdrawl Amount]], )</f>
        <v>0</v>
      </c>
    </row>
  </sheetData>
  <sheetProtection algorithmName="SHA-512" hashValue="O4RHIanADgyhUztBrJPm7753C8YHP68KpQfoUWRgrKXNOkef2gLVccjcp1Fqmoe0KJkPklRzCO7hOepn4dYd0A==" saltValue="yjSTQ1OXOymL1hriWerWLw==" spinCount="100000" sheet="1" formatCells="0" formatColumns="0" formatRows="0" insertColumns="0" insertRows="0" insertHyperlinks="0" selectLockedCells="1"/>
  <mergeCells count="4">
    <mergeCell ref="I1:L1"/>
    <mergeCell ref="M1:N1"/>
    <mergeCell ref="O1:T1"/>
    <mergeCell ref="U1:V1"/>
  </mergeCells>
  <dataValidations count="4">
    <dataValidation type="list" allowBlank="1" showInputMessage="1" showErrorMessage="1" prompt="Please select a category" sqref="H5:H500" xr:uid="{01CE40AB-6648-4D83-B543-593064A91986}">
      <formula1>"Fall Product, Cookies, Additional Money Earning Activities, Sponsorships, Troop Dues, Other Income,  Registration, Insignia, Activities/Program, Travel, Parties Food &amp; Beverages, Service Projects Donation, Cookie Debt, Other Expense"</formula1>
    </dataValidation>
    <dataValidation type="list" allowBlank="1" showInputMessage="1" showErrorMessage="1" prompt="Please select a category" sqref="H4" xr:uid="{50C75323-DAE2-4150-8A64-BDEB682D1567}">
      <formula1>"None, Fall Product, Cookies, Additional Money Earning Activities, Sponsorships, Troop Dues, Other Income,  Registration, Insignia, Activities/Program, Travel, Parties Food &amp; Beverages, Service Projects Donation, Cookie Debt, Other Expense"</formula1>
    </dataValidation>
    <dataValidation allowBlank="1" showInputMessage="1" showErrorMessage="1" prompt="Please provide breif description of purchase; Example what activity or badge materials were for, which intent to travel is purchase associated with. If a check who it was made out to and why_x000a_" sqref="D3" xr:uid="{9C52E4C8-FDE4-46DD-B93F-704525EA3F9D}"/>
    <dataValidation allowBlank="1" showInputMessage="1" showErrorMessage="1" prompt="Whose debt card was used or who made purchase" sqref="A3" xr:uid="{3D967919-B562-45E9-8950-5CF741D8A0E2}"/>
  </dataValidation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3909E-BD0F-4A45-815B-020E4C5C3E03}">
  <dimension ref="A1:B87"/>
  <sheetViews>
    <sheetView topLeftCell="A2" workbookViewId="0">
      <selection activeCell="A2" sqref="A2:B2"/>
    </sheetView>
  </sheetViews>
  <sheetFormatPr defaultRowHeight="14.4"/>
  <cols>
    <col min="1" max="1" width="46.5546875" customWidth="1"/>
    <col min="2" max="2" width="82.6640625" customWidth="1"/>
    <col min="5" max="6" width="25.88671875" customWidth="1"/>
    <col min="7" max="8" width="10.44140625" customWidth="1"/>
    <col min="9" max="9" width="16.6640625" customWidth="1"/>
    <col min="10" max="10" width="23.5546875" bestFit="1" customWidth="1"/>
  </cols>
  <sheetData>
    <row r="1" spans="1:2" ht="51" customHeight="1">
      <c r="A1" s="291" t="s">
        <v>76</v>
      </c>
      <c r="B1" s="291"/>
    </row>
    <row r="2" spans="1:2" ht="54" customHeight="1">
      <c r="A2" s="292" t="s">
        <v>641</v>
      </c>
      <c r="B2" s="292"/>
    </row>
    <row r="3" spans="1:2">
      <c r="A3" s="266" t="s">
        <v>59</v>
      </c>
      <c r="B3" s="267" t="s">
        <v>77</v>
      </c>
    </row>
    <row r="4" spans="1:2" ht="28.8">
      <c r="A4" s="268" t="s">
        <v>78</v>
      </c>
      <c r="B4" s="268" t="s">
        <v>79</v>
      </c>
    </row>
    <row r="5" spans="1:2" ht="45">
      <c r="A5" s="269" t="s">
        <v>80</v>
      </c>
      <c r="B5" s="269" t="s">
        <v>81</v>
      </c>
    </row>
    <row r="6" spans="1:2" ht="43.2">
      <c r="A6" s="268" t="s">
        <v>82</v>
      </c>
      <c r="B6" s="270" t="s">
        <v>83</v>
      </c>
    </row>
    <row r="7" spans="1:2" ht="43.2">
      <c r="A7" s="269" t="s">
        <v>84</v>
      </c>
      <c r="B7" s="271" t="s">
        <v>85</v>
      </c>
    </row>
    <row r="8" spans="1:2" ht="28.8">
      <c r="A8" s="268" t="s">
        <v>86</v>
      </c>
      <c r="B8" s="268" t="s">
        <v>87</v>
      </c>
    </row>
    <row r="9" spans="1:2">
      <c r="A9" s="272" t="s">
        <v>88</v>
      </c>
      <c r="B9" s="272" t="s">
        <v>89</v>
      </c>
    </row>
    <row r="10" spans="1:2">
      <c r="A10" s="273"/>
      <c r="B10" s="274" t="s">
        <v>90</v>
      </c>
    </row>
    <row r="11" spans="1:2">
      <c r="A11" s="273"/>
      <c r="B11" s="274" t="s">
        <v>91</v>
      </c>
    </row>
    <row r="12" spans="1:2">
      <c r="A12" s="275"/>
      <c r="B12" s="276" t="s">
        <v>92</v>
      </c>
    </row>
    <row r="13" spans="1:2" ht="43.2">
      <c r="A13" s="268" t="s">
        <v>93</v>
      </c>
      <c r="B13" s="268" t="s">
        <v>94</v>
      </c>
    </row>
    <row r="14" spans="1:2">
      <c r="A14" s="269" t="s">
        <v>95</v>
      </c>
      <c r="B14" s="269" t="s">
        <v>96</v>
      </c>
    </row>
    <row r="15" spans="1:2" ht="43.2">
      <c r="A15" s="268" t="s">
        <v>97</v>
      </c>
      <c r="B15" s="268" t="s">
        <v>98</v>
      </c>
    </row>
    <row r="16" spans="1:2" ht="43.2">
      <c r="A16" s="269" t="s">
        <v>99</v>
      </c>
      <c r="B16" s="271" t="s">
        <v>100</v>
      </c>
    </row>
    <row r="17" spans="1:2" ht="28.8">
      <c r="A17" s="268" t="s">
        <v>101</v>
      </c>
      <c r="B17" s="268" t="s">
        <v>102</v>
      </c>
    </row>
    <row r="18" spans="1:2" ht="43.2">
      <c r="A18" s="269" t="s">
        <v>103</v>
      </c>
      <c r="B18" s="271" t="s">
        <v>104</v>
      </c>
    </row>
    <row r="19" spans="1:2" ht="43.2">
      <c r="A19" s="268" t="s">
        <v>105</v>
      </c>
      <c r="B19" s="268" t="s">
        <v>106</v>
      </c>
    </row>
    <row r="20" spans="1:2">
      <c r="A20" s="272" t="s">
        <v>107</v>
      </c>
      <c r="B20" s="272" t="s">
        <v>108</v>
      </c>
    </row>
    <row r="21" spans="1:2" ht="28.8">
      <c r="A21" s="273"/>
      <c r="B21" s="274" t="s">
        <v>109</v>
      </c>
    </row>
    <row r="22" spans="1:2" ht="28.8">
      <c r="A22" s="273"/>
      <c r="B22" s="274" t="s">
        <v>110</v>
      </c>
    </row>
    <row r="23" spans="1:2">
      <c r="A23" s="273"/>
      <c r="B23" s="274" t="s">
        <v>111</v>
      </c>
    </row>
    <row r="24" spans="1:2">
      <c r="A24" s="275"/>
      <c r="B24" s="276" t="s">
        <v>112</v>
      </c>
    </row>
    <row r="25" spans="1:2">
      <c r="A25" s="277" t="s">
        <v>113</v>
      </c>
      <c r="B25" s="278"/>
    </row>
    <row r="29" spans="1:2" ht="18">
      <c r="A29" s="279" t="s">
        <v>114</v>
      </c>
    </row>
    <row r="30" spans="1:2" ht="18">
      <c r="A30" s="280" t="s">
        <v>115</v>
      </c>
    </row>
    <row r="31" spans="1:2" ht="18">
      <c r="A31" s="279" t="s">
        <v>113</v>
      </c>
    </row>
    <row r="32" spans="1:2">
      <c r="A32" s="281" t="s">
        <v>113</v>
      </c>
    </row>
    <row r="33" spans="1:1">
      <c r="A33" s="281" t="s">
        <v>113</v>
      </c>
    </row>
    <row r="34" spans="1:1">
      <c r="A34" s="281" t="s">
        <v>113</v>
      </c>
    </row>
    <row r="35" spans="1:1">
      <c r="A35" s="281" t="s">
        <v>113</v>
      </c>
    </row>
    <row r="36" spans="1:1">
      <c r="A36" s="281" t="s">
        <v>113</v>
      </c>
    </row>
    <row r="37" spans="1:1">
      <c r="A37" s="282" t="s">
        <v>116</v>
      </c>
    </row>
    <row r="38" spans="1:1">
      <c r="A38" s="283" t="s">
        <v>117</v>
      </c>
    </row>
    <row r="39" spans="1:1">
      <c r="A39" s="282" t="s">
        <v>118</v>
      </c>
    </row>
    <row r="40" spans="1:1">
      <c r="A40" s="282" t="s">
        <v>113</v>
      </c>
    </row>
    <row r="41" spans="1:1">
      <c r="A41" s="282" t="s">
        <v>119</v>
      </c>
    </row>
    <row r="86" spans="1:1" ht="18">
      <c r="A86" s="279" t="s">
        <v>113</v>
      </c>
    </row>
    <row r="87" spans="1:1">
      <c r="A87" t="s">
        <v>113</v>
      </c>
    </row>
  </sheetData>
  <mergeCells count="2">
    <mergeCell ref="A1:B1"/>
    <mergeCell ref="A2:B2"/>
  </mergeCells>
  <hyperlinks>
    <hyperlink ref="B6" r:id="rId1" xr:uid="{8811FE08-2A4C-4A95-8AB4-01462BD57713}"/>
    <hyperlink ref="B7" r:id="rId2" display="This is for money that is donated to the troop from parents, New Troop Start up funds from Council, grants from organizations and deposited in troop account.  If sponsorship is over $250 then funds must go through Council first- see Donation to Troop form." xr:uid="{043821CE-3ACB-4071-B118-B5C2157D9F08}"/>
    <hyperlink ref="B16" r:id="rId3" display="Costs associated with Travel/overnight  event that require Traveling with Your Girl Scout to be submitted. Example Gas to transport troop for travel, Airline tickets, hotel costs, insurance, car rental,  Special event/activity cost  or eating out associated with travel event," xr:uid="{A8B9F49A-7B91-4DB0-AFF6-2B61130E0E24}"/>
    <hyperlink ref="B18" r:id="rId4" xr:uid="{15ACEFB2-521F-4F01-98F6-6BBE5B292CDA}"/>
  </hyperlinks>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DA5D2-DE11-4749-8888-B3A8A6DC421B}">
  <dimension ref="B1:Z58"/>
  <sheetViews>
    <sheetView topLeftCell="A4" zoomScaleNormal="100" workbookViewId="0">
      <selection activeCell="I4" sqref="I4"/>
    </sheetView>
  </sheetViews>
  <sheetFormatPr defaultColWidth="8.88671875" defaultRowHeight="14.4"/>
  <cols>
    <col min="1" max="1" width="3.5546875" style="41" customWidth="1"/>
    <col min="2" max="2" width="15.33203125" customWidth="1"/>
    <col min="3" max="3" width="2.5546875" customWidth="1"/>
    <col min="4" max="4" width="16.5546875" customWidth="1"/>
    <col min="5" max="5" width="20.6640625" customWidth="1"/>
    <col min="6" max="6" width="13.88671875" customWidth="1"/>
    <col min="7" max="7" width="19.109375" customWidth="1"/>
    <col min="8" max="8" width="19.6640625" customWidth="1"/>
    <col min="9" max="9" width="30" style="41" customWidth="1"/>
    <col min="10" max="25" width="8.88671875" style="41"/>
    <col min="26" max="26" width="21.109375" style="41" bestFit="1" customWidth="1"/>
    <col min="27" max="16384" width="8.88671875" style="41"/>
  </cols>
  <sheetData>
    <row r="1" spans="2:26" ht="26.4" customHeight="1">
      <c r="B1" s="293" t="s">
        <v>120</v>
      </c>
      <c r="C1" s="293"/>
      <c r="D1" s="293"/>
      <c r="E1" s="293"/>
      <c r="F1" s="293"/>
      <c r="G1" s="293"/>
      <c r="H1" s="189" t="s">
        <v>121</v>
      </c>
    </row>
    <row r="2" spans="2:26" ht="45.6" customHeight="1" thickBot="1">
      <c r="B2" s="305" t="s">
        <v>122</v>
      </c>
      <c r="C2" s="305"/>
      <c r="D2" s="305"/>
      <c r="E2" s="305"/>
      <c r="F2" s="305"/>
      <c r="G2" s="305"/>
      <c r="H2" s="305"/>
    </row>
    <row r="3" spans="2:26">
      <c r="B3" s="48"/>
      <c r="C3" s="49"/>
      <c r="D3" s="49" t="s">
        <v>123</v>
      </c>
      <c r="E3" s="49"/>
      <c r="F3" s="190">
        <f>BankTransactions25!G4</f>
        <v>0</v>
      </c>
      <c r="G3" s="188"/>
      <c r="H3" s="51"/>
    </row>
    <row r="4" spans="2:26" ht="15" thickBot="1">
      <c r="B4" s="52"/>
      <c r="C4" s="53"/>
      <c r="D4" s="53" t="s">
        <v>124</v>
      </c>
      <c r="E4" s="53"/>
      <c r="F4" s="191">
        <f>BankTransactions25!G2</f>
        <v>0</v>
      </c>
      <c r="G4" s="53"/>
      <c r="H4" s="54"/>
    </row>
    <row r="5" spans="2:26" ht="15" thickBot="1">
      <c r="B5" s="52"/>
      <c r="C5" s="53"/>
      <c r="D5" s="55" t="s">
        <v>125</v>
      </c>
      <c r="E5" s="95"/>
      <c r="F5" s="98">
        <v>0</v>
      </c>
      <c r="G5" s="96"/>
      <c r="H5" s="54"/>
    </row>
    <row r="6" spans="2:26" ht="15" thickBot="1">
      <c r="B6" s="52"/>
      <c r="C6" s="53"/>
      <c r="D6" s="55" t="s">
        <v>126</v>
      </c>
      <c r="E6" s="95"/>
      <c r="F6" s="98">
        <v>0</v>
      </c>
      <c r="G6" s="96"/>
      <c r="H6" s="54"/>
    </row>
    <row r="7" spans="2:26" ht="15.6">
      <c r="B7" s="52"/>
      <c r="C7" s="53"/>
      <c r="D7" s="56"/>
      <c r="E7" s="53"/>
      <c r="F7" s="99"/>
      <c r="G7" s="53"/>
      <c r="H7" s="54"/>
    </row>
    <row r="8" spans="2:26" ht="40.799999999999997">
      <c r="B8" s="52"/>
      <c r="C8" s="53"/>
      <c r="D8" s="58" t="s">
        <v>127</v>
      </c>
      <c r="E8" s="195"/>
      <c r="F8" s="309" t="s">
        <v>128</v>
      </c>
      <c r="G8" s="310"/>
      <c r="H8" s="54"/>
    </row>
    <row r="9" spans="2:26" ht="30" customHeight="1">
      <c r="B9" s="306" t="s">
        <v>129</v>
      </c>
      <c r="C9" s="307"/>
      <c r="D9" s="192">
        <f>BankTransactions25!I2</f>
        <v>0</v>
      </c>
      <c r="E9" s="196" t="s">
        <v>78</v>
      </c>
      <c r="F9" s="193">
        <f>ROUND(F5,2)</f>
        <v>0</v>
      </c>
      <c r="G9" s="197" t="s">
        <v>130</v>
      </c>
      <c r="H9" s="54"/>
    </row>
    <row r="10" spans="2:26" ht="30" customHeight="1">
      <c r="B10" s="306" t="s">
        <v>131</v>
      </c>
      <c r="C10" s="307"/>
      <c r="D10" s="192">
        <f>BankTransactions25!J2</f>
        <v>0</v>
      </c>
      <c r="E10" s="196" t="s">
        <v>132</v>
      </c>
      <c r="F10" s="193">
        <f>ROUND(F6,2)</f>
        <v>0</v>
      </c>
      <c r="G10" s="197" t="s">
        <v>133</v>
      </c>
      <c r="H10" s="54"/>
    </row>
    <row r="11" spans="2:26" ht="24.6" thickBot="1">
      <c r="B11" s="52"/>
      <c r="C11" s="53"/>
      <c r="D11" s="192">
        <f>BankTransactions25!K2</f>
        <v>0</v>
      </c>
      <c r="E11" s="196" t="s">
        <v>62</v>
      </c>
      <c r="F11" s="193">
        <f>D11</f>
        <v>0</v>
      </c>
      <c r="G11" s="91"/>
      <c r="H11" s="92"/>
      <c r="Z11" s="41" t="s">
        <v>134</v>
      </c>
    </row>
    <row r="12" spans="2:26" ht="15" thickBot="1">
      <c r="B12" s="52"/>
      <c r="C12" s="53"/>
      <c r="D12" s="192">
        <f>BankTransactions25!L2</f>
        <v>0</v>
      </c>
      <c r="E12" s="196" t="s">
        <v>63</v>
      </c>
      <c r="F12" s="194">
        <f>D12</f>
        <v>0</v>
      </c>
      <c r="G12" s="296" t="s">
        <v>135</v>
      </c>
      <c r="H12" s="297"/>
    </row>
    <row r="13" spans="2:26" ht="31.5" customHeight="1">
      <c r="B13" s="52"/>
      <c r="C13" s="53"/>
      <c r="D13" s="192">
        <f>BankTransactions25!M2</f>
        <v>0</v>
      </c>
      <c r="E13" s="196" t="s">
        <v>64</v>
      </c>
      <c r="F13" s="194">
        <f>D13</f>
        <v>0</v>
      </c>
      <c r="G13" s="300" t="str">
        <f>IF($D$9&gt;$F$9, "Extra money deposited for Fall Product $"&amp; ROUND($D$9-$F$9, 2), "No Extra money deposited for Fall Product" )</f>
        <v>No Extra money deposited for Fall Product</v>
      </c>
      <c r="H13" s="301"/>
    </row>
    <row r="14" spans="2:26" ht="31.5" customHeight="1" thickBot="1">
      <c r="B14" s="52"/>
      <c r="C14" s="53"/>
      <c r="D14" s="192">
        <f>BankTransactions25!N2</f>
        <v>0</v>
      </c>
      <c r="E14" s="196" t="s">
        <v>65</v>
      </c>
      <c r="F14" s="194">
        <f>D14+IF(D10&gt;F10, D10-F10, 0)+IF(D9&gt;F9, D9-F9, 0)</f>
        <v>0</v>
      </c>
      <c r="G14" s="302" t="str">
        <f>IF($D$10&gt;$F$10,"Extra money after proceeds deposited for cookies $"&amp;ROUND($D$10-$F$10,2),"No Extra money deposited for cookies. ")</f>
        <v xml:space="preserve">No Extra money deposited for cookies. </v>
      </c>
      <c r="H14" s="303"/>
    </row>
    <row r="15" spans="2:26">
      <c r="B15" s="52"/>
      <c r="C15" s="53"/>
      <c r="D15" s="53"/>
      <c r="E15" s="93"/>
      <c r="F15" s="60"/>
      <c r="G15" s="93"/>
      <c r="H15" s="94"/>
    </row>
    <row r="16" spans="2:26">
      <c r="B16" s="52"/>
      <c r="C16" s="53"/>
      <c r="D16" s="59">
        <f>BankTransactions25!O2</f>
        <v>0</v>
      </c>
      <c r="E16" s="196" t="s">
        <v>66</v>
      </c>
      <c r="F16" s="60">
        <f t="shared" ref="F16:F21" si="0">-D16</f>
        <v>0</v>
      </c>
      <c r="G16" s="53"/>
      <c r="H16" s="54"/>
    </row>
    <row r="17" spans="2:8">
      <c r="B17" s="52"/>
      <c r="C17" s="53"/>
      <c r="D17" s="59">
        <f>BankTransactions25!P2</f>
        <v>0</v>
      </c>
      <c r="E17" s="196" t="s">
        <v>67</v>
      </c>
      <c r="F17" s="60">
        <f t="shared" si="0"/>
        <v>0</v>
      </c>
      <c r="G17" s="53"/>
      <c r="H17" s="54"/>
    </row>
    <row r="18" spans="2:8">
      <c r="B18" s="52"/>
      <c r="C18" s="53"/>
      <c r="D18" s="59">
        <f>BankTransactions25!Q2</f>
        <v>0</v>
      </c>
      <c r="E18" s="196" t="s">
        <v>136</v>
      </c>
      <c r="F18" s="60">
        <f t="shared" si="0"/>
        <v>0</v>
      </c>
      <c r="G18" s="53"/>
      <c r="H18" s="54"/>
    </row>
    <row r="19" spans="2:8">
      <c r="B19" s="52"/>
      <c r="C19" s="53"/>
      <c r="D19" s="59">
        <f>BankTransactions25!R2</f>
        <v>0</v>
      </c>
      <c r="E19" s="196" t="s">
        <v>69</v>
      </c>
      <c r="F19" s="60">
        <f t="shared" si="0"/>
        <v>0</v>
      </c>
      <c r="G19" s="53"/>
      <c r="H19" s="54"/>
    </row>
    <row r="20" spans="2:8" ht="15" thickBot="1">
      <c r="B20" s="52"/>
      <c r="C20" s="53"/>
      <c r="D20" s="59">
        <f>BankTransactions25!S2</f>
        <v>0</v>
      </c>
      <c r="E20" s="196" t="s">
        <v>137</v>
      </c>
      <c r="F20" s="60">
        <f t="shared" si="0"/>
        <v>0</v>
      </c>
      <c r="G20" s="91"/>
      <c r="H20" s="92"/>
    </row>
    <row r="21" spans="2:8" ht="24.6" thickBot="1">
      <c r="B21" s="52"/>
      <c r="C21" s="53"/>
      <c r="D21" s="59">
        <f>BankTransactions25!T2</f>
        <v>0</v>
      </c>
      <c r="E21" s="196" t="s">
        <v>71</v>
      </c>
      <c r="F21" s="90">
        <f t="shared" si="0"/>
        <v>0</v>
      </c>
      <c r="G21" s="296" t="s">
        <v>135</v>
      </c>
      <c r="H21" s="297"/>
    </row>
    <row r="22" spans="2:8" ht="45.75" customHeight="1">
      <c r="B22" s="52"/>
      <c r="C22" s="53"/>
      <c r="D22" s="59">
        <f>BankTransactions25!U2</f>
        <v>0</v>
      </c>
      <c r="E22" s="196" t="s">
        <v>138</v>
      </c>
      <c r="F22" s="90">
        <f>-D22+IF(D10&lt;F10, F10-D10, 0)</f>
        <v>0</v>
      </c>
      <c r="G22" s="300" t="str">
        <f xml:space="preserve"> IF(D10&lt;F10, "Money not deposited for Troop Cookie Proceeds = $"&amp; ROUND(F10-D10,2)&amp;". Please explain in questions at bottom of AR report", "No Cookie Debt" )</f>
        <v>No Cookie Debt</v>
      </c>
      <c r="H22" s="301"/>
    </row>
    <row r="23" spans="2:8" ht="27" customHeight="1" thickBot="1">
      <c r="B23" s="52"/>
      <c r="C23" s="53"/>
      <c r="D23" s="59">
        <f>BankTransactions25!V2</f>
        <v>0</v>
      </c>
      <c r="E23" s="196" t="s">
        <v>139</v>
      </c>
      <c r="F23" s="90">
        <f>-D23+IF(D9&lt;F9, F9-D9)</f>
        <v>0</v>
      </c>
      <c r="G23" s="302" t="str">
        <f xml:space="preserve"> IF(D9&lt;F9, "Money not deposited for Fall Product $"&amp; ROUND(F9-D9,2)&amp;" Please explain in questions at bottom of AR report", "No Fall Product Debt" )</f>
        <v>No Fall Product Debt</v>
      </c>
      <c r="H23" s="303"/>
    </row>
    <row r="24" spans="2:8">
      <c r="B24" s="52"/>
      <c r="C24" s="53"/>
      <c r="D24" s="53"/>
      <c r="E24" s="53"/>
      <c r="F24" s="60"/>
      <c r="G24" s="93"/>
      <c r="H24" s="94"/>
    </row>
    <row r="25" spans="2:8" ht="18" customHeight="1">
      <c r="B25" s="52"/>
      <c r="C25" s="53"/>
      <c r="D25" s="53"/>
      <c r="E25" s="53"/>
      <c r="F25" s="60">
        <f>F3</f>
        <v>0</v>
      </c>
      <c r="G25" s="53" t="s">
        <v>140</v>
      </c>
      <c r="H25" s="54"/>
    </row>
    <row r="26" spans="2:8" ht="18" customHeight="1">
      <c r="B26" s="52"/>
      <c r="C26" s="53"/>
      <c r="D26" s="53"/>
      <c r="E26" s="53"/>
      <c r="F26" s="60">
        <f>SUM(F9:F14)</f>
        <v>0</v>
      </c>
      <c r="G26" s="53" t="s">
        <v>141</v>
      </c>
      <c r="H26" s="54"/>
    </row>
    <row r="27" spans="2:8" ht="18" customHeight="1">
      <c r="B27" s="52"/>
      <c r="C27" s="53"/>
      <c r="D27" s="53"/>
      <c r="E27" s="53"/>
      <c r="F27" s="60">
        <f>SUM(F16:F23)</f>
        <v>0</v>
      </c>
      <c r="G27" s="53" t="s">
        <v>142</v>
      </c>
      <c r="H27" s="54"/>
    </row>
    <row r="28" spans="2:8" ht="18" customHeight="1">
      <c r="B28" s="52"/>
      <c r="C28" s="61" t="str">
        <f>IF($F$28&lt;&gt;$F$4,"Please review numbers for discrpany. Do you have correct Net Proceeds for Product Programs", "")</f>
        <v/>
      </c>
      <c r="D28" s="61"/>
      <c r="E28" s="61"/>
      <c r="F28" s="60">
        <f>ROUND(F25+F26-F27,2)</f>
        <v>0</v>
      </c>
      <c r="G28" s="53" t="s">
        <v>143</v>
      </c>
      <c r="H28" s="62"/>
    </row>
    <row r="29" spans="2:8">
      <c r="B29" s="52"/>
      <c r="C29" s="61"/>
      <c r="D29" s="61"/>
      <c r="E29" s="61"/>
      <c r="F29" s="60"/>
      <c r="G29" s="53"/>
      <c r="H29" s="62"/>
    </row>
    <row r="30" spans="2:8">
      <c r="B30" s="52"/>
      <c r="C30" s="61"/>
      <c r="D30" s="308" t="s">
        <v>144</v>
      </c>
      <c r="E30" s="308"/>
      <c r="F30" s="299" t="str">
        <f>IF(F28=F4, "YES", "NO")</f>
        <v>YES</v>
      </c>
      <c r="G30" s="53"/>
      <c r="H30" s="62"/>
    </row>
    <row r="31" spans="2:8">
      <c r="B31" s="52"/>
      <c r="C31" s="53"/>
      <c r="D31" s="308"/>
      <c r="E31" s="308"/>
      <c r="F31" s="299"/>
      <c r="G31" s="53"/>
      <c r="H31" s="62"/>
    </row>
    <row r="32" spans="2:8">
      <c r="B32" s="52"/>
      <c r="C32" s="53"/>
      <c r="D32" s="294"/>
      <c r="E32" s="295"/>
      <c r="F32" s="53"/>
      <c r="G32" s="53"/>
      <c r="H32" s="62"/>
    </row>
    <row r="33" spans="2:8" ht="18.600000000000001" customHeight="1">
      <c r="B33" s="52"/>
      <c r="C33" s="53"/>
      <c r="D33" s="298" t="s">
        <v>145</v>
      </c>
      <c r="E33" s="298"/>
      <c r="F33" s="57">
        <f>SUMIF(BankTransactions25!H:H, "Fall Product",BankTransactions25!E:E)</f>
        <v>0</v>
      </c>
      <c r="G33" s="53"/>
      <c r="H33" s="62"/>
    </row>
    <row r="34" spans="2:8" ht="18.600000000000001" customHeight="1" thickBot="1">
      <c r="B34" s="52"/>
      <c r="C34" s="199" t="s">
        <v>20</v>
      </c>
      <c r="D34" s="298" t="s">
        <v>146</v>
      </c>
      <c r="E34" s="298"/>
      <c r="F34" s="198">
        <f>SUMIF(BankTransactions25!H:H, "Fall Product",BankTransactions25!F:F)</f>
        <v>0</v>
      </c>
      <c r="G34" s="53"/>
      <c r="H34" s="62"/>
    </row>
    <row r="35" spans="2:8" ht="18.600000000000001" customHeight="1">
      <c r="B35" s="52"/>
      <c r="C35" s="53"/>
      <c r="D35" s="298" t="s">
        <v>147</v>
      </c>
      <c r="E35" s="298"/>
      <c r="F35" s="99">
        <f>F33-F34</f>
        <v>0</v>
      </c>
      <c r="G35" s="59">
        <f>F35-F5</f>
        <v>0</v>
      </c>
      <c r="H35" s="201" t="s">
        <v>148</v>
      </c>
    </row>
    <row r="36" spans="2:8">
      <c r="B36" s="52"/>
      <c r="C36" s="53"/>
      <c r="D36" s="294"/>
      <c r="E36" s="295"/>
      <c r="F36" s="53"/>
      <c r="G36" s="53"/>
      <c r="H36" s="62"/>
    </row>
    <row r="37" spans="2:8" ht="18.600000000000001" customHeight="1">
      <c r="B37" s="52"/>
      <c r="C37" s="53"/>
      <c r="D37" s="298" t="s">
        <v>149</v>
      </c>
      <c r="E37" s="298"/>
      <c r="F37" s="57">
        <f>SUMIF(BankTransactions25!H:H, "Cookies",BankTransactions25!E:E)</f>
        <v>0</v>
      </c>
      <c r="G37" s="59"/>
      <c r="H37" s="62"/>
    </row>
    <row r="38" spans="2:8" ht="18.600000000000001" customHeight="1" thickBot="1">
      <c r="B38" s="52"/>
      <c r="C38" s="199" t="s">
        <v>20</v>
      </c>
      <c r="D38" s="311" t="s">
        <v>150</v>
      </c>
      <c r="E38" s="311"/>
      <c r="F38" s="198">
        <f>SUMIF(BankTransactions25!H:H, "Cookies",BankTransactions25!F:F)</f>
        <v>0</v>
      </c>
      <c r="G38" s="59"/>
      <c r="H38" s="62"/>
    </row>
    <row r="39" spans="2:8" ht="18.600000000000001" customHeight="1">
      <c r="B39" s="52"/>
      <c r="C39" s="53"/>
      <c r="D39" s="304" t="s">
        <v>151</v>
      </c>
      <c r="E39" s="304"/>
      <c r="F39" s="99">
        <f>F37-F38</f>
        <v>0</v>
      </c>
      <c r="G39" s="59">
        <f>F39-F6</f>
        <v>0</v>
      </c>
      <c r="H39" s="202" t="s">
        <v>152</v>
      </c>
    </row>
    <row r="40" spans="2:8">
      <c r="B40" s="52"/>
      <c r="C40" s="53"/>
      <c r="D40" s="294"/>
      <c r="E40" s="295"/>
      <c r="F40" s="53"/>
      <c r="G40" s="53"/>
      <c r="H40" s="64"/>
    </row>
    <row r="43" spans="2:8" ht="17.399999999999999" customHeight="1">
      <c r="D43" s="41"/>
      <c r="E43" s="41"/>
      <c r="F43" s="41"/>
      <c r="G43" s="41"/>
      <c r="H43" s="42"/>
    </row>
    <row r="44" spans="2:8" ht="21" customHeight="1">
      <c r="D44" s="41"/>
      <c r="E44" s="41"/>
      <c r="F44" s="41"/>
      <c r="G44" s="41"/>
      <c r="H44" s="42"/>
    </row>
    <row r="45" spans="2:8" ht="21" customHeight="1">
      <c r="D45" s="41"/>
      <c r="E45" s="41"/>
      <c r="F45" s="41"/>
      <c r="G45" s="41"/>
      <c r="H45" s="42"/>
    </row>
    <row r="46" spans="2:8">
      <c r="D46" s="41"/>
      <c r="E46" s="41"/>
      <c r="F46" s="41"/>
      <c r="G46" s="41"/>
      <c r="H46" s="42"/>
    </row>
    <row r="47" spans="2:8">
      <c r="D47" s="41"/>
      <c r="E47" s="41"/>
      <c r="F47" s="41"/>
      <c r="G47" s="41"/>
      <c r="H47" s="42"/>
    </row>
    <row r="48" spans="2:8">
      <c r="D48" s="41"/>
      <c r="E48" s="41"/>
      <c r="F48" s="41"/>
      <c r="G48" s="41"/>
      <c r="H48" s="42"/>
    </row>
    <row r="49" spans="4:8" ht="42" customHeight="1">
      <c r="D49" s="41"/>
      <c r="E49" s="41"/>
      <c r="F49" s="41"/>
      <c r="G49" s="41"/>
      <c r="H49" s="42"/>
    </row>
    <row r="50" spans="4:8" ht="21.6" customHeight="1">
      <c r="D50" s="41"/>
      <c r="E50" s="41"/>
      <c r="F50" s="41"/>
      <c r="G50" s="41"/>
      <c r="H50" s="42"/>
    </row>
    <row r="51" spans="4:8" ht="21.6" customHeight="1">
      <c r="D51" s="41"/>
      <c r="E51" s="41"/>
      <c r="F51" s="41"/>
      <c r="G51" s="41"/>
      <c r="H51" s="42"/>
    </row>
    <row r="52" spans="4:8" ht="21.6" customHeight="1">
      <c r="D52" s="41"/>
      <c r="E52" s="41"/>
      <c r="F52" s="41"/>
      <c r="G52" s="41"/>
      <c r="H52" s="42"/>
    </row>
    <row r="53" spans="4:8" ht="21.6" customHeight="1">
      <c r="D53" s="41"/>
      <c r="E53" s="41"/>
      <c r="F53" s="41"/>
      <c r="G53" s="41"/>
      <c r="H53" s="42"/>
    </row>
    <row r="54" spans="4:8" ht="51" customHeight="1">
      <c r="D54" s="41"/>
      <c r="E54" s="41"/>
      <c r="F54" s="41"/>
      <c r="G54" s="41"/>
      <c r="H54" s="42"/>
    </row>
    <row r="55" spans="4:8">
      <c r="D55" s="41"/>
      <c r="E55" s="41"/>
      <c r="F55" s="41"/>
      <c r="G55" s="41"/>
      <c r="H55" s="42"/>
    </row>
    <row r="56" spans="4:8">
      <c r="D56" s="41"/>
      <c r="E56" s="41"/>
      <c r="F56" s="41"/>
      <c r="G56" s="41"/>
      <c r="H56" s="42"/>
    </row>
    <row r="57" spans="4:8">
      <c r="D57" s="41"/>
      <c r="E57" s="41"/>
      <c r="F57" s="41"/>
      <c r="G57" s="41"/>
      <c r="H57" s="42"/>
    </row>
    <row r="58" spans="4:8">
      <c r="D58" s="41"/>
      <c r="E58" s="41"/>
      <c r="F58" s="41"/>
      <c r="G58" s="41"/>
      <c r="H58" s="42"/>
    </row>
  </sheetData>
  <sheetProtection algorithmName="SHA-512" hashValue="RnqO3PGhxVkgjG4AoBK6kuUYMZBsDSnYGrWlXpxN9+nguOgqUiRD1ldi4DqsiCYgZc49VGam2SPezpmuW2gMrw==" saltValue="KaDUIHBNSIkojjjevEH+og==" spinCount="100000" sheet="1" formatCells="0" formatColumns="0" formatRows="0" insertColumns="0" insertRows="0" selectLockedCells="1"/>
  <mergeCells count="22">
    <mergeCell ref="D40:E40"/>
    <mergeCell ref="G13:H13"/>
    <mergeCell ref="G14:H14"/>
    <mergeCell ref="D39:E39"/>
    <mergeCell ref="B2:H2"/>
    <mergeCell ref="G23:H23"/>
    <mergeCell ref="G22:H22"/>
    <mergeCell ref="B10:C10"/>
    <mergeCell ref="B9:C9"/>
    <mergeCell ref="D30:E31"/>
    <mergeCell ref="F8:G8"/>
    <mergeCell ref="D38:E38"/>
    <mergeCell ref="D37:E37"/>
    <mergeCell ref="B1:G1"/>
    <mergeCell ref="D36:E36"/>
    <mergeCell ref="D32:E32"/>
    <mergeCell ref="G12:H12"/>
    <mergeCell ref="G21:H21"/>
    <mergeCell ref="D33:E33"/>
    <mergeCell ref="D34:E34"/>
    <mergeCell ref="D35:E35"/>
    <mergeCell ref="F30:F31"/>
  </mergeCells>
  <conditionalFormatting sqref="D9:D10">
    <cfRule type="cellIs" dxfId="15" priority="3" operator="lessThan">
      <formula>0</formula>
    </cfRule>
  </conditionalFormatting>
  <conditionalFormatting sqref="D30">
    <cfRule type="cellIs" dxfId="14" priority="7" operator="equal">
      <formula>"NO"</formula>
    </cfRule>
    <cfRule type="cellIs" dxfId="13" priority="8" operator="equal">
      <formula>"YES"</formula>
    </cfRule>
  </conditionalFormatting>
  <conditionalFormatting sqref="F28">
    <cfRule type="cellIs" dxfId="12" priority="6" operator="notEqual">
      <formula>$F$4</formula>
    </cfRule>
  </conditionalFormatting>
  <conditionalFormatting sqref="F30:F31">
    <cfRule type="cellIs" dxfId="11" priority="4" operator="equal">
      <formula>"no"</formula>
    </cfRule>
    <cfRule type="cellIs" dxfId="10" priority="5" operator="equal">
      <formula>"yes"</formula>
    </cfRule>
  </conditionalFormatting>
  <conditionalFormatting sqref="G35 G39">
    <cfRule type="cellIs" dxfId="9" priority="1" operator="lessThan">
      <formula>0</formula>
    </cfRule>
    <cfRule type="cellIs" dxfId="8" priority="2" operator="greater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C867-1F84-4B69-B16E-D48C0F97D400}">
  <dimension ref="A1:M19"/>
  <sheetViews>
    <sheetView topLeftCell="B6" workbookViewId="0">
      <selection activeCell="G1" sqref="G1"/>
    </sheetView>
  </sheetViews>
  <sheetFormatPr defaultRowHeight="14.4"/>
  <cols>
    <col min="1" max="1" width="3.5546875" customWidth="1"/>
    <col min="2" max="2" width="2.5546875" customWidth="1"/>
    <col min="3" max="3" width="14.33203125" customWidth="1"/>
    <col min="4" max="4" width="19.5546875" customWidth="1"/>
    <col min="5" max="5" width="13.88671875" customWidth="1"/>
    <col min="6" max="6" width="10.44140625" customWidth="1"/>
    <col min="7" max="7" width="6.44140625" customWidth="1"/>
    <col min="8" max="8" width="4.109375" customWidth="1"/>
    <col min="9" max="9" width="2.5546875" customWidth="1"/>
    <col min="10" max="10" width="14.33203125" customWidth="1"/>
    <col min="11" max="11" width="19.5546875" customWidth="1"/>
    <col min="12" max="12" width="13.88671875" customWidth="1"/>
    <col min="13" max="13" width="19.109375" customWidth="1"/>
    <col min="14" max="14" width="19.6640625" customWidth="1"/>
  </cols>
  <sheetData>
    <row r="1" spans="1:13" ht="15" thickBot="1">
      <c r="A1" s="41"/>
      <c r="B1" s="317" t="s">
        <v>132</v>
      </c>
      <c r="C1" s="317"/>
      <c r="D1" s="317"/>
      <c r="E1" s="317"/>
      <c r="F1" s="317"/>
      <c r="G1" s="41"/>
      <c r="I1" s="317" t="s">
        <v>78</v>
      </c>
      <c r="J1" s="317"/>
      <c r="K1" s="317"/>
      <c r="L1" s="317"/>
      <c r="M1" s="317"/>
    </row>
    <row r="2" spans="1:13" ht="15" thickBot="1">
      <c r="A2" s="41"/>
      <c r="B2" s="171"/>
      <c r="C2" s="172" t="s">
        <v>153</v>
      </c>
      <c r="D2" s="172"/>
      <c r="E2" s="173"/>
      <c r="F2" s="206"/>
      <c r="G2" s="41"/>
      <c r="I2" s="171"/>
      <c r="J2" s="172" t="s">
        <v>154</v>
      </c>
      <c r="K2" s="172"/>
      <c r="L2" s="173"/>
      <c r="M2" s="174"/>
    </row>
    <row r="3" spans="1:13" ht="27.75" customHeight="1">
      <c r="A3" s="41"/>
      <c r="B3" s="175"/>
      <c r="C3" s="179">
        <f>'AR Summary'!F37</f>
        <v>0</v>
      </c>
      <c r="D3" s="320" t="s">
        <v>155</v>
      </c>
      <c r="E3" s="320"/>
      <c r="F3" s="205"/>
      <c r="G3" s="41"/>
      <c r="I3" s="175"/>
      <c r="J3" s="176">
        <f>'AR Summary'!F33</f>
        <v>0</v>
      </c>
      <c r="K3" s="319" t="s">
        <v>156</v>
      </c>
      <c r="L3" s="319"/>
      <c r="M3" s="177"/>
    </row>
    <row r="4" spans="1:13" ht="27.75" customHeight="1" thickBot="1">
      <c r="A4" s="41"/>
      <c r="B4" s="178" t="s">
        <v>20</v>
      </c>
      <c r="C4" s="209">
        <f>'AR Summary'!F38</f>
        <v>0</v>
      </c>
      <c r="D4" s="322" t="s">
        <v>157</v>
      </c>
      <c r="E4" s="322"/>
      <c r="F4" s="180"/>
      <c r="G4" s="41"/>
      <c r="I4" s="178" t="s">
        <v>20</v>
      </c>
      <c r="J4" s="179">
        <f>'AR Summary'!F34</f>
        <v>0</v>
      </c>
      <c r="K4" s="320" t="s">
        <v>158</v>
      </c>
      <c r="L4" s="320"/>
      <c r="M4" s="180"/>
    </row>
    <row r="5" spans="1:13" ht="25.2" customHeight="1">
      <c r="A5" s="41"/>
      <c r="B5" s="178" t="s">
        <v>20</v>
      </c>
      <c r="C5" s="214"/>
      <c r="D5" s="320" t="s">
        <v>159</v>
      </c>
      <c r="E5" s="320"/>
      <c r="F5" s="180" t="s">
        <v>160</v>
      </c>
      <c r="G5" s="41"/>
      <c r="I5" s="178" t="s">
        <v>20</v>
      </c>
      <c r="J5" s="215">
        <v>0</v>
      </c>
      <c r="K5" s="325" t="s">
        <v>161</v>
      </c>
      <c r="L5" s="325"/>
      <c r="M5" s="180"/>
    </row>
    <row r="6" spans="1:13" ht="27.75" customHeight="1">
      <c r="A6" s="41"/>
      <c r="B6" s="178" t="s">
        <v>162</v>
      </c>
      <c r="C6" s="181">
        <f>C3-C4-C5</f>
        <v>0</v>
      </c>
      <c r="D6" s="323" t="s">
        <v>163</v>
      </c>
      <c r="E6" s="323"/>
      <c r="F6" s="180"/>
      <c r="G6" s="41"/>
      <c r="I6" s="178" t="s">
        <v>162</v>
      </c>
      <c r="J6" s="181">
        <f>J3-J4-J5</f>
        <v>0</v>
      </c>
      <c r="K6" s="321" t="s">
        <v>164</v>
      </c>
      <c r="L6" s="321"/>
      <c r="M6" s="180"/>
    </row>
    <row r="7" spans="1:13" ht="27.75" customHeight="1" thickBot="1">
      <c r="A7" s="41"/>
      <c r="B7" s="182" t="s">
        <v>20</v>
      </c>
      <c r="C7" s="208">
        <f>'AR Summary'!F6</f>
        <v>0</v>
      </c>
      <c r="D7" s="318" t="s">
        <v>165</v>
      </c>
      <c r="E7" s="318"/>
      <c r="F7" s="180"/>
      <c r="G7" s="41"/>
      <c r="I7" s="182" t="s">
        <v>20</v>
      </c>
      <c r="J7" s="183">
        <f>'AR Summary'!F5</f>
        <v>0</v>
      </c>
      <c r="K7" s="324" t="s">
        <v>166</v>
      </c>
      <c r="L7" s="324"/>
      <c r="M7" s="180"/>
    </row>
    <row r="8" spans="1:13" ht="23.25" customHeight="1" thickTop="1">
      <c r="A8" s="41"/>
      <c r="B8" s="316" t="s">
        <v>162</v>
      </c>
      <c r="C8" s="314">
        <f>C6-C7-C5</f>
        <v>0</v>
      </c>
      <c r="D8" s="333" t="s">
        <v>167</v>
      </c>
      <c r="E8" s="334"/>
      <c r="F8" s="180"/>
      <c r="G8" s="41"/>
      <c r="I8" s="184" t="s">
        <v>162</v>
      </c>
      <c r="J8" s="314">
        <f>J6-J7-J5</f>
        <v>0</v>
      </c>
      <c r="K8" s="333" t="s">
        <v>168</v>
      </c>
      <c r="L8" s="334"/>
      <c r="M8" s="180"/>
    </row>
    <row r="9" spans="1:13" ht="23.25" customHeight="1" thickBot="1">
      <c r="A9" s="41"/>
      <c r="B9" s="316"/>
      <c r="C9" s="315"/>
      <c r="D9" s="335" t="str">
        <f>IF(C8&gt;0,"Additional Income- fill out boxes below to see if money is accounted for",
IF(C8&lt;0,"Cookie Debt - fill out boxes below to see if money can be accounted for",IF(C8=0,"Numbers are spot on.",)))</f>
        <v>Numbers are spot on.</v>
      </c>
      <c r="E9" s="336"/>
      <c r="F9" s="180"/>
      <c r="G9" s="41"/>
      <c r="I9" s="184"/>
      <c r="J9" s="315"/>
      <c r="K9" s="335" t="str">
        <f>IF(J8&gt;0,"Additional Income- fill out boxes below to see if money is accounted for",
IF(J8&lt;0,"Expense Other - fill out boxes below to see if money can be accounted for",IF(J8=0,"Numbers are spot on.",)))</f>
        <v>Numbers are spot on.</v>
      </c>
      <c r="L9" s="336"/>
      <c r="M9" s="180"/>
    </row>
    <row r="10" spans="1:13" ht="19.2" customHeight="1">
      <c r="A10" s="41"/>
      <c r="B10" s="210"/>
      <c r="C10" s="326" t="s">
        <v>169</v>
      </c>
      <c r="D10" s="326"/>
      <c r="E10" s="326"/>
      <c r="F10" s="180"/>
      <c r="G10" s="41"/>
      <c r="I10" s="184"/>
      <c r="J10" s="326" t="s">
        <v>169</v>
      </c>
      <c r="K10" s="326"/>
      <c r="L10" s="326"/>
      <c r="M10" s="180"/>
    </row>
    <row r="11" spans="1:13" ht="25.2" customHeight="1">
      <c r="A11" s="41"/>
      <c r="B11" s="184" t="s">
        <v>170</v>
      </c>
      <c r="C11" s="215"/>
      <c r="D11" s="331" t="s">
        <v>171</v>
      </c>
      <c r="E11" s="331"/>
      <c r="F11" s="312" t="s">
        <v>172</v>
      </c>
      <c r="G11" s="337"/>
      <c r="I11" s="184" t="s">
        <v>170</v>
      </c>
      <c r="J11" s="215">
        <v>0</v>
      </c>
      <c r="K11" s="331" t="s">
        <v>171</v>
      </c>
      <c r="L11" s="331"/>
      <c r="M11" s="312" t="s">
        <v>173</v>
      </c>
    </row>
    <row r="12" spans="1:13" ht="25.2" customHeight="1">
      <c r="A12" s="41"/>
      <c r="B12" s="184" t="s">
        <v>170</v>
      </c>
      <c r="C12" s="216"/>
      <c r="D12" s="331" t="s">
        <v>174</v>
      </c>
      <c r="E12" s="331"/>
      <c r="F12" s="312"/>
      <c r="G12" s="337"/>
      <c r="I12" s="184" t="s">
        <v>170</v>
      </c>
      <c r="J12" s="216">
        <v>0</v>
      </c>
      <c r="K12" s="331" t="s">
        <v>174</v>
      </c>
      <c r="L12" s="331"/>
      <c r="M12" s="312"/>
    </row>
    <row r="13" spans="1:13" ht="25.2" customHeight="1">
      <c r="A13" s="41"/>
      <c r="B13" s="184" t="s">
        <v>170</v>
      </c>
      <c r="C13" s="215">
        <v>0</v>
      </c>
      <c r="D13" s="331" t="s">
        <v>175</v>
      </c>
      <c r="E13" s="331"/>
      <c r="F13" s="312"/>
      <c r="G13" s="337"/>
      <c r="I13" s="184" t="s">
        <v>170</v>
      </c>
      <c r="J13" s="215">
        <v>0</v>
      </c>
      <c r="K13" s="331" t="s">
        <v>175</v>
      </c>
      <c r="L13" s="331"/>
      <c r="M13" s="312"/>
    </row>
    <row r="14" spans="1:13" ht="25.2" customHeight="1" thickBot="1">
      <c r="A14" s="41"/>
      <c r="B14" s="184" t="s">
        <v>170</v>
      </c>
      <c r="C14" s="217">
        <v>0</v>
      </c>
      <c r="D14" s="331" t="s">
        <v>176</v>
      </c>
      <c r="E14" s="331"/>
      <c r="F14" s="312"/>
      <c r="G14" s="337"/>
      <c r="I14" s="184" t="s">
        <v>170</v>
      </c>
      <c r="J14" s="217">
        <v>0</v>
      </c>
      <c r="K14" s="331" t="s">
        <v>176</v>
      </c>
      <c r="L14" s="331"/>
      <c r="M14" s="312"/>
    </row>
    <row r="15" spans="1:13" ht="25.2" customHeight="1" thickTop="1" thickBot="1">
      <c r="A15" s="41"/>
      <c r="B15" s="178" t="s">
        <v>170</v>
      </c>
      <c r="C15" s="211">
        <f>E15*6</f>
        <v>0</v>
      </c>
      <c r="D15" s="200" t="s">
        <v>177</v>
      </c>
      <c r="E15" s="218">
        <v>0</v>
      </c>
      <c r="F15" s="312"/>
      <c r="G15" s="337"/>
      <c r="I15" s="203" t="s">
        <v>162</v>
      </c>
      <c r="J15" s="204">
        <f>J8+SUM(J11:J14)</f>
        <v>0</v>
      </c>
      <c r="K15" s="329" t="str">
        <f>IF(J15&gt;0,"Discrepancy: This should be listed as income other $$, please include note for reason troop has excessiveFall Product money, after debts have been deducted",IF(J15&lt;0,"Discrepancy: Unaccounted for Fall Product debt. Request explanation. number has been adjusted to account for known debt.",IF(J15=0,"All Fall Product debt has been accounted for",)))</f>
        <v>All Fall Product debt has been accounted for</v>
      </c>
      <c r="L15" s="330"/>
      <c r="M15" s="313"/>
    </row>
    <row r="16" spans="1:13" ht="55.5" customHeight="1" thickTop="1">
      <c r="A16" s="41"/>
      <c r="B16" s="178" t="s">
        <v>162</v>
      </c>
      <c r="C16" s="59">
        <f>C8+SUM(C11:C15)</f>
        <v>0</v>
      </c>
      <c r="D16" s="327" t="str">
        <f>IF(C16=0,"All money has been accounted for",IF(C16&gt;0,"Additional money, If all is paid to the troop and before debts have been paid",IF(C16&lt;0, "Unaccounted for funds: Check money box, 3rd party apps, coat pockets, ect.",   )))</f>
        <v>All money has been accounted for</v>
      </c>
      <c r="E16" s="328"/>
      <c r="F16" s="180" t="s">
        <v>178</v>
      </c>
      <c r="G16" s="41"/>
      <c r="K16" s="332"/>
      <c r="L16" s="332"/>
      <c r="M16" s="187"/>
    </row>
    <row r="17" spans="1:7" ht="15.75" customHeight="1">
      <c r="A17" s="41"/>
      <c r="B17" s="182"/>
      <c r="F17" s="185"/>
      <c r="G17" s="41"/>
    </row>
    <row r="18" spans="1:7" ht="15" thickBot="1">
      <c r="A18" s="41"/>
      <c r="B18" s="186"/>
      <c r="C18" s="213"/>
      <c r="D18" s="213"/>
      <c r="E18" s="213"/>
      <c r="F18" s="207"/>
      <c r="G18" s="41"/>
    </row>
    <row r="19" spans="1:7">
      <c r="G19" s="41"/>
    </row>
  </sheetData>
  <sheetProtection algorithmName="SHA-512" hashValue="/CdYevt9Mb/JoJBC41T3Gu5R0hP5UUAz9Vjdv5ahXIs00hWNAvmC0XQ6Ujqjyj8gtQmzSR57uFjt9ULdk5tspQ==" saltValue="tPd1rp6P3GnjgmnINxz0Gw==" spinCount="100000" sheet="1" objects="1" scenarios="1" formatCells="0" selectLockedCells="1"/>
  <mergeCells count="35">
    <mergeCell ref="K8:L8"/>
    <mergeCell ref="K11:L11"/>
    <mergeCell ref="D9:E9"/>
    <mergeCell ref="D8:E8"/>
    <mergeCell ref="D11:E11"/>
    <mergeCell ref="J8:J9"/>
    <mergeCell ref="K9:L9"/>
    <mergeCell ref="J10:L10"/>
    <mergeCell ref="G11:G15"/>
    <mergeCell ref="D16:E16"/>
    <mergeCell ref="K15:L15"/>
    <mergeCell ref="D13:E13"/>
    <mergeCell ref="D12:E12"/>
    <mergeCell ref="D14:E14"/>
    <mergeCell ref="F11:F15"/>
    <mergeCell ref="K12:L12"/>
    <mergeCell ref="K13:L13"/>
    <mergeCell ref="K14:L14"/>
    <mergeCell ref="K16:L16"/>
    <mergeCell ref="M11:M15"/>
    <mergeCell ref="C8:C9"/>
    <mergeCell ref="B8:B9"/>
    <mergeCell ref="B1:F1"/>
    <mergeCell ref="I1:M1"/>
    <mergeCell ref="D7:E7"/>
    <mergeCell ref="K3:L3"/>
    <mergeCell ref="K4:L4"/>
    <mergeCell ref="K6:L6"/>
    <mergeCell ref="D3:E3"/>
    <mergeCell ref="D4:E4"/>
    <mergeCell ref="D6:E6"/>
    <mergeCell ref="K7:L7"/>
    <mergeCell ref="D5:E5"/>
    <mergeCell ref="K5:L5"/>
    <mergeCell ref="C10:E10"/>
  </mergeCells>
  <conditionalFormatting sqref="C16">
    <cfRule type="cellIs" dxfId="7" priority="1" operator="lessThan">
      <formula>0</formula>
    </cfRule>
    <cfRule type="cellIs" dxfId="6" priority="2" operator="greaterThan">
      <formula>0</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89B1-73BF-4FB7-A73A-A2F7639C6DDD}">
  <dimension ref="A1:AB99"/>
  <sheetViews>
    <sheetView topLeftCell="C1" workbookViewId="0">
      <selection activeCell="H9" sqref="H9"/>
    </sheetView>
  </sheetViews>
  <sheetFormatPr defaultColWidth="9.109375" defaultRowHeight="12"/>
  <cols>
    <col min="1" max="1" width="9.109375" style="21"/>
    <col min="2" max="2" width="10.109375" style="27" bestFit="1" customWidth="1"/>
    <col min="3" max="4" width="23.44140625" style="21" customWidth="1"/>
    <col min="5" max="6" width="10.88671875" style="28" customWidth="1"/>
    <col min="7" max="7" width="13.5546875" style="4" customWidth="1"/>
    <col min="8" max="8" width="9.109375" style="21"/>
    <col min="9" max="9" width="9.109375" style="38"/>
    <col min="10" max="11" width="9.109375" style="39"/>
    <col min="12" max="22" width="9.109375" style="38"/>
    <col min="23" max="16384" width="9.109375" style="21"/>
  </cols>
  <sheetData>
    <row r="1" spans="1:28" s="4" customFormat="1" ht="15.75" customHeight="1" thickBot="1">
      <c r="A1" s="16" t="s">
        <v>179</v>
      </c>
      <c r="B1" s="2"/>
      <c r="C1" s="1"/>
      <c r="D1" s="1"/>
      <c r="E1" s="29"/>
      <c r="F1" s="30"/>
      <c r="G1" s="3" t="s">
        <v>180</v>
      </c>
      <c r="H1" s="3"/>
      <c r="I1" s="338" t="s">
        <v>49</v>
      </c>
      <c r="J1" s="339"/>
      <c r="K1" s="339"/>
      <c r="L1" s="339"/>
      <c r="M1" s="340">
        <f>SUM(I2:N2)</f>
        <v>274.57999999999993</v>
      </c>
      <c r="N1" s="340"/>
      <c r="O1" s="341" t="s">
        <v>50</v>
      </c>
      <c r="P1" s="341"/>
      <c r="Q1" s="341"/>
      <c r="R1" s="341"/>
      <c r="S1" s="341"/>
      <c r="T1" s="342">
        <f>SUM(O2:V2)</f>
        <v>-710</v>
      </c>
      <c r="U1" s="342"/>
      <c r="V1" s="343"/>
      <c r="W1" s="1"/>
      <c r="X1" s="1"/>
      <c r="Y1" s="1"/>
      <c r="Z1" s="1"/>
      <c r="AA1" s="1"/>
      <c r="AB1" s="1"/>
    </row>
    <row r="2" spans="1:28" s="4" customFormat="1" ht="12.6" thickBot="1">
      <c r="A2" s="1"/>
      <c r="B2" s="2"/>
      <c r="C2" s="1"/>
      <c r="D2" s="1" t="s">
        <v>51</v>
      </c>
      <c r="E2" s="5">
        <f>SUM(E4:E997)</f>
        <v>1203.58</v>
      </c>
      <c r="F2" s="5">
        <f>SUM(F4:F997)</f>
        <v>1639</v>
      </c>
      <c r="G2" s="6">
        <f>G4+E2-F2</f>
        <v>99.489999999999782</v>
      </c>
      <c r="H2" s="81"/>
      <c r="I2" s="7">
        <f t="shared" ref="I2:V2" si="0">SUM(I4:I997)</f>
        <v>0</v>
      </c>
      <c r="J2" s="8">
        <f t="shared" si="0"/>
        <v>199.57999999999993</v>
      </c>
      <c r="K2" s="8">
        <f t="shared" si="0"/>
        <v>0</v>
      </c>
      <c r="L2" s="7">
        <f t="shared" si="0"/>
        <v>0</v>
      </c>
      <c r="M2" s="7">
        <f t="shared" si="0"/>
        <v>75</v>
      </c>
      <c r="N2" s="7">
        <f t="shared" si="0"/>
        <v>0</v>
      </c>
      <c r="O2" s="9">
        <f t="shared" si="0"/>
        <v>-170</v>
      </c>
      <c r="P2" s="9">
        <f t="shared" si="0"/>
        <v>-123</v>
      </c>
      <c r="Q2" s="9">
        <f t="shared" si="0"/>
        <v>-249</v>
      </c>
      <c r="R2" s="9">
        <f t="shared" si="0"/>
        <v>-10</v>
      </c>
      <c r="S2" s="9">
        <f t="shared" si="0"/>
        <v>-43</v>
      </c>
      <c r="T2" s="9">
        <f t="shared" si="0"/>
        <v>-115</v>
      </c>
      <c r="U2" s="9">
        <f t="shared" ref="U2" si="1">SUM(U4:U997)</f>
        <v>0</v>
      </c>
      <c r="V2" s="9">
        <f t="shared" si="0"/>
        <v>0</v>
      </c>
      <c r="W2" s="1"/>
      <c r="X2" s="1"/>
      <c r="Y2" s="1"/>
      <c r="Z2" s="1"/>
      <c r="AA2" s="1"/>
      <c r="AB2" s="1"/>
    </row>
    <row r="3" spans="1:28" s="71" customFormat="1" ht="60.6" thickBot="1">
      <c r="A3" s="65" t="s">
        <v>181</v>
      </c>
      <c r="B3" s="66" t="s">
        <v>53</v>
      </c>
      <c r="C3" s="67" t="s">
        <v>54</v>
      </c>
      <c r="D3" s="65" t="s">
        <v>182</v>
      </c>
      <c r="E3" s="68" t="s">
        <v>56</v>
      </c>
      <c r="F3" s="68" t="s">
        <v>57</v>
      </c>
      <c r="G3" s="13" t="s">
        <v>183</v>
      </c>
      <c r="H3" s="69" t="s">
        <v>184</v>
      </c>
      <c r="I3" s="34" t="s">
        <v>185</v>
      </c>
      <c r="J3" s="83" t="s">
        <v>186</v>
      </c>
      <c r="K3" s="83" t="s">
        <v>187</v>
      </c>
      <c r="L3" s="34" t="s">
        <v>188</v>
      </c>
      <c r="M3" s="34" t="s">
        <v>189</v>
      </c>
      <c r="N3" s="34" t="s">
        <v>190</v>
      </c>
      <c r="O3" s="34" t="s">
        <v>191</v>
      </c>
      <c r="P3" s="34" t="s">
        <v>192</v>
      </c>
      <c r="Q3" s="34" t="s">
        <v>193</v>
      </c>
      <c r="R3" s="34" t="s">
        <v>194</v>
      </c>
      <c r="S3" s="34" t="s">
        <v>195</v>
      </c>
      <c r="T3" s="34" t="s">
        <v>196</v>
      </c>
      <c r="U3" s="35" t="s">
        <v>197</v>
      </c>
      <c r="V3" s="35" t="s">
        <v>198</v>
      </c>
      <c r="W3" s="70"/>
      <c r="X3" s="70"/>
      <c r="Y3" s="70"/>
      <c r="Z3" s="70"/>
      <c r="AA3" s="70"/>
      <c r="AB3" s="70"/>
    </row>
    <row r="4" spans="1:28" s="23" customFormat="1" ht="12.6" thickBot="1">
      <c r="A4" s="22"/>
      <c r="B4" s="72">
        <v>44317</v>
      </c>
      <c r="C4" s="73" t="s">
        <v>199</v>
      </c>
      <c r="D4" s="22"/>
      <c r="E4" s="74"/>
      <c r="F4" s="75"/>
      <c r="G4" s="44">
        <v>534.91</v>
      </c>
      <c r="H4" s="76"/>
      <c r="I4" s="38">
        <f>IF(Table32[[#This Row],[CODE]]=1, Table32[ [#This Row],[Account Deposit Amount] ]-Table32[ [#This Row],[Account Withdrawl Amount] ], )</f>
        <v>0</v>
      </c>
      <c r="J4" s="84">
        <f>IF(Table32[[#This Row],[CODE]]=2, Table32[ [#This Row],[Account Deposit Amount] ]-Table32[ [#This Row],[Account Withdrawl Amount] ], )</f>
        <v>0</v>
      </c>
      <c r="K4" s="84">
        <f>IF(Table32[[#This Row],[CODE]]=3, Table32[ [#This Row],[Account Deposit Amount] ]-Table32[ [#This Row],[Account Withdrawl Amount] ], )</f>
        <v>0</v>
      </c>
      <c r="L4" s="85">
        <f>IF(Table32[[#This Row],[CODE]]=4, Table32[ [#This Row],[Account Deposit Amount] ]-Table32[ [#This Row],[Account Withdrawl Amount] ], )</f>
        <v>0</v>
      </c>
      <c r="M4" s="85">
        <f>IF(Table32[[#This Row],[CODE]]=5, Table32[ [#This Row],[Account Deposit Amount] ]-Table32[ [#This Row],[Account Withdrawl Amount] ], )</f>
        <v>0</v>
      </c>
      <c r="N4" s="85">
        <f>IF(Table32[[#This Row],[CODE]]=6, Table32[ [#This Row],[Account Deposit Amount] ]-Table32[ [#This Row],[Account Withdrawl Amount] ], )</f>
        <v>0</v>
      </c>
      <c r="O4" s="85">
        <f>IF(Table32[[#This Row],[CODE]]=11, Table32[ [#This Row],[Account Deposit Amount] ]-Table32[ [#This Row],[Account Withdrawl Amount] ], )</f>
        <v>0</v>
      </c>
      <c r="P4" s="85">
        <f>IF(Table32[[#This Row],[CODE]]=12, Table32[ [#This Row],[Account Deposit Amount] ]-Table32[ [#This Row],[Account Withdrawl Amount] ], )</f>
        <v>0</v>
      </c>
      <c r="Q4" s="85">
        <f>IF(Table32[[#This Row],[CODE]]=13, Table32[ [#This Row],[Account Deposit Amount] ]-Table32[ [#This Row],[Account Withdrawl Amount] ], )</f>
        <v>0</v>
      </c>
      <c r="R4" s="85">
        <f>IF(Table32[[#This Row],[CODE]]=14, Table32[ [#This Row],[Account Deposit Amount] ]-Table32[ [#This Row],[Account Withdrawl Amount] ], )</f>
        <v>0</v>
      </c>
      <c r="S4" s="85">
        <f>IF(Table32[[#This Row],[CODE]]=15, Table32[ [#This Row],[Account Deposit Amount] ]-Table32[ [#This Row],[Account Withdrawl Amount] ], )</f>
        <v>0</v>
      </c>
      <c r="T4" s="85">
        <f>IF(Table32[[#This Row],[CODE]]=16, Table32[ [#This Row],[Account Deposit Amount] ]-Table32[ [#This Row],[Account Withdrawl Amount] ], )</f>
        <v>0</v>
      </c>
      <c r="U4" s="85">
        <f>IF(Table32[[#This Row],[CODE]]=17, Table32[ [#This Row],[Account Deposit Amount] ]-Table32[ [#This Row],[Account Withdrawl Amount] ], )</f>
        <v>0</v>
      </c>
      <c r="V4" s="85">
        <f>IF(Table32[[#This Row],[CODE]]=17, Table32[ [#This Row],[Account Deposit Amount] ]-Table32[ [#This Row],[Account Withdrawl Amount] ], )</f>
        <v>0</v>
      </c>
      <c r="W4" s="22"/>
      <c r="X4" s="22"/>
      <c r="Y4" s="22"/>
      <c r="Z4" s="22"/>
      <c r="AA4" s="22"/>
      <c r="AB4" s="22"/>
    </row>
    <row r="5" spans="1:28" ht="12.6" thickBot="1">
      <c r="A5" s="77" t="s">
        <v>200</v>
      </c>
      <c r="B5" s="72">
        <v>44338</v>
      </c>
      <c r="C5" s="22" t="s">
        <v>201</v>
      </c>
      <c r="D5" s="22" t="s">
        <v>202</v>
      </c>
      <c r="E5" s="78"/>
      <c r="F5" s="78">
        <f>8*12</f>
        <v>96</v>
      </c>
      <c r="G5" s="82">
        <f>G4+E5-F5</f>
        <v>438.90999999999997</v>
      </c>
      <c r="H5" s="22">
        <v>12</v>
      </c>
      <c r="I5" s="38">
        <f>IF(Table32[[#This Row],[CODE]]=1, Table32[ [#This Row],[Account Deposit Amount] ]-Table32[ [#This Row],[Account Withdrawl Amount] ], )</f>
        <v>0</v>
      </c>
      <c r="J5" s="86">
        <f>IF(Table32[[#This Row],[CODE]]=2, Table32[ [#This Row],[Account Deposit Amount] ]-Table32[ [#This Row],[Account Withdrawl Amount] ], )</f>
        <v>0</v>
      </c>
      <c r="K5" s="86">
        <f>IF(Table32[[#This Row],[CODE]]=3, Table32[ [#This Row],[Account Deposit Amount] ]-Table32[ [#This Row],[Account Withdrawl Amount] ], )</f>
        <v>0</v>
      </c>
      <c r="L5" s="87">
        <f>IF(Table32[[#This Row],[CODE]]=4, Table32[ [#This Row],[Account Deposit Amount] ]-Table32[ [#This Row],[Account Withdrawl Amount] ], )</f>
        <v>0</v>
      </c>
      <c r="M5" s="87">
        <f>IF(Table32[[#This Row],[CODE]]=5, Table32[ [#This Row],[Account Deposit Amount] ]-Table32[ [#This Row],[Account Withdrawl Amount] ], )</f>
        <v>0</v>
      </c>
      <c r="N5" s="87">
        <f>IF(Table32[[#This Row],[CODE]]=6, Table32[ [#This Row],[Account Deposit Amount] ]-Table32[ [#This Row],[Account Withdrawl Amount] ], )</f>
        <v>0</v>
      </c>
      <c r="O5" s="87">
        <f>IF(Table32[[#This Row],[CODE]]=11, Table32[ [#This Row],[Account Deposit Amount] ]-Table32[ [#This Row],[Account Withdrawl Amount] ], )</f>
        <v>0</v>
      </c>
      <c r="P5" s="87">
        <f>IF(Table32[[#This Row],[CODE]]=12, Table32[ [#This Row],[Account Deposit Amount] ]-Table32[ [#This Row],[Account Withdrawl Amount] ], )</f>
        <v>-96</v>
      </c>
      <c r="Q5" s="87">
        <f>IF(Table32[[#This Row],[CODE]]=13, Table32[ [#This Row],[Account Deposit Amount] ]-Table32[ [#This Row],[Account Withdrawl Amount] ], )</f>
        <v>0</v>
      </c>
      <c r="R5" s="87">
        <f>IF(Table32[[#This Row],[CODE]]=14, Table32[ [#This Row],[Account Deposit Amount] ]-Table32[ [#This Row],[Account Withdrawl Amount] ], )</f>
        <v>0</v>
      </c>
      <c r="S5" s="87">
        <f>IF(Table32[[#This Row],[CODE]]=15, Table32[ [#This Row],[Account Deposit Amount] ]-Table32[ [#This Row],[Account Withdrawl Amount] ], )</f>
        <v>0</v>
      </c>
      <c r="T5" s="87">
        <f>IF(Table32[[#This Row],[CODE]]=16, Table32[ [#This Row],[Account Deposit Amount] ]-Table32[ [#This Row],[Account Withdrawl Amount] ], )</f>
        <v>0</v>
      </c>
      <c r="U5" s="29">
        <f>IF(Table32[[#This Row],[CODE]]=17, Table32[ [#This Row],[Account Deposit Amount] ]-Table32[ [#This Row],[Account Withdrawl Amount] ], )</f>
        <v>0</v>
      </c>
      <c r="V5" s="29">
        <f>IF(Table32[[#This Row],[CODE]]=17, Table32[ [#This Row],[Account Deposit Amount] ]-Table32[ [#This Row],[Account Withdrawl Amount] ], )</f>
        <v>0</v>
      </c>
      <c r="W5" s="20"/>
      <c r="X5" s="20"/>
      <c r="Y5" s="20"/>
      <c r="Z5" s="20"/>
      <c r="AA5" s="20"/>
      <c r="AB5" s="20"/>
    </row>
    <row r="6" spans="1:28" ht="12.6" thickBot="1">
      <c r="A6" s="23" t="s">
        <v>203</v>
      </c>
      <c r="B6" s="24">
        <v>44373</v>
      </c>
      <c r="C6" s="23" t="s">
        <v>204</v>
      </c>
      <c r="D6" s="25" t="s">
        <v>205</v>
      </c>
      <c r="E6" s="79"/>
      <c r="F6" s="79">
        <f>26*6+30*2</f>
        <v>216</v>
      </c>
      <c r="G6" s="82">
        <f t="shared" ref="G6:G22" si="2">G5+E6-F6</f>
        <v>222.90999999999997</v>
      </c>
      <c r="H6" s="23">
        <v>13</v>
      </c>
      <c r="I6" s="38">
        <f>IF(Table32[[#This Row],[CODE]]=1, Table32[ [#This Row],[Account Deposit Amount] ]-Table32[ [#This Row],[Account Withdrawl Amount] ], )</f>
        <v>0</v>
      </c>
      <c r="J6" s="88">
        <f>IF(Table32[[#This Row],[CODE]]=2, Table32[ [#This Row],[Account Deposit Amount] ]-Table32[ [#This Row],[Account Withdrawl Amount] ], )</f>
        <v>0</v>
      </c>
      <c r="K6" s="88">
        <f>IF(Table32[[#This Row],[CODE]]=3, Table32[ [#This Row],[Account Deposit Amount] ]-Table32[ [#This Row],[Account Withdrawl Amount] ], )</f>
        <v>0</v>
      </c>
      <c r="L6" s="89">
        <f>IF(Table32[[#This Row],[CODE]]=4, Table32[ [#This Row],[Account Deposit Amount] ]-Table32[ [#This Row],[Account Withdrawl Amount] ], )</f>
        <v>0</v>
      </c>
      <c r="M6" s="89">
        <f>IF(Table32[[#This Row],[CODE]]=5, Table32[ [#This Row],[Account Deposit Amount] ]-Table32[ [#This Row],[Account Withdrawl Amount] ], )</f>
        <v>0</v>
      </c>
      <c r="N6" s="89">
        <f>IF(Table32[[#This Row],[CODE]]=6, Table32[ [#This Row],[Account Deposit Amount] ]-Table32[ [#This Row],[Account Withdrawl Amount] ], )</f>
        <v>0</v>
      </c>
      <c r="O6" s="89">
        <f>IF(Table32[[#This Row],[CODE]]=11, Table32[ [#This Row],[Account Deposit Amount] ]-Table32[ [#This Row],[Account Withdrawl Amount] ], )</f>
        <v>0</v>
      </c>
      <c r="P6" s="89">
        <f>IF(Table32[[#This Row],[CODE]]=12, Table32[ [#This Row],[Account Deposit Amount] ]-Table32[ [#This Row],[Account Withdrawl Amount] ], )</f>
        <v>0</v>
      </c>
      <c r="Q6" s="89">
        <f>IF(Table32[[#This Row],[CODE]]=13, Table32[ [#This Row],[Account Deposit Amount] ]-Table32[ [#This Row],[Account Withdrawl Amount] ], )</f>
        <v>-216</v>
      </c>
      <c r="R6" s="89">
        <f>IF(Table32[[#This Row],[CODE]]=14, Table32[ [#This Row],[Account Deposit Amount] ]-Table32[ [#This Row],[Account Withdrawl Amount] ], )</f>
        <v>0</v>
      </c>
      <c r="S6" s="89">
        <f>IF(Table32[[#This Row],[CODE]]=15, Table32[ [#This Row],[Account Deposit Amount] ]-Table32[ [#This Row],[Account Withdrawl Amount] ], )</f>
        <v>0</v>
      </c>
      <c r="T6" s="89">
        <f>IF(Table32[[#This Row],[CODE]]=16, Table32[ [#This Row],[Account Deposit Amount] ]-Table32[ [#This Row],[Account Withdrawl Amount] ], )</f>
        <v>0</v>
      </c>
      <c r="U6" s="38">
        <f>IF(Table32[[#This Row],[CODE]]=17, Table32[ [#This Row],[Account Deposit Amount] ]-Table32[ [#This Row],[Account Withdrawl Amount] ], )</f>
        <v>0</v>
      </c>
      <c r="V6" s="38">
        <f>IF(Table32[[#This Row],[CODE]]=17, Table32[ [#This Row],[Account Deposit Amount] ]-Table32[ [#This Row],[Account Withdrawl Amount] ], )</f>
        <v>0</v>
      </c>
    </row>
    <row r="7" spans="1:28" ht="12.6" thickBot="1">
      <c r="A7" s="23" t="s">
        <v>206</v>
      </c>
      <c r="B7" s="24">
        <v>44373</v>
      </c>
      <c r="C7" s="23" t="s">
        <v>207</v>
      </c>
      <c r="D7" s="25" t="s">
        <v>208</v>
      </c>
      <c r="E7" s="79"/>
      <c r="F7" s="79">
        <v>10</v>
      </c>
      <c r="G7" s="82">
        <f t="shared" si="2"/>
        <v>212.90999999999997</v>
      </c>
      <c r="H7" s="23">
        <v>14</v>
      </c>
      <c r="I7" s="38">
        <f>IF(Table32[[#This Row],[CODE]]=1, Table32[ [#This Row],[Account Deposit Amount] ]-Table32[ [#This Row],[Account Withdrawl Amount] ], )</f>
        <v>0</v>
      </c>
      <c r="J7" s="88">
        <f>IF(Table32[[#This Row],[CODE]]=2, Table32[ [#This Row],[Account Deposit Amount] ]-Table32[ [#This Row],[Account Withdrawl Amount] ], )</f>
        <v>0</v>
      </c>
      <c r="K7" s="88">
        <f>IF(Table32[[#This Row],[CODE]]=3, Table32[ [#This Row],[Account Deposit Amount] ]-Table32[ [#This Row],[Account Withdrawl Amount] ], )</f>
        <v>0</v>
      </c>
      <c r="L7" s="89">
        <f>IF(Table32[[#This Row],[CODE]]=4, Table32[ [#This Row],[Account Deposit Amount] ]-Table32[ [#This Row],[Account Withdrawl Amount] ], )</f>
        <v>0</v>
      </c>
      <c r="M7" s="89">
        <f>IF(Table32[[#This Row],[CODE]]=5, Table32[ [#This Row],[Account Deposit Amount] ]-Table32[ [#This Row],[Account Withdrawl Amount] ], )</f>
        <v>0</v>
      </c>
      <c r="N7" s="89">
        <f>IF(Table32[[#This Row],[CODE]]=6, Table32[ [#This Row],[Account Deposit Amount] ]-Table32[ [#This Row],[Account Withdrawl Amount] ], )</f>
        <v>0</v>
      </c>
      <c r="O7" s="89">
        <f>IF(Table32[[#This Row],[CODE]]=11, Table32[ [#This Row],[Account Deposit Amount] ]-Table32[ [#This Row],[Account Withdrawl Amount] ], )</f>
        <v>0</v>
      </c>
      <c r="P7" s="89">
        <f>IF(Table32[[#This Row],[CODE]]=12, Table32[ [#This Row],[Account Deposit Amount] ]-Table32[ [#This Row],[Account Withdrawl Amount] ], )</f>
        <v>0</v>
      </c>
      <c r="Q7" s="89">
        <f>IF(Table32[[#This Row],[CODE]]=13, Table32[ [#This Row],[Account Deposit Amount] ]-Table32[ [#This Row],[Account Withdrawl Amount] ], )</f>
        <v>0</v>
      </c>
      <c r="R7" s="89">
        <f>IF(Table32[[#This Row],[CODE]]=14, Table32[ [#This Row],[Account Deposit Amount] ]-Table32[ [#This Row],[Account Withdrawl Amount] ], )</f>
        <v>-10</v>
      </c>
      <c r="S7" s="89">
        <f>IF(Table32[[#This Row],[CODE]]=15, Table32[ [#This Row],[Account Deposit Amount] ]-Table32[ [#This Row],[Account Withdrawl Amount] ], )</f>
        <v>0</v>
      </c>
      <c r="T7" s="89">
        <f>IF(Table32[[#This Row],[CODE]]=16, Table32[ [#This Row],[Account Deposit Amount] ]-Table32[ [#This Row],[Account Withdrawl Amount] ], )</f>
        <v>0</v>
      </c>
      <c r="U7" s="38">
        <f>IF(Table32[[#This Row],[CODE]]=17, Table32[ [#This Row],[Account Deposit Amount] ]-Table32[ [#This Row],[Account Withdrawl Amount] ], )</f>
        <v>0</v>
      </c>
      <c r="V7" s="38">
        <f>IF(Table32[[#This Row],[CODE]]=17, Table32[ [#This Row],[Account Deposit Amount] ]-Table32[ [#This Row],[Account Withdrawl Amount] ], )</f>
        <v>0</v>
      </c>
    </row>
    <row r="8" spans="1:28" ht="24.6" thickBot="1">
      <c r="A8" s="23" t="s">
        <v>209</v>
      </c>
      <c r="B8" s="24">
        <v>44462</v>
      </c>
      <c r="C8" s="23" t="s">
        <v>210</v>
      </c>
      <c r="D8" s="25" t="s">
        <v>211</v>
      </c>
      <c r="E8" s="79">
        <v>75</v>
      </c>
      <c r="F8" s="79"/>
      <c r="G8" s="82">
        <f t="shared" si="2"/>
        <v>287.90999999999997</v>
      </c>
      <c r="H8" s="23">
        <v>5</v>
      </c>
      <c r="I8" s="38">
        <f>IF(Table32[[#This Row],[CODE]]=1, Table32[ [#This Row],[Account Deposit Amount] ]-Table32[ [#This Row],[Account Withdrawl Amount] ], )</f>
        <v>0</v>
      </c>
      <c r="J8" s="88">
        <f>IF(Table32[[#This Row],[CODE]]=2, Table32[ [#This Row],[Account Deposit Amount] ]-Table32[ [#This Row],[Account Withdrawl Amount] ], )</f>
        <v>0</v>
      </c>
      <c r="K8" s="88">
        <f>IF(Table32[[#This Row],[CODE]]=3, Table32[ [#This Row],[Account Deposit Amount] ]-Table32[ [#This Row],[Account Withdrawl Amount] ], )</f>
        <v>0</v>
      </c>
      <c r="L8" s="89">
        <f>IF(Table32[[#This Row],[CODE]]=4, Table32[ [#This Row],[Account Deposit Amount] ]-Table32[ [#This Row],[Account Withdrawl Amount] ], )</f>
        <v>0</v>
      </c>
      <c r="M8" s="89">
        <f>IF(Table32[[#This Row],[CODE]]=5, Table32[ [#This Row],[Account Deposit Amount] ]-Table32[ [#This Row],[Account Withdrawl Amount] ], )</f>
        <v>75</v>
      </c>
      <c r="N8" s="89">
        <f>IF(Table32[[#This Row],[CODE]]=6, Table32[ [#This Row],[Account Deposit Amount] ]-Table32[ [#This Row],[Account Withdrawl Amount] ], )</f>
        <v>0</v>
      </c>
      <c r="O8" s="89">
        <f>IF(Table32[[#This Row],[CODE]]=11, Table32[ [#This Row],[Account Deposit Amount] ]-Table32[ [#This Row],[Account Withdrawl Amount] ], )</f>
        <v>0</v>
      </c>
      <c r="P8" s="89"/>
      <c r="Q8" s="89"/>
      <c r="R8" s="89">
        <f>IF(Table32[[#This Row],[CODE]]=14, Table32[ [#This Row],[Account Deposit Amount] ]-Table32[ [#This Row],[Account Withdrawl Amount] ], )</f>
        <v>0</v>
      </c>
      <c r="S8" s="89">
        <f>IF(Table32[[#This Row],[CODE]]=15, Table32[ [#This Row],[Account Deposit Amount] ]-Table32[ [#This Row],[Account Withdrawl Amount] ], )</f>
        <v>0</v>
      </c>
      <c r="T8" s="89">
        <f>IF(Table32[[#This Row],[CODE]]=16, Table32[ [#This Row],[Account Deposit Amount] ]-Table32[ [#This Row],[Account Withdrawl Amount] ], )</f>
        <v>0</v>
      </c>
      <c r="U8" s="38">
        <f>IF(Table32[[#This Row],[CODE]]=17, Table32[ [#This Row],[Account Deposit Amount] ]-Table32[ [#This Row],[Account Withdrawl Amount] ], )</f>
        <v>0</v>
      </c>
      <c r="V8" s="38">
        <f>IF(Table32[[#This Row],[CODE]]=17, Table32[ [#This Row],[Account Deposit Amount] ]-Table32[ [#This Row],[Account Withdrawl Amount] ], )</f>
        <v>0</v>
      </c>
    </row>
    <row r="9" spans="1:28" ht="24.6" thickBot="1">
      <c r="A9" s="23" t="s">
        <v>212</v>
      </c>
      <c r="B9" s="24">
        <v>44471</v>
      </c>
      <c r="C9" s="23" t="s">
        <v>201</v>
      </c>
      <c r="D9" s="25" t="s">
        <v>213</v>
      </c>
      <c r="E9" s="79"/>
      <c r="F9" s="79">
        <v>60</v>
      </c>
      <c r="G9" s="82">
        <f t="shared" si="2"/>
        <v>227.90999999999997</v>
      </c>
      <c r="H9" s="100">
        <v>12</v>
      </c>
      <c r="I9" s="38">
        <f>IF(Table32[[#This Row],[CODE]]=1, Table32[ [#This Row],[Account Deposit Amount] ]-Table32[ [#This Row],[Account Withdrawl Amount] ], )</f>
        <v>0</v>
      </c>
      <c r="J9" s="88">
        <f>IF(Table32[[#This Row],[CODE]]=2, Table32[ [#This Row],[Account Deposit Amount] ]-Table32[ [#This Row],[Account Withdrawl Amount] ], )</f>
        <v>0</v>
      </c>
      <c r="K9" s="88">
        <f>IF(Table32[[#This Row],[CODE]]=3, Table32[ [#This Row],[Account Deposit Amount] ]-Table32[ [#This Row],[Account Withdrawl Amount] ], )</f>
        <v>0</v>
      </c>
      <c r="L9" s="89">
        <f>IF(Table32[[#This Row],[CODE]]=4, Table32[ [#This Row],[Account Deposit Amount] ]-Table32[ [#This Row],[Account Withdrawl Amount] ], )</f>
        <v>0</v>
      </c>
      <c r="M9" s="89">
        <f>IF(Table32[[#This Row],[CODE]]=5, Table32[ [#This Row],[Account Deposit Amount] ]-Table32[ [#This Row],[Account Withdrawl Amount] ], )</f>
        <v>0</v>
      </c>
      <c r="N9" s="89">
        <f>IF(Table32[[#This Row],[CODE]]=6, Table32[ [#This Row],[Account Deposit Amount] ]-Table32[ [#This Row],[Account Withdrawl Amount] ], )</f>
        <v>0</v>
      </c>
      <c r="O9" s="89">
        <f>IF(Table32[[#This Row],[CODE]]=11, Table32[ [#This Row],[Account Deposit Amount] ]-Table32[ [#This Row],[Account Withdrawl Amount] ], )</f>
        <v>0</v>
      </c>
      <c r="P9" s="89">
        <v>-27</v>
      </c>
      <c r="Q9" s="89">
        <v>-33</v>
      </c>
      <c r="R9" s="89">
        <f>IF(Table32[[#This Row],[CODE]]=14, Table32[ [#This Row],[Account Deposit Amount] ]-Table32[ [#This Row],[Account Withdrawl Amount] ], )</f>
        <v>0</v>
      </c>
      <c r="S9" s="89">
        <f>IF(Table32[[#This Row],[CODE]]=15, Table32[ [#This Row],[Account Deposit Amount] ]-Table32[ [#This Row],[Account Withdrawl Amount] ], )</f>
        <v>0</v>
      </c>
      <c r="T9" s="89">
        <f>IF(Table32[[#This Row],[CODE]]=16, Table32[ [#This Row],[Account Deposit Amount] ]-Table32[ [#This Row],[Account Withdrawl Amount] ], )</f>
        <v>0</v>
      </c>
      <c r="U9" s="38">
        <f>IF(Table32[[#This Row],[CODE]]=17, Table32[ [#This Row],[Account Deposit Amount] ]-Table32[ [#This Row],[Account Withdrawl Amount] ], )</f>
        <v>0</v>
      </c>
      <c r="V9" s="38">
        <f>IF(Table32[[#This Row],[CODE]]=17, Table32[ [#This Row],[Account Deposit Amount] ]-Table32[ [#This Row],[Account Withdrawl Amount] ], )</f>
        <v>0</v>
      </c>
    </row>
    <row r="10" spans="1:28" ht="12.6" thickBot="1">
      <c r="A10" s="23" t="s">
        <v>214</v>
      </c>
      <c r="B10" s="24">
        <v>44615</v>
      </c>
      <c r="C10" s="23" t="s">
        <v>215</v>
      </c>
      <c r="D10" s="25" t="s">
        <v>216</v>
      </c>
      <c r="E10" s="79">
        <v>55</v>
      </c>
      <c r="F10" s="79"/>
      <c r="G10" s="82">
        <f t="shared" si="2"/>
        <v>282.90999999999997</v>
      </c>
      <c r="H10" s="23">
        <v>2</v>
      </c>
      <c r="I10" s="38">
        <f>IF(Table32[[#This Row],[CODE]]=1, Table32[ [#This Row],[Account Deposit Amount] ]-Table32[ [#This Row],[Account Withdrawl Amount] ], )</f>
        <v>0</v>
      </c>
      <c r="J10" s="88">
        <f>IF(Table32[[#This Row],[CODE]]=2, Table32[ [#This Row],[Account Deposit Amount] ]-Table32[ [#This Row],[Account Withdrawl Amount] ], )</f>
        <v>55</v>
      </c>
      <c r="K10" s="88">
        <f>IF(Table32[[#This Row],[CODE]]=3, Table32[ [#This Row],[Account Deposit Amount] ]-Table32[ [#This Row],[Account Withdrawl Amount] ], )</f>
        <v>0</v>
      </c>
      <c r="L10" s="89">
        <f>IF(Table32[[#This Row],[CODE]]=4, Table32[ [#This Row],[Account Deposit Amount] ]-Table32[ [#This Row],[Account Withdrawl Amount] ], )</f>
        <v>0</v>
      </c>
      <c r="M10" s="89">
        <f>IF(Table32[[#This Row],[CODE]]=5, Table32[ [#This Row],[Account Deposit Amount] ]-Table32[ [#This Row],[Account Withdrawl Amount] ], )</f>
        <v>0</v>
      </c>
      <c r="N10" s="89">
        <f>IF(Table32[[#This Row],[CODE]]=6, Table32[ [#This Row],[Account Deposit Amount] ]-Table32[ [#This Row],[Account Withdrawl Amount] ], )</f>
        <v>0</v>
      </c>
      <c r="O10" s="89">
        <f>IF(Table32[[#This Row],[CODE]]=11, Table32[ [#This Row],[Account Deposit Amount] ]-Table32[ [#This Row],[Account Withdrawl Amount] ], )</f>
        <v>0</v>
      </c>
      <c r="P10" s="89">
        <f>IF(Table32[[#This Row],[CODE]]=12, Table32[ [#This Row],[Account Deposit Amount] ]-Table32[ [#This Row],[Account Withdrawl Amount] ], )</f>
        <v>0</v>
      </c>
      <c r="Q10" s="89">
        <f>IF(Table32[[#This Row],[CODE]]=13, Table32[ [#This Row],[Account Deposit Amount] ]-Table32[ [#This Row],[Account Withdrawl Amount] ], )</f>
        <v>0</v>
      </c>
      <c r="R10" s="89">
        <f>IF(Table32[[#This Row],[CODE]]=14, Table32[ [#This Row],[Account Deposit Amount] ]-Table32[ [#This Row],[Account Withdrawl Amount] ], )</f>
        <v>0</v>
      </c>
      <c r="S10" s="89">
        <f>IF(Table32[[#This Row],[CODE]]=15, Table32[ [#This Row],[Account Deposit Amount] ]-Table32[ [#This Row],[Account Withdrawl Amount] ], )</f>
        <v>0</v>
      </c>
      <c r="T10" s="89">
        <f>IF(Table32[[#This Row],[CODE]]=16, Table32[ [#This Row],[Account Deposit Amount] ]-Table32[ [#This Row],[Account Withdrawl Amount] ], )</f>
        <v>0</v>
      </c>
      <c r="U10" s="38">
        <f>IF(Table32[[#This Row],[CODE]]=17, Table32[ [#This Row],[Account Deposit Amount] ]-Table32[ [#This Row],[Account Withdrawl Amount] ], )</f>
        <v>0</v>
      </c>
      <c r="V10" s="38">
        <f>IF(Table32[[#This Row],[CODE]]=17, Table32[ [#This Row],[Account Deposit Amount] ]-Table32[ [#This Row],[Account Withdrawl Amount] ], )</f>
        <v>0</v>
      </c>
    </row>
    <row r="11" spans="1:28" ht="12.6" thickBot="1">
      <c r="A11" s="23" t="s">
        <v>214</v>
      </c>
      <c r="B11" s="24"/>
      <c r="C11" s="23" t="s">
        <v>217</v>
      </c>
      <c r="D11" s="25" t="s">
        <v>218</v>
      </c>
      <c r="E11" s="79">
        <v>845</v>
      </c>
      <c r="F11" s="79"/>
      <c r="G11" s="82">
        <f t="shared" si="2"/>
        <v>1127.9099999999999</v>
      </c>
      <c r="H11" s="23">
        <v>2</v>
      </c>
      <c r="I11" s="38">
        <f>IF(Table32[[#This Row],[CODE]]=1, Table32[ [#This Row],[Account Deposit Amount] ]-Table32[ [#This Row],[Account Withdrawl Amount] ], )</f>
        <v>0</v>
      </c>
      <c r="J11" s="88">
        <f>IF(Table32[[#This Row],[CODE]]=2, Table32[ [#This Row],[Account Deposit Amount] ]-Table32[ [#This Row],[Account Withdrawl Amount] ], )</f>
        <v>845</v>
      </c>
      <c r="K11" s="88">
        <f>IF(Table32[[#This Row],[CODE]]=3, Table32[ [#This Row],[Account Deposit Amount] ]-Table32[ [#This Row],[Account Withdrawl Amount] ], )</f>
        <v>0</v>
      </c>
      <c r="L11" s="89">
        <f>IF(Table32[[#This Row],[CODE]]=4, Table32[ [#This Row],[Account Deposit Amount] ]-Table32[ [#This Row],[Account Withdrawl Amount] ], )</f>
        <v>0</v>
      </c>
      <c r="M11" s="89">
        <f>IF(Table32[[#This Row],[CODE]]=5, Table32[ [#This Row],[Account Deposit Amount] ]-Table32[ [#This Row],[Account Withdrawl Amount] ], )</f>
        <v>0</v>
      </c>
      <c r="N11" s="89">
        <f>IF(Table32[[#This Row],[CODE]]=6, Table32[ [#This Row],[Account Deposit Amount] ]-Table32[ [#This Row],[Account Withdrawl Amount] ], )</f>
        <v>0</v>
      </c>
      <c r="O11" s="89">
        <f>IF(Table32[[#This Row],[CODE]]=11, Table32[ [#This Row],[Account Deposit Amount] ]-Table32[ [#This Row],[Account Withdrawl Amount] ], )</f>
        <v>0</v>
      </c>
      <c r="P11" s="89">
        <f>IF(Table32[[#This Row],[CODE]]=12, Table32[ [#This Row],[Account Deposit Amount] ]-Table32[ [#This Row],[Account Withdrawl Amount] ], )</f>
        <v>0</v>
      </c>
      <c r="Q11" s="89">
        <f>IF(Table32[[#This Row],[CODE]]=13, Table32[ [#This Row],[Account Deposit Amount] ]-Table32[ [#This Row],[Account Withdrawl Amount] ], )</f>
        <v>0</v>
      </c>
      <c r="R11" s="89">
        <f>IF(Table32[[#This Row],[CODE]]=14, Table32[ [#This Row],[Account Deposit Amount] ]-Table32[ [#This Row],[Account Withdrawl Amount] ], )</f>
        <v>0</v>
      </c>
      <c r="S11" s="89">
        <f>IF(Table32[[#This Row],[CODE]]=15, Table32[ [#This Row],[Account Deposit Amount] ]-Table32[ [#This Row],[Account Withdrawl Amount] ], )</f>
        <v>0</v>
      </c>
      <c r="T11" s="89">
        <f>IF(Table32[[#This Row],[CODE]]=16, Table32[ [#This Row],[Account Deposit Amount] ]-Table32[ [#This Row],[Account Withdrawl Amount] ], )</f>
        <v>0</v>
      </c>
      <c r="U11" s="38">
        <f>IF(Table32[[#This Row],[CODE]]=17, Table32[ [#This Row],[Account Deposit Amount] ]-Table32[ [#This Row],[Account Withdrawl Amount] ], )</f>
        <v>0</v>
      </c>
      <c r="V11" s="38">
        <f>IF(Table32[[#This Row],[CODE]]=17, Table32[ [#This Row],[Account Deposit Amount] ]-Table32[ [#This Row],[Account Withdrawl Amount] ], )</f>
        <v>0</v>
      </c>
    </row>
    <row r="12" spans="1:28" ht="12.6" thickBot="1">
      <c r="A12" s="23" t="s">
        <v>219</v>
      </c>
      <c r="B12" s="24">
        <v>44632</v>
      </c>
      <c r="C12" s="23" t="s">
        <v>220</v>
      </c>
      <c r="D12" s="25" t="s">
        <v>221</v>
      </c>
      <c r="E12" s="79">
        <v>228.58</v>
      </c>
      <c r="F12" s="79"/>
      <c r="G12" s="82">
        <f t="shared" si="2"/>
        <v>1356.4899999999998</v>
      </c>
      <c r="H12" s="23">
        <v>2</v>
      </c>
      <c r="I12" s="38">
        <f>IF(Table32[[#This Row],[CODE]]=1, Table32[ [#This Row],[Account Deposit Amount] ]-Table32[ [#This Row],[Account Withdrawl Amount] ], )</f>
        <v>0</v>
      </c>
      <c r="J12" s="88">
        <f>IF(Table32[[#This Row],[CODE]]=2, Table32[ [#This Row],[Account Deposit Amount] ]-Table32[ [#This Row],[Account Withdrawl Amount] ], )</f>
        <v>228.58</v>
      </c>
      <c r="K12" s="88">
        <f>IF(Table32[[#This Row],[CODE]]=3, Table32[ [#This Row],[Account Deposit Amount] ]-Table32[ [#This Row],[Account Withdrawl Amount] ], )</f>
        <v>0</v>
      </c>
      <c r="L12" s="89">
        <f>IF(Table32[[#This Row],[CODE]]=4, Table32[ [#This Row],[Account Deposit Amount] ]-Table32[ [#This Row],[Account Withdrawl Amount] ], )</f>
        <v>0</v>
      </c>
      <c r="M12" s="89">
        <f>IF(Table32[[#This Row],[CODE]]=5, Table32[ [#This Row],[Account Deposit Amount] ]-Table32[ [#This Row],[Account Withdrawl Amount] ], )</f>
        <v>0</v>
      </c>
      <c r="N12" s="89">
        <f>IF(Table32[[#This Row],[CODE]]=6, Table32[ [#This Row],[Account Deposit Amount] ]-Table32[ [#This Row],[Account Withdrawl Amount] ], )</f>
        <v>0</v>
      </c>
      <c r="O12" s="89">
        <f>IF(Table32[[#This Row],[CODE]]=11, Table32[ [#This Row],[Account Deposit Amount] ]-Table32[ [#This Row],[Account Withdrawl Amount] ], )</f>
        <v>0</v>
      </c>
      <c r="P12" s="89">
        <f>IF(Table32[[#This Row],[CODE]]=12, Table32[ [#This Row],[Account Deposit Amount] ]-Table32[ [#This Row],[Account Withdrawl Amount] ], )</f>
        <v>0</v>
      </c>
      <c r="Q12" s="89">
        <f>IF(Table32[[#This Row],[CODE]]=13, Table32[ [#This Row],[Account Deposit Amount] ]-Table32[ [#This Row],[Account Withdrawl Amount] ], )</f>
        <v>0</v>
      </c>
      <c r="R12" s="89">
        <f>IF(Table32[[#This Row],[CODE]]=14, Table32[ [#This Row],[Account Deposit Amount] ]-Table32[ [#This Row],[Account Withdrawl Amount] ], )</f>
        <v>0</v>
      </c>
      <c r="S12" s="89">
        <f>IF(Table32[[#This Row],[CODE]]=15, Table32[ [#This Row],[Account Deposit Amount] ]-Table32[ [#This Row],[Account Withdrawl Amount] ], )</f>
        <v>0</v>
      </c>
      <c r="T12" s="89">
        <f>IF(Table32[[#This Row],[CODE]]=16, Table32[ [#This Row],[Account Deposit Amount] ]-Table32[ [#This Row],[Account Withdrawl Amount] ], )</f>
        <v>0</v>
      </c>
      <c r="U12" s="38">
        <f>IF(Table32[[#This Row],[CODE]]=17, Table32[ [#This Row],[Account Deposit Amount] ]-Table32[ [#This Row],[Account Withdrawl Amount] ], )</f>
        <v>0</v>
      </c>
      <c r="V12" s="38">
        <f>IF(Table32[[#This Row],[CODE]]=17, Table32[ [#This Row],[Account Deposit Amount] ]-Table32[ [#This Row],[Account Withdrawl Amount] ], )</f>
        <v>0</v>
      </c>
    </row>
    <row r="13" spans="1:28" ht="24.6" thickBot="1">
      <c r="A13" s="23" t="s">
        <v>219</v>
      </c>
      <c r="B13" s="24">
        <v>44663</v>
      </c>
      <c r="C13" s="23" t="s">
        <v>222</v>
      </c>
      <c r="D13" s="25" t="s">
        <v>223</v>
      </c>
      <c r="E13" s="79"/>
      <c r="F13" s="79">
        <v>929</v>
      </c>
      <c r="G13" s="82">
        <f t="shared" si="2"/>
        <v>427.48999999999978</v>
      </c>
      <c r="H13" s="23">
        <v>2</v>
      </c>
      <c r="I13" s="38">
        <f>IF(Table32[[#This Row],[CODE]]=1, Table32[ [#This Row],[Account Deposit Amount] ]-Table32[ [#This Row],[Account Withdrawl Amount] ], )</f>
        <v>0</v>
      </c>
      <c r="J13" s="88">
        <f>IF(Table32[[#This Row],[CODE]]=2, Table32[ [#This Row],[Account Deposit Amount] ]-Table32[ [#This Row],[Account Withdrawl Amount] ], )</f>
        <v>-929</v>
      </c>
      <c r="K13" s="88">
        <f>IF(Table32[[#This Row],[CODE]]=3, Table32[ [#This Row],[Account Deposit Amount] ]-Table32[ [#This Row],[Account Withdrawl Amount] ], )</f>
        <v>0</v>
      </c>
      <c r="L13" s="89">
        <f>IF(Table32[[#This Row],[CODE]]=4, Table32[ [#This Row],[Account Deposit Amount] ]-Table32[ [#This Row],[Account Withdrawl Amount] ], )</f>
        <v>0</v>
      </c>
      <c r="M13" s="89">
        <f>IF(Table32[[#This Row],[CODE]]=5, Table32[ [#This Row],[Account Deposit Amount] ]-Table32[ [#This Row],[Account Withdrawl Amount] ], )</f>
        <v>0</v>
      </c>
      <c r="N13" s="89">
        <f>IF(Table32[[#This Row],[CODE]]=6, Table32[ [#This Row],[Account Deposit Amount] ]-Table32[ [#This Row],[Account Withdrawl Amount] ], )</f>
        <v>0</v>
      </c>
      <c r="O13" s="89">
        <f>IF(Table32[[#This Row],[CODE]]=11, Table32[ [#This Row],[Account Deposit Amount] ]-Table32[ [#This Row],[Account Withdrawl Amount] ], )</f>
        <v>0</v>
      </c>
      <c r="P13" s="89">
        <f>IF(Table32[[#This Row],[CODE]]=12, Table32[ [#This Row],[Account Deposit Amount] ]-Table32[ [#This Row],[Account Withdrawl Amount] ], )</f>
        <v>0</v>
      </c>
      <c r="Q13" s="89">
        <f>IF(Table32[[#This Row],[CODE]]=13, Table32[ [#This Row],[Account Deposit Amount] ]-Table32[ [#This Row],[Account Withdrawl Amount] ], )</f>
        <v>0</v>
      </c>
      <c r="R13" s="89">
        <f>IF(Table32[[#This Row],[CODE]]=14, Table32[ [#This Row],[Account Deposit Amount] ]-Table32[ [#This Row],[Account Withdrawl Amount] ], )</f>
        <v>0</v>
      </c>
      <c r="S13" s="89">
        <f>IF(Table32[[#This Row],[CODE]]=15, Table32[ [#This Row],[Account Deposit Amount] ]-Table32[ [#This Row],[Account Withdrawl Amount] ], )</f>
        <v>0</v>
      </c>
      <c r="T13" s="89">
        <f>IF(Table32[[#This Row],[CODE]]=16, Table32[ [#This Row],[Account Deposit Amount] ]-Table32[ [#This Row],[Account Withdrawl Amount] ], )</f>
        <v>0</v>
      </c>
      <c r="U13" s="38">
        <f>IF(Table32[[#This Row],[CODE]]=17, Table32[ [#This Row],[Account Deposit Amount] ]-Table32[ [#This Row],[Account Withdrawl Amount] ], )</f>
        <v>0</v>
      </c>
      <c r="V13" s="38">
        <f>IF(Table32[[#This Row],[CODE]]=17, Table32[ [#This Row],[Account Deposit Amount] ]-Table32[ [#This Row],[Account Withdrawl Amount] ], )</f>
        <v>0</v>
      </c>
    </row>
    <row r="14" spans="1:28" ht="12.6" thickBot="1">
      <c r="A14" s="23" t="s">
        <v>224</v>
      </c>
      <c r="B14" s="24">
        <v>44673</v>
      </c>
      <c r="C14" s="23" t="s">
        <v>225</v>
      </c>
      <c r="D14" s="25" t="s">
        <v>226</v>
      </c>
      <c r="E14" s="79"/>
      <c r="F14" s="79">
        <v>43</v>
      </c>
      <c r="G14" s="82">
        <f t="shared" si="2"/>
        <v>384.48999999999978</v>
      </c>
      <c r="H14" s="23">
        <v>15</v>
      </c>
      <c r="I14" s="38">
        <f>IF(Table32[[#This Row],[CODE]]=1, Table32[ [#This Row],[Account Deposit Amount] ]-Table32[ [#This Row],[Account Withdrawl Amount] ], )</f>
        <v>0</v>
      </c>
      <c r="J14" s="88">
        <f>IF(Table32[[#This Row],[CODE]]=2, Table32[ [#This Row],[Account Deposit Amount] ]-Table32[ [#This Row],[Account Withdrawl Amount] ], )</f>
        <v>0</v>
      </c>
      <c r="K14" s="88">
        <f>IF(Table32[[#This Row],[CODE]]=3, Table32[ [#This Row],[Account Deposit Amount] ]-Table32[ [#This Row],[Account Withdrawl Amount] ], )</f>
        <v>0</v>
      </c>
      <c r="L14" s="89">
        <f>IF(Table32[[#This Row],[CODE]]=4, Table32[ [#This Row],[Account Deposit Amount] ]-Table32[ [#This Row],[Account Withdrawl Amount] ], )</f>
        <v>0</v>
      </c>
      <c r="M14" s="89">
        <f>IF(Table32[[#This Row],[CODE]]=5, Table32[ [#This Row],[Account Deposit Amount] ]-Table32[ [#This Row],[Account Withdrawl Amount] ], )</f>
        <v>0</v>
      </c>
      <c r="N14" s="89">
        <f>IF(Table32[[#This Row],[CODE]]=6, Table32[ [#This Row],[Account Deposit Amount] ]-Table32[ [#This Row],[Account Withdrawl Amount] ], )</f>
        <v>0</v>
      </c>
      <c r="O14" s="89">
        <f>IF(Table32[[#This Row],[CODE]]=11, Table32[ [#This Row],[Account Deposit Amount] ]-Table32[ [#This Row],[Account Withdrawl Amount] ], )</f>
        <v>0</v>
      </c>
      <c r="P14" s="89">
        <f>IF(Table32[[#This Row],[CODE]]=12, Table32[ [#This Row],[Account Deposit Amount] ]-Table32[ [#This Row],[Account Withdrawl Amount] ], )</f>
        <v>0</v>
      </c>
      <c r="Q14" s="89">
        <f>IF(Table32[[#This Row],[CODE]]=13, Table32[ [#This Row],[Account Deposit Amount] ]-Table32[ [#This Row],[Account Withdrawl Amount] ], )</f>
        <v>0</v>
      </c>
      <c r="R14" s="89">
        <f>IF(Table32[[#This Row],[CODE]]=14, Table32[ [#This Row],[Account Deposit Amount] ]-Table32[ [#This Row],[Account Withdrawl Amount] ], )</f>
        <v>0</v>
      </c>
      <c r="S14" s="89">
        <f>IF(Table32[[#This Row],[CODE]]=15, Table32[ [#This Row],[Account Deposit Amount] ]-Table32[ [#This Row],[Account Withdrawl Amount] ], )</f>
        <v>-43</v>
      </c>
      <c r="T14" s="89">
        <f>IF(Table32[[#This Row],[CODE]]=16, Table32[ [#This Row],[Account Deposit Amount] ]-Table32[ [#This Row],[Account Withdrawl Amount] ], )</f>
        <v>0</v>
      </c>
      <c r="U14" s="38">
        <f>IF(Table32[[#This Row],[CODE]]=17, Table32[ [#This Row],[Account Deposit Amount] ]-Table32[ [#This Row],[Account Withdrawl Amount] ], )</f>
        <v>0</v>
      </c>
      <c r="V14" s="38">
        <f>IF(Table32[[#This Row],[CODE]]=17, Table32[ [#This Row],[Account Deposit Amount] ]-Table32[ [#This Row],[Account Withdrawl Amount] ], )</f>
        <v>0</v>
      </c>
    </row>
    <row r="15" spans="1:28" ht="24.6" thickBot="1">
      <c r="A15" s="23" t="s">
        <v>227</v>
      </c>
      <c r="B15" s="24">
        <v>44673</v>
      </c>
      <c r="C15" s="23" t="s">
        <v>228</v>
      </c>
      <c r="D15" s="25" t="s">
        <v>229</v>
      </c>
      <c r="E15" s="79"/>
      <c r="F15" s="79">
        <v>115</v>
      </c>
      <c r="G15" s="82">
        <f t="shared" si="2"/>
        <v>269.48999999999978</v>
      </c>
      <c r="H15" s="23">
        <v>16</v>
      </c>
      <c r="I15" s="38">
        <f>IF(Table32[[#This Row],[CODE]]=1, Table32[ [#This Row],[Account Deposit Amount] ]-Table32[ [#This Row],[Account Withdrawl Amount] ], )</f>
        <v>0</v>
      </c>
      <c r="J15" s="88">
        <f>IF(Table32[[#This Row],[CODE]]=2, Table32[ [#This Row],[Account Deposit Amount] ]-Table32[ [#This Row],[Account Withdrawl Amount] ], )</f>
        <v>0</v>
      </c>
      <c r="K15" s="88">
        <f>IF(Table32[[#This Row],[CODE]]=3, Table32[ [#This Row],[Account Deposit Amount] ]-Table32[ [#This Row],[Account Withdrawl Amount] ], )</f>
        <v>0</v>
      </c>
      <c r="L15" s="89">
        <f>IF(Table32[[#This Row],[CODE]]=4, Table32[ [#This Row],[Account Deposit Amount] ]-Table32[ [#This Row],[Account Withdrawl Amount] ], )</f>
        <v>0</v>
      </c>
      <c r="M15" s="89">
        <f>IF(Table32[[#This Row],[CODE]]=5, Table32[ [#This Row],[Account Deposit Amount] ]-Table32[ [#This Row],[Account Withdrawl Amount] ], )</f>
        <v>0</v>
      </c>
      <c r="N15" s="89">
        <f>IF(Table32[[#This Row],[CODE]]=6, Table32[ [#This Row],[Account Deposit Amount] ]-Table32[ [#This Row],[Account Withdrawl Amount] ], )</f>
        <v>0</v>
      </c>
      <c r="O15" s="89">
        <f>IF(Table32[[#This Row],[CODE]]=11, Table32[ [#This Row],[Account Deposit Amount] ]-Table32[ [#This Row],[Account Withdrawl Amount] ], )</f>
        <v>0</v>
      </c>
      <c r="P15" s="89">
        <f>IF(Table32[[#This Row],[CODE]]=12, Table32[ [#This Row],[Account Deposit Amount] ]-Table32[ [#This Row],[Account Withdrawl Amount] ], )</f>
        <v>0</v>
      </c>
      <c r="Q15" s="89">
        <f>IF(Table32[[#This Row],[CODE]]=13, Table32[ [#This Row],[Account Deposit Amount] ]-Table32[ [#This Row],[Account Withdrawl Amount] ], )</f>
        <v>0</v>
      </c>
      <c r="R15" s="89">
        <f>IF(Table32[[#This Row],[CODE]]=14, Table32[ [#This Row],[Account Deposit Amount] ]-Table32[ [#This Row],[Account Withdrawl Amount] ], )</f>
        <v>0</v>
      </c>
      <c r="S15" s="89">
        <f>IF(Table32[[#This Row],[CODE]]=15, Table32[ [#This Row],[Account Deposit Amount] ]-Table32[ [#This Row],[Account Withdrawl Amount] ], )</f>
        <v>0</v>
      </c>
      <c r="T15" s="89">
        <f>IF(Table32[[#This Row],[CODE]]=16, Table32[ [#This Row],[Account Deposit Amount] ]-Table32[ [#This Row],[Account Withdrawl Amount] ], )</f>
        <v>-115</v>
      </c>
      <c r="U15" s="38">
        <f>IF(Table32[[#This Row],[CODE]]=17, Table32[ [#This Row],[Account Deposit Amount] ]-Table32[ [#This Row],[Account Withdrawl Amount] ], )</f>
        <v>0</v>
      </c>
      <c r="V15" s="38">
        <f>IF(Table32[[#This Row],[CODE]]=17, Table32[ [#This Row],[Account Deposit Amount] ]-Table32[ [#This Row],[Account Withdrawl Amount] ], )</f>
        <v>0</v>
      </c>
    </row>
    <row r="16" spans="1:28" ht="24.6" thickBot="1">
      <c r="A16" s="23" t="s">
        <v>230</v>
      </c>
      <c r="B16" s="24">
        <v>44681</v>
      </c>
      <c r="C16" s="23" t="s">
        <v>231</v>
      </c>
      <c r="D16" s="25" t="s">
        <v>232</v>
      </c>
      <c r="E16" s="79"/>
      <c r="F16" s="79">
        <v>170</v>
      </c>
      <c r="G16" s="82">
        <f t="shared" si="2"/>
        <v>99.489999999999782</v>
      </c>
      <c r="H16" s="23">
        <v>11</v>
      </c>
      <c r="I16" s="38">
        <f>IF(Table32[[#This Row],[CODE]]=1, Table32[ [#This Row],[Account Deposit Amount] ]-Table32[ [#This Row],[Account Withdrawl Amount] ], )</f>
        <v>0</v>
      </c>
      <c r="J16" s="88">
        <f>IF(Table32[[#This Row],[CODE]]=2, Table32[ [#This Row],[Account Deposit Amount] ]-Table32[ [#This Row],[Account Withdrawl Amount] ], )</f>
        <v>0</v>
      </c>
      <c r="K16" s="88">
        <f>IF(Table32[[#This Row],[CODE]]=3, Table32[ [#This Row],[Account Deposit Amount] ]-Table32[ [#This Row],[Account Withdrawl Amount] ], )</f>
        <v>0</v>
      </c>
      <c r="L16" s="89">
        <f>IF(Table32[[#This Row],[CODE]]=4, Table32[ [#This Row],[Account Deposit Amount] ]-Table32[ [#This Row],[Account Withdrawl Amount] ], )</f>
        <v>0</v>
      </c>
      <c r="M16" s="89">
        <f>IF(Table32[[#This Row],[CODE]]=5, Table32[ [#This Row],[Account Deposit Amount] ]-Table32[ [#This Row],[Account Withdrawl Amount] ], )</f>
        <v>0</v>
      </c>
      <c r="N16" s="89">
        <f>IF(Table32[[#This Row],[CODE]]=6, Table32[ [#This Row],[Account Deposit Amount] ]-Table32[ [#This Row],[Account Withdrawl Amount] ], )</f>
        <v>0</v>
      </c>
      <c r="O16" s="89">
        <f>IF(Table32[[#This Row],[CODE]]=11, Table32[ [#This Row],[Account Deposit Amount] ]-Table32[ [#This Row],[Account Withdrawl Amount] ], )</f>
        <v>-170</v>
      </c>
      <c r="P16" s="89">
        <f>IF(Table32[[#This Row],[CODE]]=12, Table32[ [#This Row],[Account Deposit Amount] ]-Table32[ [#This Row],[Account Withdrawl Amount] ], )</f>
        <v>0</v>
      </c>
      <c r="Q16" s="89">
        <f>IF(Table32[[#This Row],[CODE]]=13, Table32[ [#This Row],[Account Deposit Amount] ]-Table32[ [#This Row],[Account Withdrawl Amount] ], )</f>
        <v>0</v>
      </c>
      <c r="R16" s="89">
        <f>IF(Table32[[#This Row],[CODE]]=14, Table32[ [#This Row],[Account Deposit Amount] ]-Table32[ [#This Row],[Account Withdrawl Amount] ], )</f>
        <v>0</v>
      </c>
      <c r="S16" s="89">
        <f>IF(Table32[[#This Row],[CODE]]=15, Table32[ [#This Row],[Account Deposit Amount] ]-Table32[ [#This Row],[Account Withdrawl Amount] ], )</f>
        <v>0</v>
      </c>
      <c r="T16" s="89">
        <f>IF(Table32[[#This Row],[CODE]]=16, Table32[ [#This Row],[Account Deposit Amount] ]-Table32[ [#This Row],[Account Withdrawl Amount] ], )</f>
        <v>0</v>
      </c>
      <c r="U16" s="38">
        <f>IF(Table32[[#This Row],[CODE]]=17, Table32[ [#This Row],[Account Deposit Amount] ]-Table32[ [#This Row],[Account Withdrawl Amount] ], )</f>
        <v>0</v>
      </c>
      <c r="V16" s="38">
        <f>IF(Table32[[#This Row],[CODE]]=17, Table32[ [#This Row],[Account Deposit Amount] ]-Table32[ [#This Row],[Account Withdrawl Amount] ], )</f>
        <v>0</v>
      </c>
    </row>
    <row r="17" spans="1:22" ht="12.6" thickBot="1">
      <c r="A17" s="23"/>
      <c r="B17" s="24"/>
      <c r="C17" s="23"/>
      <c r="D17" s="25"/>
      <c r="E17" s="79"/>
      <c r="F17" s="79"/>
      <c r="G17" s="82">
        <f t="shared" si="2"/>
        <v>99.489999999999782</v>
      </c>
      <c r="H17" s="23"/>
      <c r="I17" s="38">
        <f>IF(Table32[[#This Row],[CODE]]=1, Table32[ [#This Row],[Account Deposit Amount] ]-Table32[ [#This Row],[Account Withdrawl Amount] ], )</f>
        <v>0</v>
      </c>
      <c r="J17" s="88">
        <f>IF(Table32[[#This Row],[CODE]]=2, Table32[ [#This Row],[Account Deposit Amount] ]-Table32[ [#This Row],[Account Withdrawl Amount] ], )</f>
        <v>0</v>
      </c>
      <c r="K17" s="88">
        <f>IF(Table32[[#This Row],[CODE]]=3, Table32[ [#This Row],[Account Deposit Amount] ]-Table32[ [#This Row],[Account Withdrawl Amount] ], )</f>
        <v>0</v>
      </c>
      <c r="L17" s="89">
        <f>IF(Table32[[#This Row],[CODE]]=4, Table32[ [#This Row],[Account Deposit Amount] ]-Table32[ [#This Row],[Account Withdrawl Amount] ], )</f>
        <v>0</v>
      </c>
      <c r="M17" s="89">
        <f>IF(Table32[[#This Row],[CODE]]=5, Table32[ [#This Row],[Account Deposit Amount] ]-Table32[ [#This Row],[Account Withdrawl Amount] ], )</f>
        <v>0</v>
      </c>
      <c r="N17" s="89">
        <f>IF(Table32[[#This Row],[CODE]]=6, Table32[ [#This Row],[Account Deposit Amount] ]-Table32[ [#This Row],[Account Withdrawl Amount] ], )</f>
        <v>0</v>
      </c>
      <c r="O17" s="89">
        <f>IF(Table32[[#This Row],[CODE]]=11, Table32[ [#This Row],[Account Deposit Amount] ]-Table32[ [#This Row],[Account Withdrawl Amount] ], )</f>
        <v>0</v>
      </c>
      <c r="P17" s="89">
        <f>IF(Table32[[#This Row],[CODE]]=12, Table32[ [#This Row],[Account Deposit Amount] ]-Table32[ [#This Row],[Account Withdrawl Amount] ], )</f>
        <v>0</v>
      </c>
      <c r="Q17" s="89">
        <f>IF(Table32[[#This Row],[CODE]]=13, Table32[ [#This Row],[Account Deposit Amount] ]-Table32[ [#This Row],[Account Withdrawl Amount] ], )</f>
        <v>0</v>
      </c>
      <c r="R17" s="89">
        <f>IF(Table32[[#This Row],[CODE]]=14, Table32[ [#This Row],[Account Deposit Amount] ]-Table32[ [#This Row],[Account Withdrawl Amount] ], )</f>
        <v>0</v>
      </c>
      <c r="S17" s="89">
        <f>IF(Table32[[#This Row],[CODE]]=15, Table32[ [#This Row],[Account Deposit Amount] ]-Table32[ [#This Row],[Account Withdrawl Amount] ], )</f>
        <v>0</v>
      </c>
      <c r="T17" s="89">
        <f>IF(Table32[[#This Row],[CODE]]=16, Table32[ [#This Row],[Account Deposit Amount] ]-Table32[ [#This Row],[Account Withdrawl Amount] ], )</f>
        <v>0</v>
      </c>
      <c r="U17" s="38">
        <f>IF(Table32[[#This Row],[CODE]]=17, Table32[ [#This Row],[Account Deposit Amount] ]-Table32[ [#This Row],[Account Withdrawl Amount] ], )</f>
        <v>0</v>
      </c>
      <c r="V17" s="38">
        <f>IF(Table32[[#This Row],[CODE]]=17, Table32[ [#This Row],[Account Deposit Amount] ]-Table32[ [#This Row],[Account Withdrawl Amount] ], )</f>
        <v>0</v>
      </c>
    </row>
    <row r="18" spans="1:22" ht="12.6" thickBot="1">
      <c r="A18" s="23"/>
      <c r="B18" s="24"/>
      <c r="C18" s="23"/>
      <c r="D18" s="25"/>
      <c r="E18" s="79"/>
      <c r="F18" s="79"/>
      <c r="G18" s="82">
        <f t="shared" si="2"/>
        <v>99.489999999999782</v>
      </c>
      <c r="H18" s="23"/>
      <c r="I18" s="38">
        <f>IF(Table32[[#This Row],[CODE]]=1, Table32[ [#This Row],[Account Deposit Amount] ]-Table32[ [#This Row],[Account Withdrawl Amount] ], )</f>
        <v>0</v>
      </c>
      <c r="J18" s="88">
        <f>IF(Table32[[#This Row],[CODE]]=2, Table32[ [#This Row],[Account Deposit Amount] ]-Table32[ [#This Row],[Account Withdrawl Amount] ], )</f>
        <v>0</v>
      </c>
      <c r="K18" s="88">
        <f>IF(Table32[[#This Row],[CODE]]=3, Table32[ [#This Row],[Account Deposit Amount] ]-Table32[ [#This Row],[Account Withdrawl Amount] ], )</f>
        <v>0</v>
      </c>
      <c r="L18" s="89">
        <f>IF(Table32[[#This Row],[CODE]]=4, Table32[ [#This Row],[Account Deposit Amount] ]-Table32[ [#This Row],[Account Withdrawl Amount] ], )</f>
        <v>0</v>
      </c>
      <c r="M18" s="89">
        <f>IF(Table32[[#This Row],[CODE]]=5, Table32[ [#This Row],[Account Deposit Amount] ]-Table32[ [#This Row],[Account Withdrawl Amount] ], )</f>
        <v>0</v>
      </c>
      <c r="N18" s="89">
        <f>IF(Table32[[#This Row],[CODE]]=6, Table32[ [#This Row],[Account Deposit Amount] ]-Table32[ [#This Row],[Account Withdrawl Amount] ], )</f>
        <v>0</v>
      </c>
      <c r="O18" s="89">
        <f>IF(Table32[[#This Row],[CODE]]=11, Table32[ [#This Row],[Account Deposit Amount] ]-Table32[ [#This Row],[Account Withdrawl Amount] ], )</f>
        <v>0</v>
      </c>
      <c r="P18" s="89">
        <f>IF(Table32[[#This Row],[CODE]]=12, Table32[ [#This Row],[Account Deposit Amount] ]-Table32[ [#This Row],[Account Withdrawl Amount] ], )</f>
        <v>0</v>
      </c>
      <c r="Q18" s="89">
        <f>IF(Table32[[#This Row],[CODE]]=13, Table32[ [#This Row],[Account Deposit Amount] ]-Table32[ [#This Row],[Account Withdrawl Amount] ], )</f>
        <v>0</v>
      </c>
      <c r="R18" s="89">
        <f>IF(Table32[[#This Row],[CODE]]=14, Table32[ [#This Row],[Account Deposit Amount] ]-Table32[ [#This Row],[Account Withdrawl Amount] ], )</f>
        <v>0</v>
      </c>
      <c r="S18" s="89">
        <f>IF(Table32[[#This Row],[CODE]]=15, Table32[ [#This Row],[Account Deposit Amount] ]-Table32[ [#This Row],[Account Withdrawl Amount] ], )</f>
        <v>0</v>
      </c>
      <c r="T18" s="89">
        <f>IF(Table32[[#This Row],[CODE]]=16, Table32[ [#This Row],[Account Deposit Amount] ]-Table32[ [#This Row],[Account Withdrawl Amount] ], )</f>
        <v>0</v>
      </c>
      <c r="U18" s="38">
        <f>IF(Table32[[#This Row],[CODE]]=17, Table32[ [#This Row],[Account Deposit Amount] ]-Table32[ [#This Row],[Account Withdrawl Amount] ], )</f>
        <v>0</v>
      </c>
      <c r="V18" s="38">
        <f>IF(Table32[[#This Row],[CODE]]=17, Table32[ [#This Row],[Account Deposit Amount] ]-Table32[ [#This Row],[Account Withdrawl Amount] ], )</f>
        <v>0</v>
      </c>
    </row>
    <row r="19" spans="1:22" ht="12.6" thickBot="1">
      <c r="A19" s="23"/>
      <c r="B19" s="24"/>
      <c r="C19" s="23"/>
      <c r="D19" s="25"/>
      <c r="E19" s="79"/>
      <c r="F19" s="79"/>
      <c r="G19" s="82">
        <f t="shared" si="2"/>
        <v>99.489999999999782</v>
      </c>
      <c r="H19" s="23"/>
      <c r="I19" s="38">
        <f>IF(Table32[[#This Row],[CODE]]=1, Table32[ [#This Row],[Account Deposit Amount] ]-Table32[ [#This Row],[Account Withdrawl Amount] ], )</f>
        <v>0</v>
      </c>
      <c r="J19" s="88">
        <f>IF(Table32[[#This Row],[CODE]]=2, Table32[ [#This Row],[Account Deposit Amount] ]-Table32[ [#This Row],[Account Withdrawl Amount] ], )</f>
        <v>0</v>
      </c>
      <c r="K19" s="88">
        <f>IF(Table32[[#This Row],[CODE]]=3, Table32[ [#This Row],[Account Deposit Amount] ]-Table32[ [#This Row],[Account Withdrawl Amount] ], )</f>
        <v>0</v>
      </c>
      <c r="L19" s="89">
        <f>IF(Table32[[#This Row],[CODE]]=4, Table32[ [#This Row],[Account Deposit Amount] ]-Table32[ [#This Row],[Account Withdrawl Amount] ], )</f>
        <v>0</v>
      </c>
      <c r="M19" s="89">
        <f>IF(Table32[[#This Row],[CODE]]=5, Table32[ [#This Row],[Account Deposit Amount] ]-Table32[ [#This Row],[Account Withdrawl Amount] ], )</f>
        <v>0</v>
      </c>
      <c r="N19" s="89">
        <f>IF(Table32[[#This Row],[CODE]]=6, Table32[ [#This Row],[Account Deposit Amount] ]-Table32[ [#This Row],[Account Withdrawl Amount] ], )</f>
        <v>0</v>
      </c>
      <c r="O19" s="89">
        <f>IF(Table32[[#This Row],[CODE]]=11, Table32[ [#This Row],[Account Deposit Amount] ]-Table32[ [#This Row],[Account Withdrawl Amount] ], )</f>
        <v>0</v>
      </c>
      <c r="P19" s="89">
        <f>IF(Table32[[#This Row],[CODE]]=12, Table32[ [#This Row],[Account Deposit Amount] ]-Table32[ [#This Row],[Account Withdrawl Amount] ], )</f>
        <v>0</v>
      </c>
      <c r="Q19" s="89">
        <f>IF(Table32[[#This Row],[CODE]]=13, Table32[ [#This Row],[Account Deposit Amount] ]-Table32[ [#This Row],[Account Withdrawl Amount] ], )</f>
        <v>0</v>
      </c>
      <c r="R19" s="89">
        <f>IF(Table32[[#This Row],[CODE]]=14, Table32[ [#This Row],[Account Deposit Amount] ]-Table32[ [#This Row],[Account Withdrawl Amount] ], )</f>
        <v>0</v>
      </c>
      <c r="S19" s="89">
        <f>IF(Table32[[#This Row],[CODE]]=15, Table32[ [#This Row],[Account Deposit Amount] ]-Table32[ [#This Row],[Account Withdrawl Amount] ], )</f>
        <v>0</v>
      </c>
      <c r="T19" s="89">
        <f>IF(Table32[[#This Row],[CODE]]=16, Table32[ [#This Row],[Account Deposit Amount] ]-Table32[ [#This Row],[Account Withdrawl Amount] ], )</f>
        <v>0</v>
      </c>
      <c r="U19" s="38">
        <f>IF(Table32[[#This Row],[CODE]]=17, Table32[ [#This Row],[Account Deposit Amount] ]-Table32[ [#This Row],[Account Withdrawl Amount] ], )</f>
        <v>0</v>
      </c>
      <c r="V19" s="38">
        <f>IF(Table32[[#This Row],[CODE]]=17, Table32[ [#This Row],[Account Deposit Amount] ]-Table32[ [#This Row],[Account Withdrawl Amount] ], )</f>
        <v>0</v>
      </c>
    </row>
    <row r="20" spans="1:22" ht="12.6" thickBot="1">
      <c r="A20" s="23"/>
      <c r="B20" s="24"/>
      <c r="C20" s="23"/>
      <c r="D20" s="25"/>
      <c r="E20" s="79"/>
      <c r="F20" s="79"/>
      <c r="G20" s="82">
        <f t="shared" si="2"/>
        <v>99.489999999999782</v>
      </c>
      <c r="H20" s="23"/>
      <c r="I20" s="38">
        <f>IF(Table32[[#This Row],[CODE]]=1, Table32[ [#This Row],[Account Deposit Amount] ]-Table32[ [#This Row],[Account Withdrawl Amount] ], )</f>
        <v>0</v>
      </c>
      <c r="J20" s="88">
        <f>IF(Table32[[#This Row],[CODE]]=2, Table32[ [#This Row],[Account Deposit Amount] ]-Table32[ [#This Row],[Account Withdrawl Amount] ], )</f>
        <v>0</v>
      </c>
      <c r="K20" s="88">
        <f>IF(Table32[[#This Row],[CODE]]=3, Table32[ [#This Row],[Account Deposit Amount] ]-Table32[ [#This Row],[Account Withdrawl Amount] ], )</f>
        <v>0</v>
      </c>
      <c r="L20" s="89">
        <f>IF(Table32[[#This Row],[CODE]]=4, Table32[ [#This Row],[Account Deposit Amount] ]-Table32[ [#This Row],[Account Withdrawl Amount] ], )</f>
        <v>0</v>
      </c>
      <c r="M20" s="89">
        <f>IF(Table32[[#This Row],[CODE]]=5, Table32[ [#This Row],[Account Deposit Amount] ]-Table32[ [#This Row],[Account Withdrawl Amount] ], )</f>
        <v>0</v>
      </c>
      <c r="N20" s="89">
        <f>IF(Table32[[#This Row],[CODE]]=6, Table32[ [#This Row],[Account Deposit Amount] ]-Table32[ [#This Row],[Account Withdrawl Amount] ], )</f>
        <v>0</v>
      </c>
      <c r="O20" s="89">
        <f>IF(Table32[[#This Row],[CODE]]=11, Table32[ [#This Row],[Account Deposit Amount] ]-Table32[ [#This Row],[Account Withdrawl Amount] ], )</f>
        <v>0</v>
      </c>
      <c r="P20" s="89">
        <f>IF(Table32[[#This Row],[CODE]]=12, Table32[ [#This Row],[Account Deposit Amount] ]-Table32[ [#This Row],[Account Withdrawl Amount] ], )</f>
        <v>0</v>
      </c>
      <c r="Q20" s="89">
        <f>IF(Table32[[#This Row],[CODE]]=13, Table32[ [#This Row],[Account Deposit Amount] ]-Table32[ [#This Row],[Account Withdrawl Amount] ], )</f>
        <v>0</v>
      </c>
      <c r="R20" s="89">
        <f>IF(Table32[[#This Row],[CODE]]=14, Table32[ [#This Row],[Account Deposit Amount] ]-Table32[ [#This Row],[Account Withdrawl Amount] ], )</f>
        <v>0</v>
      </c>
      <c r="S20" s="89">
        <f>IF(Table32[[#This Row],[CODE]]=15, Table32[ [#This Row],[Account Deposit Amount] ]-Table32[ [#This Row],[Account Withdrawl Amount] ], )</f>
        <v>0</v>
      </c>
      <c r="T20" s="89">
        <f>IF(Table32[[#This Row],[CODE]]=16, Table32[ [#This Row],[Account Deposit Amount] ]-Table32[ [#This Row],[Account Withdrawl Amount] ], )</f>
        <v>0</v>
      </c>
      <c r="U20" s="38">
        <f>IF(Table32[[#This Row],[CODE]]=17, Table32[ [#This Row],[Account Deposit Amount] ]-Table32[ [#This Row],[Account Withdrawl Amount] ], )</f>
        <v>0</v>
      </c>
      <c r="V20" s="38">
        <f>IF(Table32[[#This Row],[CODE]]=17, Table32[ [#This Row],[Account Deposit Amount] ]-Table32[ [#This Row],[Account Withdrawl Amount] ], )</f>
        <v>0</v>
      </c>
    </row>
    <row r="21" spans="1:22" ht="12.6" thickBot="1">
      <c r="A21" s="23"/>
      <c r="B21" s="24"/>
      <c r="C21" s="23"/>
      <c r="D21" s="25"/>
      <c r="E21" s="79"/>
      <c r="F21" s="79"/>
      <c r="G21" s="82">
        <f t="shared" si="2"/>
        <v>99.489999999999782</v>
      </c>
      <c r="H21" s="23"/>
      <c r="I21" s="38">
        <f>IF(Table32[[#This Row],[CODE]]=1, Table32[ [#This Row],[Account Deposit Amount] ]-Table32[ [#This Row],[Account Withdrawl Amount] ], )</f>
        <v>0</v>
      </c>
      <c r="J21" s="88">
        <f>IF(Table32[[#This Row],[CODE]]=2, Table32[ [#This Row],[Account Deposit Amount] ]-Table32[ [#This Row],[Account Withdrawl Amount] ], )</f>
        <v>0</v>
      </c>
      <c r="K21" s="88">
        <f>IF(Table32[[#This Row],[CODE]]=3, Table32[ [#This Row],[Account Deposit Amount] ]-Table32[ [#This Row],[Account Withdrawl Amount] ], )</f>
        <v>0</v>
      </c>
      <c r="L21" s="89">
        <f>IF(Table32[[#This Row],[CODE]]=4, Table32[ [#This Row],[Account Deposit Amount] ]-Table32[ [#This Row],[Account Withdrawl Amount] ], )</f>
        <v>0</v>
      </c>
      <c r="M21" s="89">
        <f>IF(Table32[[#This Row],[CODE]]=5, Table32[ [#This Row],[Account Deposit Amount] ]-Table32[ [#This Row],[Account Withdrawl Amount] ], )</f>
        <v>0</v>
      </c>
      <c r="N21" s="89">
        <f>IF(Table32[[#This Row],[CODE]]=6, Table32[ [#This Row],[Account Deposit Amount] ]-Table32[ [#This Row],[Account Withdrawl Amount] ], )</f>
        <v>0</v>
      </c>
      <c r="O21" s="89">
        <f>IF(Table32[[#This Row],[CODE]]=11, Table32[ [#This Row],[Account Deposit Amount] ]-Table32[ [#This Row],[Account Withdrawl Amount] ], )</f>
        <v>0</v>
      </c>
      <c r="P21" s="89">
        <f>IF(Table32[[#This Row],[CODE]]=12, Table32[ [#This Row],[Account Deposit Amount] ]-Table32[ [#This Row],[Account Withdrawl Amount] ], )</f>
        <v>0</v>
      </c>
      <c r="Q21" s="89">
        <f>IF(Table32[[#This Row],[CODE]]=13, Table32[ [#This Row],[Account Deposit Amount] ]-Table32[ [#This Row],[Account Withdrawl Amount] ], )</f>
        <v>0</v>
      </c>
      <c r="R21" s="89">
        <f>IF(Table32[[#This Row],[CODE]]=14, Table32[ [#This Row],[Account Deposit Amount] ]-Table32[ [#This Row],[Account Withdrawl Amount] ], )</f>
        <v>0</v>
      </c>
      <c r="S21" s="89">
        <f>IF(Table32[[#This Row],[CODE]]=15, Table32[ [#This Row],[Account Deposit Amount] ]-Table32[ [#This Row],[Account Withdrawl Amount] ], )</f>
        <v>0</v>
      </c>
      <c r="T21" s="89">
        <f>IF(Table32[[#This Row],[CODE]]=16, Table32[ [#This Row],[Account Deposit Amount] ]-Table32[ [#This Row],[Account Withdrawl Amount] ], )</f>
        <v>0</v>
      </c>
      <c r="U21" s="38">
        <f>IF(Table32[[#This Row],[CODE]]=17, Table32[ [#This Row],[Account Deposit Amount] ]-Table32[ [#This Row],[Account Withdrawl Amount] ], )</f>
        <v>0</v>
      </c>
      <c r="V21" s="38">
        <f>IF(Table32[[#This Row],[CODE]]=17, Table32[ [#This Row],[Account Deposit Amount] ]-Table32[ [#This Row],[Account Withdrawl Amount] ], )</f>
        <v>0</v>
      </c>
    </row>
    <row r="22" spans="1:22" ht="12.6" thickBot="1">
      <c r="A22" s="23"/>
      <c r="B22" s="24"/>
      <c r="C22" s="23"/>
      <c r="D22" s="25"/>
      <c r="E22" s="79"/>
      <c r="F22" s="79"/>
      <c r="G22" s="82">
        <f t="shared" si="2"/>
        <v>99.489999999999782</v>
      </c>
      <c r="H22" s="23"/>
      <c r="I22" s="38">
        <f>IF(Table32[[#This Row],[CODE]]=1, Table32[ [#This Row],[Account Deposit Amount] ]-Table32[ [#This Row],[Account Withdrawl Amount] ], )</f>
        <v>0</v>
      </c>
      <c r="J22" s="88">
        <f>IF(Table32[[#This Row],[CODE]]=2, Table32[ [#This Row],[Account Deposit Amount] ]-Table32[ [#This Row],[Account Withdrawl Amount] ], )</f>
        <v>0</v>
      </c>
      <c r="K22" s="88">
        <f>IF(Table32[[#This Row],[CODE]]=3, Table32[ [#This Row],[Account Deposit Amount] ]-Table32[ [#This Row],[Account Withdrawl Amount] ], )</f>
        <v>0</v>
      </c>
      <c r="L22" s="89">
        <f>IF(Table32[[#This Row],[CODE]]=4, Table32[ [#This Row],[Account Deposit Amount] ]-Table32[ [#This Row],[Account Withdrawl Amount] ], )</f>
        <v>0</v>
      </c>
      <c r="M22" s="89">
        <f>IF(Table32[[#This Row],[CODE]]=5, Table32[ [#This Row],[Account Deposit Amount] ]-Table32[ [#This Row],[Account Withdrawl Amount] ], )</f>
        <v>0</v>
      </c>
      <c r="N22" s="89">
        <f>IF(Table32[[#This Row],[CODE]]=6, Table32[ [#This Row],[Account Deposit Amount] ]-Table32[ [#This Row],[Account Withdrawl Amount] ], )</f>
        <v>0</v>
      </c>
      <c r="O22" s="89">
        <f>IF(Table32[[#This Row],[CODE]]=11, Table32[ [#This Row],[Account Deposit Amount] ]-Table32[ [#This Row],[Account Withdrawl Amount] ], )</f>
        <v>0</v>
      </c>
      <c r="P22" s="89">
        <f>IF(Table32[[#This Row],[CODE]]=12, Table32[ [#This Row],[Account Deposit Amount] ]-Table32[ [#This Row],[Account Withdrawl Amount] ], )</f>
        <v>0</v>
      </c>
      <c r="Q22" s="89">
        <f>IF(Table32[[#This Row],[CODE]]=13, Table32[ [#This Row],[Account Deposit Amount] ]-Table32[ [#This Row],[Account Withdrawl Amount] ], )</f>
        <v>0</v>
      </c>
      <c r="R22" s="89">
        <f>IF(Table32[[#This Row],[CODE]]=14, Table32[ [#This Row],[Account Deposit Amount] ]-Table32[ [#This Row],[Account Withdrawl Amount] ], )</f>
        <v>0</v>
      </c>
      <c r="S22" s="89">
        <f>IF(Table32[[#This Row],[CODE]]=15, Table32[ [#This Row],[Account Deposit Amount] ]-Table32[ [#This Row],[Account Withdrawl Amount] ], )</f>
        <v>0</v>
      </c>
      <c r="T22" s="89">
        <f>IF(Table32[[#This Row],[CODE]]=16, Table32[ [#This Row],[Account Deposit Amount] ]-Table32[ [#This Row],[Account Withdrawl Amount] ], )</f>
        <v>0</v>
      </c>
      <c r="U22" s="38">
        <f>IF(Table32[[#This Row],[CODE]]=17, Table32[ [#This Row],[Account Deposit Amount] ]-Table32[ [#This Row],[Account Withdrawl Amount] ], )</f>
        <v>0</v>
      </c>
      <c r="V22" s="38">
        <f>IF(Table32[[#This Row],[CODE]]=17, Table32[ [#This Row],[Account Deposit Amount] ]-Table32[ [#This Row],[Account Withdrawl Amount] ], )</f>
        <v>0</v>
      </c>
    </row>
    <row r="23" spans="1:22" ht="12.6" thickBot="1">
      <c r="A23" s="23"/>
      <c r="B23" s="24"/>
      <c r="C23" s="23"/>
      <c r="D23" s="25"/>
      <c r="E23" s="79"/>
      <c r="F23" s="79"/>
      <c r="G23" s="82">
        <f t="shared" ref="G23:G54" si="3">G22+E23-F23</f>
        <v>99.489999999999782</v>
      </c>
      <c r="H23" s="23"/>
      <c r="I23" s="38">
        <f>IF(Table32[[#This Row],[CODE]]=1, Table32[ [#This Row],[Account Deposit Amount] ]-Table32[ [#This Row],[Account Withdrawl Amount] ], )</f>
        <v>0</v>
      </c>
      <c r="J23" s="88">
        <f>IF(Table32[[#This Row],[CODE]]=2, Table32[ [#This Row],[Account Deposit Amount] ]-Table32[ [#This Row],[Account Withdrawl Amount] ], )</f>
        <v>0</v>
      </c>
      <c r="K23" s="88">
        <f>IF(Table32[[#This Row],[CODE]]=3, Table32[ [#This Row],[Account Deposit Amount] ]-Table32[ [#This Row],[Account Withdrawl Amount] ], )</f>
        <v>0</v>
      </c>
      <c r="L23" s="89">
        <f>IF(Table32[[#This Row],[CODE]]=4, Table32[ [#This Row],[Account Deposit Amount] ]-Table32[ [#This Row],[Account Withdrawl Amount] ], )</f>
        <v>0</v>
      </c>
      <c r="M23" s="89">
        <f>IF(Table32[[#This Row],[CODE]]=5, Table32[ [#This Row],[Account Deposit Amount] ]-Table32[ [#This Row],[Account Withdrawl Amount] ], )</f>
        <v>0</v>
      </c>
      <c r="N23" s="89">
        <f>IF(Table32[[#This Row],[CODE]]=6, Table32[ [#This Row],[Account Deposit Amount] ]-Table32[ [#This Row],[Account Withdrawl Amount] ], )</f>
        <v>0</v>
      </c>
      <c r="O23" s="89">
        <f>IF(Table32[[#This Row],[CODE]]=11, Table32[ [#This Row],[Account Deposit Amount] ]-Table32[ [#This Row],[Account Withdrawl Amount] ], )</f>
        <v>0</v>
      </c>
      <c r="P23" s="89">
        <f>IF(Table32[[#This Row],[CODE]]=12, Table32[ [#This Row],[Account Deposit Amount] ]-Table32[ [#This Row],[Account Withdrawl Amount] ], )</f>
        <v>0</v>
      </c>
      <c r="Q23" s="89">
        <f>IF(Table32[[#This Row],[CODE]]=13, Table32[ [#This Row],[Account Deposit Amount] ]-Table32[ [#This Row],[Account Withdrawl Amount] ], )</f>
        <v>0</v>
      </c>
      <c r="R23" s="89">
        <f>IF(Table32[[#This Row],[CODE]]=14, Table32[ [#This Row],[Account Deposit Amount] ]-Table32[ [#This Row],[Account Withdrawl Amount] ], )</f>
        <v>0</v>
      </c>
      <c r="S23" s="89">
        <f>IF(Table32[[#This Row],[CODE]]=15, Table32[ [#This Row],[Account Deposit Amount] ]-Table32[ [#This Row],[Account Withdrawl Amount] ], )</f>
        <v>0</v>
      </c>
      <c r="T23" s="89">
        <f>IF(Table32[[#This Row],[CODE]]=16, Table32[ [#This Row],[Account Deposit Amount] ]-Table32[ [#This Row],[Account Withdrawl Amount] ], )</f>
        <v>0</v>
      </c>
      <c r="U23" s="38">
        <f>IF(Table32[[#This Row],[CODE]]=17, Table32[ [#This Row],[Account Deposit Amount] ]-Table32[ [#This Row],[Account Withdrawl Amount] ], )</f>
        <v>0</v>
      </c>
      <c r="V23" s="38">
        <f>IF(Table32[[#This Row],[CODE]]=17, Table32[ [#This Row],[Account Deposit Amount] ]-Table32[ [#This Row],[Account Withdrawl Amount] ], )</f>
        <v>0</v>
      </c>
    </row>
    <row r="24" spans="1:22" ht="12.6" thickBot="1">
      <c r="A24" s="23"/>
      <c r="B24" s="24"/>
      <c r="C24" s="23"/>
      <c r="D24" s="25"/>
      <c r="E24" s="79"/>
      <c r="F24" s="79"/>
      <c r="G24" s="82">
        <f t="shared" si="3"/>
        <v>99.489999999999782</v>
      </c>
      <c r="H24" s="23"/>
      <c r="I24" s="38">
        <f>IF(Table32[[#This Row],[CODE]]=1, Table32[ [#This Row],[Account Deposit Amount] ]-Table32[ [#This Row],[Account Withdrawl Amount] ], )</f>
        <v>0</v>
      </c>
      <c r="J24" s="88">
        <f>IF(Table32[[#This Row],[CODE]]=2, Table32[ [#This Row],[Account Deposit Amount] ]-Table32[ [#This Row],[Account Withdrawl Amount] ], )</f>
        <v>0</v>
      </c>
      <c r="K24" s="88">
        <f>IF(Table32[[#This Row],[CODE]]=3, Table32[ [#This Row],[Account Deposit Amount] ]-Table32[ [#This Row],[Account Withdrawl Amount] ], )</f>
        <v>0</v>
      </c>
      <c r="L24" s="89">
        <f>IF(Table32[[#This Row],[CODE]]=4, Table32[ [#This Row],[Account Deposit Amount] ]-Table32[ [#This Row],[Account Withdrawl Amount] ], )</f>
        <v>0</v>
      </c>
      <c r="M24" s="89">
        <f>IF(Table32[[#This Row],[CODE]]=5, Table32[ [#This Row],[Account Deposit Amount] ]-Table32[ [#This Row],[Account Withdrawl Amount] ], )</f>
        <v>0</v>
      </c>
      <c r="N24" s="89">
        <f>IF(Table32[[#This Row],[CODE]]=6, Table32[ [#This Row],[Account Deposit Amount] ]-Table32[ [#This Row],[Account Withdrawl Amount] ], )</f>
        <v>0</v>
      </c>
      <c r="O24" s="89">
        <f>IF(Table32[[#This Row],[CODE]]=11, Table32[ [#This Row],[Account Deposit Amount] ]-Table32[ [#This Row],[Account Withdrawl Amount] ], )</f>
        <v>0</v>
      </c>
      <c r="P24" s="89">
        <f>IF(Table32[[#This Row],[CODE]]=12, Table32[ [#This Row],[Account Deposit Amount] ]-Table32[ [#This Row],[Account Withdrawl Amount] ], )</f>
        <v>0</v>
      </c>
      <c r="Q24" s="89">
        <f>IF(Table32[[#This Row],[CODE]]=13, Table32[ [#This Row],[Account Deposit Amount] ]-Table32[ [#This Row],[Account Withdrawl Amount] ], )</f>
        <v>0</v>
      </c>
      <c r="R24" s="89">
        <f>IF(Table32[[#This Row],[CODE]]=14, Table32[ [#This Row],[Account Deposit Amount] ]-Table32[ [#This Row],[Account Withdrawl Amount] ], )</f>
        <v>0</v>
      </c>
      <c r="S24" s="89">
        <f>IF(Table32[[#This Row],[CODE]]=15, Table32[ [#This Row],[Account Deposit Amount] ]-Table32[ [#This Row],[Account Withdrawl Amount] ], )</f>
        <v>0</v>
      </c>
      <c r="T24" s="89">
        <f>IF(Table32[[#This Row],[CODE]]=16, Table32[ [#This Row],[Account Deposit Amount] ]-Table32[ [#This Row],[Account Withdrawl Amount] ], )</f>
        <v>0</v>
      </c>
      <c r="U24" s="38">
        <f>IF(Table32[[#This Row],[CODE]]=17, Table32[ [#This Row],[Account Deposit Amount] ]-Table32[ [#This Row],[Account Withdrawl Amount] ], )</f>
        <v>0</v>
      </c>
      <c r="V24" s="38">
        <f>IF(Table32[[#This Row],[CODE]]=17, Table32[ [#This Row],[Account Deposit Amount] ]-Table32[ [#This Row],[Account Withdrawl Amount] ], )</f>
        <v>0</v>
      </c>
    </row>
    <row r="25" spans="1:22" ht="12.6" thickBot="1">
      <c r="A25" s="23"/>
      <c r="B25" s="24"/>
      <c r="C25" s="23"/>
      <c r="D25" s="25"/>
      <c r="E25" s="79"/>
      <c r="F25" s="79"/>
      <c r="G25" s="82">
        <f t="shared" si="3"/>
        <v>99.489999999999782</v>
      </c>
      <c r="H25" s="23"/>
      <c r="I25" s="38">
        <f>IF(Table32[[#This Row],[CODE]]=1, Table32[ [#This Row],[Account Deposit Amount] ]-Table32[ [#This Row],[Account Withdrawl Amount] ], )</f>
        <v>0</v>
      </c>
      <c r="J25" s="88">
        <f>IF(Table32[[#This Row],[CODE]]=2, Table32[ [#This Row],[Account Deposit Amount] ]-Table32[ [#This Row],[Account Withdrawl Amount] ], )</f>
        <v>0</v>
      </c>
      <c r="K25" s="88">
        <f>IF(Table32[[#This Row],[CODE]]=3, Table32[ [#This Row],[Account Deposit Amount] ]-Table32[ [#This Row],[Account Withdrawl Amount] ], )</f>
        <v>0</v>
      </c>
      <c r="L25" s="89">
        <f>IF(Table32[[#This Row],[CODE]]=4, Table32[ [#This Row],[Account Deposit Amount] ]-Table32[ [#This Row],[Account Withdrawl Amount] ], )</f>
        <v>0</v>
      </c>
      <c r="M25" s="89">
        <f>IF(Table32[[#This Row],[CODE]]=5, Table32[ [#This Row],[Account Deposit Amount] ]-Table32[ [#This Row],[Account Withdrawl Amount] ], )</f>
        <v>0</v>
      </c>
      <c r="N25" s="89">
        <f>IF(Table32[[#This Row],[CODE]]=6, Table32[ [#This Row],[Account Deposit Amount] ]-Table32[ [#This Row],[Account Withdrawl Amount] ], )</f>
        <v>0</v>
      </c>
      <c r="O25" s="89">
        <f>IF(Table32[[#This Row],[CODE]]=11, Table32[ [#This Row],[Account Deposit Amount] ]-Table32[ [#This Row],[Account Withdrawl Amount] ], )</f>
        <v>0</v>
      </c>
      <c r="P25" s="89">
        <f>IF(Table32[[#This Row],[CODE]]=12, Table32[ [#This Row],[Account Deposit Amount] ]-Table32[ [#This Row],[Account Withdrawl Amount] ], )</f>
        <v>0</v>
      </c>
      <c r="Q25" s="89">
        <f>IF(Table32[[#This Row],[CODE]]=13, Table32[ [#This Row],[Account Deposit Amount] ]-Table32[ [#This Row],[Account Withdrawl Amount] ], )</f>
        <v>0</v>
      </c>
      <c r="R25" s="89">
        <f>IF(Table32[[#This Row],[CODE]]=14, Table32[ [#This Row],[Account Deposit Amount] ]-Table32[ [#This Row],[Account Withdrawl Amount] ], )</f>
        <v>0</v>
      </c>
      <c r="S25" s="89">
        <f>IF(Table32[[#This Row],[CODE]]=15, Table32[ [#This Row],[Account Deposit Amount] ]-Table32[ [#This Row],[Account Withdrawl Amount] ], )</f>
        <v>0</v>
      </c>
      <c r="T25" s="89">
        <f>IF(Table32[[#This Row],[CODE]]=16, Table32[ [#This Row],[Account Deposit Amount] ]-Table32[ [#This Row],[Account Withdrawl Amount] ], )</f>
        <v>0</v>
      </c>
      <c r="U25" s="38">
        <f>IF(Table32[[#This Row],[CODE]]=17, Table32[ [#This Row],[Account Deposit Amount] ]-Table32[ [#This Row],[Account Withdrawl Amount] ], )</f>
        <v>0</v>
      </c>
      <c r="V25" s="38">
        <f>IF(Table32[[#This Row],[CODE]]=17, Table32[ [#This Row],[Account Deposit Amount] ]-Table32[ [#This Row],[Account Withdrawl Amount] ], )</f>
        <v>0</v>
      </c>
    </row>
    <row r="26" spans="1:22" ht="12.6" thickBot="1">
      <c r="A26" s="23"/>
      <c r="B26" s="24"/>
      <c r="C26" s="23"/>
      <c r="D26" s="25"/>
      <c r="E26" s="79"/>
      <c r="F26" s="79"/>
      <c r="G26" s="82">
        <f t="shared" si="3"/>
        <v>99.489999999999782</v>
      </c>
      <c r="H26" s="23"/>
      <c r="I26" s="38">
        <f>IF(Table32[[#This Row],[CODE]]=1, Table32[ [#This Row],[Account Deposit Amount] ]-Table32[ [#This Row],[Account Withdrawl Amount] ], )</f>
        <v>0</v>
      </c>
      <c r="J26" s="88">
        <f>IF(Table32[[#This Row],[CODE]]=2, Table32[ [#This Row],[Account Deposit Amount] ]-Table32[ [#This Row],[Account Withdrawl Amount] ], )</f>
        <v>0</v>
      </c>
      <c r="K26" s="88">
        <f>IF(Table32[[#This Row],[CODE]]=3, Table32[ [#This Row],[Account Deposit Amount] ]-Table32[ [#This Row],[Account Withdrawl Amount] ], )</f>
        <v>0</v>
      </c>
      <c r="L26" s="89">
        <f>IF(Table32[[#This Row],[CODE]]=4, Table32[ [#This Row],[Account Deposit Amount] ]-Table32[ [#This Row],[Account Withdrawl Amount] ], )</f>
        <v>0</v>
      </c>
      <c r="M26" s="89">
        <f>IF(Table32[[#This Row],[CODE]]=5, Table32[ [#This Row],[Account Deposit Amount] ]-Table32[ [#This Row],[Account Withdrawl Amount] ], )</f>
        <v>0</v>
      </c>
      <c r="N26" s="89">
        <f>IF(Table32[[#This Row],[CODE]]=6, Table32[ [#This Row],[Account Deposit Amount] ]-Table32[ [#This Row],[Account Withdrawl Amount] ], )</f>
        <v>0</v>
      </c>
      <c r="O26" s="89">
        <f>IF(Table32[[#This Row],[CODE]]=11, Table32[ [#This Row],[Account Deposit Amount] ]-Table32[ [#This Row],[Account Withdrawl Amount] ], )</f>
        <v>0</v>
      </c>
      <c r="P26" s="89">
        <f>IF(Table32[[#This Row],[CODE]]=12, Table32[ [#This Row],[Account Deposit Amount] ]-Table32[ [#This Row],[Account Withdrawl Amount] ], )</f>
        <v>0</v>
      </c>
      <c r="Q26" s="89">
        <f>IF(Table32[[#This Row],[CODE]]=13, Table32[ [#This Row],[Account Deposit Amount] ]-Table32[ [#This Row],[Account Withdrawl Amount] ], )</f>
        <v>0</v>
      </c>
      <c r="R26" s="89">
        <f>IF(Table32[[#This Row],[CODE]]=14, Table32[ [#This Row],[Account Deposit Amount] ]-Table32[ [#This Row],[Account Withdrawl Amount] ], )</f>
        <v>0</v>
      </c>
      <c r="S26" s="89">
        <f>IF(Table32[[#This Row],[CODE]]=15, Table32[ [#This Row],[Account Deposit Amount] ]-Table32[ [#This Row],[Account Withdrawl Amount] ], )</f>
        <v>0</v>
      </c>
      <c r="T26" s="89">
        <f>IF(Table32[[#This Row],[CODE]]=16, Table32[ [#This Row],[Account Deposit Amount] ]-Table32[ [#This Row],[Account Withdrawl Amount] ], )</f>
        <v>0</v>
      </c>
      <c r="U26" s="38">
        <f>IF(Table32[[#This Row],[CODE]]=17, Table32[ [#This Row],[Account Deposit Amount] ]-Table32[ [#This Row],[Account Withdrawl Amount] ], )</f>
        <v>0</v>
      </c>
      <c r="V26" s="38">
        <f>IF(Table32[[#This Row],[CODE]]=17, Table32[ [#This Row],[Account Deposit Amount] ]-Table32[ [#This Row],[Account Withdrawl Amount] ], )</f>
        <v>0</v>
      </c>
    </row>
    <row r="27" spans="1:22" ht="12.6" thickBot="1">
      <c r="A27" s="23"/>
      <c r="B27" s="24"/>
      <c r="C27" s="23"/>
      <c r="D27" s="25"/>
      <c r="E27" s="79"/>
      <c r="F27" s="79"/>
      <c r="G27" s="82">
        <f t="shared" si="3"/>
        <v>99.489999999999782</v>
      </c>
      <c r="H27" s="23"/>
      <c r="I27" s="38">
        <f>IF(Table32[[#This Row],[CODE]]=1, Table32[ [#This Row],[Account Deposit Amount] ]-Table32[ [#This Row],[Account Withdrawl Amount] ], )</f>
        <v>0</v>
      </c>
      <c r="J27" s="88">
        <f>IF(Table32[[#This Row],[CODE]]=2, Table32[ [#This Row],[Account Deposit Amount] ]-Table32[ [#This Row],[Account Withdrawl Amount] ], )</f>
        <v>0</v>
      </c>
      <c r="K27" s="88">
        <f>IF(Table32[[#This Row],[CODE]]=3, Table32[ [#This Row],[Account Deposit Amount] ]-Table32[ [#This Row],[Account Withdrawl Amount] ], )</f>
        <v>0</v>
      </c>
      <c r="L27" s="89">
        <f>IF(Table32[[#This Row],[CODE]]=4, Table32[ [#This Row],[Account Deposit Amount] ]-Table32[ [#This Row],[Account Withdrawl Amount] ], )</f>
        <v>0</v>
      </c>
      <c r="M27" s="89">
        <f>IF(Table32[[#This Row],[CODE]]=5, Table32[ [#This Row],[Account Deposit Amount] ]-Table32[ [#This Row],[Account Withdrawl Amount] ], )</f>
        <v>0</v>
      </c>
      <c r="N27" s="89">
        <f>IF(Table32[[#This Row],[CODE]]=6, Table32[ [#This Row],[Account Deposit Amount] ]-Table32[ [#This Row],[Account Withdrawl Amount] ], )</f>
        <v>0</v>
      </c>
      <c r="O27" s="89">
        <f>IF(Table32[[#This Row],[CODE]]=11, Table32[ [#This Row],[Account Deposit Amount] ]-Table32[ [#This Row],[Account Withdrawl Amount] ], )</f>
        <v>0</v>
      </c>
      <c r="P27" s="89">
        <f>IF(Table32[[#This Row],[CODE]]=12, Table32[ [#This Row],[Account Deposit Amount] ]-Table32[ [#This Row],[Account Withdrawl Amount] ], )</f>
        <v>0</v>
      </c>
      <c r="Q27" s="89">
        <f>IF(Table32[[#This Row],[CODE]]=13, Table32[ [#This Row],[Account Deposit Amount] ]-Table32[ [#This Row],[Account Withdrawl Amount] ], )</f>
        <v>0</v>
      </c>
      <c r="R27" s="89">
        <f>IF(Table32[[#This Row],[CODE]]=14, Table32[ [#This Row],[Account Deposit Amount] ]-Table32[ [#This Row],[Account Withdrawl Amount] ], )</f>
        <v>0</v>
      </c>
      <c r="S27" s="89">
        <f>IF(Table32[[#This Row],[CODE]]=15, Table32[ [#This Row],[Account Deposit Amount] ]-Table32[ [#This Row],[Account Withdrawl Amount] ], )</f>
        <v>0</v>
      </c>
      <c r="T27" s="89">
        <f>IF(Table32[[#This Row],[CODE]]=16, Table32[ [#This Row],[Account Deposit Amount] ]-Table32[ [#This Row],[Account Withdrawl Amount] ], )</f>
        <v>0</v>
      </c>
      <c r="U27" s="38">
        <f>IF(Table32[[#This Row],[CODE]]=17, Table32[ [#This Row],[Account Deposit Amount] ]-Table32[ [#This Row],[Account Withdrawl Amount] ], )</f>
        <v>0</v>
      </c>
      <c r="V27" s="38">
        <f>IF(Table32[[#This Row],[CODE]]=17, Table32[ [#This Row],[Account Deposit Amount] ]-Table32[ [#This Row],[Account Withdrawl Amount] ], )</f>
        <v>0</v>
      </c>
    </row>
    <row r="28" spans="1:22" ht="12.6" thickBot="1">
      <c r="A28" s="23"/>
      <c r="B28" s="24"/>
      <c r="C28" s="23"/>
      <c r="D28" s="25"/>
      <c r="E28" s="79"/>
      <c r="F28" s="79"/>
      <c r="G28" s="82">
        <f t="shared" si="3"/>
        <v>99.489999999999782</v>
      </c>
      <c r="H28" s="23"/>
      <c r="I28" s="38">
        <f>IF(Table32[[#This Row],[CODE]]=1, Table32[ [#This Row],[Account Deposit Amount] ]-Table32[ [#This Row],[Account Withdrawl Amount] ], )</f>
        <v>0</v>
      </c>
      <c r="J28" s="88">
        <f>IF(Table32[[#This Row],[CODE]]=2, Table32[ [#This Row],[Account Deposit Amount] ]-Table32[ [#This Row],[Account Withdrawl Amount] ], )</f>
        <v>0</v>
      </c>
      <c r="K28" s="88">
        <f>IF(Table32[[#This Row],[CODE]]=3, Table32[ [#This Row],[Account Deposit Amount] ]-Table32[ [#This Row],[Account Withdrawl Amount] ], )</f>
        <v>0</v>
      </c>
      <c r="L28" s="89">
        <f>IF(Table32[[#This Row],[CODE]]=4, Table32[ [#This Row],[Account Deposit Amount] ]-Table32[ [#This Row],[Account Withdrawl Amount] ], )</f>
        <v>0</v>
      </c>
      <c r="M28" s="89">
        <f>IF(Table32[[#This Row],[CODE]]=5, Table32[ [#This Row],[Account Deposit Amount] ]-Table32[ [#This Row],[Account Withdrawl Amount] ], )</f>
        <v>0</v>
      </c>
      <c r="N28" s="89">
        <f>IF(Table32[[#This Row],[CODE]]=6, Table32[ [#This Row],[Account Deposit Amount] ]-Table32[ [#This Row],[Account Withdrawl Amount] ], )</f>
        <v>0</v>
      </c>
      <c r="O28" s="89">
        <f>IF(Table32[[#This Row],[CODE]]=11, Table32[ [#This Row],[Account Deposit Amount] ]-Table32[ [#This Row],[Account Withdrawl Amount] ], )</f>
        <v>0</v>
      </c>
      <c r="P28" s="89">
        <f>IF(Table32[[#This Row],[CODE]]=12, Table32[ [#This Row],[Account Deposit Amount] ]-Table32[ [#This Row],[Account Withdrawl Amount] ], )</f>
        <v>0</v>
      </c>
      <c r="Q28" s="89">
        <f>IF(Table32[[#This Row],[CODE]]=13, Table32[ [#This Row],[Account Deposit Amount] ]-Table32[ [#This Row],[Account Withdrawl Amount] ], )</f>
        <v>0</v>
      </c>
      <c r="R28" s="89">
        <f>IF(Table32[[#This Row],[CODE]]=14, Table32[ [#This Row],[Account Deposit Amount] ]-Table32[ [#This Row],[Account Withdrawl Amount] ], )</f>
        <v>0</v>
      </c>
      <c r="S28" s="89">
        <f>IF(Table32[[#This Row],[CODE]]=15, Table32[ [#This Row],[Account Deposit Amount] ]-Table32[ [#This Row],[Account Withdrawl Amount] ], )</f>
        <v>0</v>
      </c>
      <c r="T28" s="89">
        <f>IF(Table32[[#This Row],[CODE]]=16, Table32[ [#This Row],[Account Deposit Amount] ]-Table32[ [#This Row],[Account Withdrawl Amount] ], )</f>
        <v>0</v>
      </c>
      <c r="U28" s="38">
        <f>IF(Table32[[#This Row],[CODE]]=17, Table32[ [#This Row],[Account Deposit Amount] ]-Table32[ [#This Row],[Account Withdrawl Amount] ], )</f>
        <v>0</v>
      </c>
      <c r="V28" s="38">
        <f>IF(Table32[[#This Row],[CODE]]=17, Table32[ [#This Row],[Account Deposit Amount] ]-Table32[ [#This Row],[Account Withdrawl Amount] ], )</f>
        <v>0</v>
      </c>
    </row>
    <row r="29" spans="1:22" ht="12.6" thickBot="1">
      <c r="A29" s="23"/>
      <c r="B29" s="24"/>
      <c r="C29" s="23"/>
      <c r="D29" s="25"/>
      <c r="E29" s="79"/>
      <c r="F29" s="79"/>
      <c r="G29" s="82">
        <f t="shared" si="3"/>
        <v>99.489999999999782</v>
      </c>
      <c r="H29" s="23"/>
      <c r="I29" s="38">
        <f>IF(Table32[[#This Row],[CODE]]=1, Table32[ [#This Row],[Account Deposit Amount] ]-Table32[ [#This Row],[Account Withdrawl Amount] ], )</f>
        <v>0</v>
      </c>
      <c r="J29" s="88">
        <f>IF(Table32[[#This Row],[CODE]]=2, Table32[ [#This Row],[Account Deposit Amount] ]-Table32[ [#This Row],[Account Withdrawl Amount] ], )</f>
        <v>0</v>
      </c>
      <c r="K29" s="88">
        <f>IF(Table32[[#This Row],[CODE]]=3, Table32[ [#This Row],[Account Deposit Amount] ]-Table32[ [#This Row],[Account Withdrawl Amount] ], )</f>
        <v>0</v>
      </c>
      <c r="L29" s="89">
        <f>IF(Table32[[#This Row],[CODE]]=4, Table32[ [#This Row],[Account Deposit Amount] ]-Table32[ [#This Row],[Account Withdrawl Amount] ], )</f>
        <v>0</v>
      </c>
      <c r="M29" s="89">
        <f>IF(Table32[[#This Row],[CODE]]=5, Table32[ [#This Row],[Account Deposit Amount] ]-Table32[ [#This Row],[Account Withdrawl Amount] ], )</f>
        <v>0</v>
      </c>
      <c r="N29" s="89">
        <f>IF(Table32[[#This Row],[CODE]]=6, Table32[ [#This Row],[Account Deposit Amount] ]-Table32[ [#This Row],[Account Withdrawl Amount] ], )</f>
        <v>0</v>
      </c>
      <c r="O29" s="89">
        <f>IF(Table32[[#This Row],[CODE]]=11, Table32[ [#This Row],[Account Deposit Amount] ]-Table32[ [#This Row],[Account Withdrawl Amount] ], )</f>
        <v>0</v>
      </c>
      <c r="P29" s="89">
        <f>IF(Table32[[#This Row],[CODE]]=12, Table32[ [#This Row],[Account Deposit Amount] ]-Table32[ [#This Row],[Account Withdrawl Amount] ], )</f>
        <v>0</v>
      </c>
      <c r="Q29" s="89">
        <f>IF(Table32[[#This Row],[CODE]]=13, Table32[ [#This Row],[Account Deposit Amount] ]-Table32[ [#This Row],[Account Withdrawl Amount] ], )</f>
        <v>0</v>
      </c>
      <c r="R29" s="89">
        <f>IF(Table32[[#This Row],[CODE]]=14, Table32[ [#This Row],[Account Deposit Amount] ]-Table32[ [#This Row],[Account Withdrawl Amount] ], )</f>
        <v>0</v>
      </c>
      <c r="S29" s="89">
        <f>IF(Table32[[#This Row],[CODE]]=15, Table32[ [#This Row],[Account Deposit Amount] ]-Table32[ [#This Row],[Account Withdrawl Amount] ], )</f>
        <v>0</v>
      </c>
      <c r="T29" s="89">
        <f>IF(Table32[[#This Row],[CODE]]=16, Table32[ [#This Row],[Account Deposit Amount] ]-Table32[ [#This Row],[Account Withdrawl Amount] ], )</f>
        <v>0</v>
      </c>
      <c r="U29" s="38">
        <f>IF(Table32[[#This Row],[CODE]]=17, Table32[ [#This Row],[Account Deposit Amount] ]-Table32[ [#This Row],[Account Withdrawl Amount] ], )</f>
        <v>0</v>
      </c>
      <c r="V29" s="38">
        <f>IF(Table32[[#This Row],[CODE]]=17, Table32[ [#This Row],[Account Deposit Amount] ]-Table32[ [#This Row],[Account Withdrawl Amount] ], )</f>
        <v>0</v>
      </c>
    </row>
    <row r="30" spans="1:22" ht="12.6" thickBot="1">
      <c r="A30" s="23"/>
      <c r="B30" s="24"/>
      <c r="C30" s="23"/>
      <c r="D30" s="25"/>
      <c r="E30" s="79"/>
      <c r="F30" s="79"/>
      <c r="G30" s="82">
        <f t="shared" si="3"/>
        <v>99.489999999999782</v>
      </c>
      <c r="H30" s="23"/>
      <c r="I30" s="38">
        <f>IF(Table32[[#This Row],[CODE]]=1, Table32[ [#This Row],[Account Deposit Amount] ]-Table32[ [#This Row],[Account Withdrawl Amount] ], )</f>
        <v>0</v>
      </c>
      <c r="J30" s="88">
        <f>IF(Table32[[#This Row],[CODE]]=2, Table32[ [#This Row],[Account Deposit Amount] ]-Table32[ [#This Row],[Account Withdrawl Amount] ], )</f>
        <v>0</v>
      </c>
      <c r="K30" s="88">
        <f>IF(Table32[[#This Row],[CODE]]=3, Table32[ [#This Row],[Account Deposit Amount] ]-Table32[ [#This Row],[Account Withdrawl Amount] ], )</f>
        <v>0</v>
      </c>
      <c r="L30" s="89">
        <f>IF(Table32[[#This Row],[CODE]]=4, Table32[ [#This Row],[Account Deposit Amount] ]-Table32[ [#This Row],[Account Withdrawl Amount] ], )</f>
        <v>0</v>
      </c>
      <c r="M30" s="89">
        <f>IF(Table32[[#This Row],[CODE]]=5, Table32[ [#This Row],[Account Deposit Amount] ]-Table32[ [#This Row],[Account Withdrawl Amount] ], )</f>
        <v>0</v>
      </c>
      <c r="N30" s="89">
        <f>IF(Table32[[#This Row],[CODE]]=6, Table32[ [#This Row],[Account Deposit Amount] ]-Table32[ [#This Row],[Account Withdrawl Amount] ], )</f>
        <v>0</v>
      </c>
      <c r="O30" s="89">
        <f>IF(Table32[[#This Row],[CODE]]=11, Table32[ [#This Row],[Account Deposit Amount] ]-Table32[ [#This Row],[Account Withdrawl Amount] ], )</f>
        <v>0</v>
      </c>
      <c r="P30" s="89">
        <f>IF(Table32[[#This Row],[CODE]]=12, Table32[ [#This Row],[Account Deposit Amount] ]-Table32[ [#This Row],[Account Withdrawl Amount] ], )</f>
        <v>0</v>
      </c>
      <c r="Q30" s="89">
        <f>IF(Table32[[#This Row],[CODE]]=13, Table32[ [#This Row],[Account Deposit Amount] ]-Table32[ [#This Row],[Account Withdrawl Amount] ], )</f>
        <v>0</v>
      </c>
      <c r="R30" s="89">
        <f>IF(Table32[[#This Row],[CODE]]=14, Table32[ [#This Row],[Account Deposit Amount] ]-Table32[ [#This Row],[Account Withdrawl Amount] ], )</f>
        <v>0</v>
      </c>
      <c r="S30" s="89">
        <f>IF(Table32[[#This Row],[CODE]]=15, Table32[ [#This Row],[Account Deposit Amount] ]-Table32[ [#This Row],[Account Withdrawl Amount] ], )</f>
        <v>0</v>
      </c>
      <c r="T30" s="89">
        <f>IF(Table32[[#This Row],[CODE]]=16, Table32[ [#This Row],[Account Deposit Amount] ]-Table32[ [#This Row],[Account Withdrawl Amount] ], )</f>
        <v>0</v>
      </c>
      <c r="U30" s="38">
        <f>IF(Table32[[#This Row],[CODE]]=17, Table32[ [#This Row],[Account Deposit Amount] ]-Table32[ [#This Row],[Account Withdrawl Amount] ], )</f>
        <v>0</v>
      </c>
      <c r="V30" s="38">
        <f>IF(Table32[[#This Row],[CODE]]=17, Table32[ [#This Row],[Account Deposit Amount] ]-Table32[ [#This Row],[Account Withdrawl Amount] ], )</f>
        <v>0</v>
      </c>
    </row>
    <row r="31" spans="1:22" ht="12.6" thickBot="1">
      <c r="A31" s="23"/>
      <c r="B31" s="24"/>
      <c r="C31" s="23"/>
      <c r="D31" s="25"/>
      <c r="E31" s="79"/>
      <c r="F31" s="79"/>
      <c r="G31" s="82">
        <f t="shared" si="3"/>
        <v>99.489999999999782</v>
      </c>
      <c r="H31" s="23"/>
      <c r="I31" s="38">
        <f>IF(Table32[[#This Row],[CODE]]=1, Table32[ [#This Row],[Account Deposit Amount] ]-Table32[ [#This Row],[Account Withdrawl Amount] ], )</f>
        <v>0</v>
      </c>
      <c r="J31" s="88">
        <f>IF(Table32[[#This Row],[CODE]]=2, Table32[ [#This Row],[Account Deposit Amount] ]-Table32[ [#This Row],[Account Withdrawl Amount] ], )</f>
        <v>0</v>
      </c>
      <c r="K31" s="88">
        <f>IF(Table32[[#This Row],[CODE]]=3, Table32[ [#This Row],[Account Deposit Amount] ]-Table32[ [#This Row],[Account Withdrawl Amount] ], )</f>
        <v>0</v>
      </c>
      <c r="L31" s="89">
        <f>IF(Table32[[#This Row],[CODE]]=4, Table32[ [#This Row],[Account Deposit Amount] ]-Table32[ [#This Row],[Account Withdrawl Amount] ], )</f>
        <v>0</v>
      </c>
      <c r="M31" s="89">
        <f>IF(Table32[[#This Row],[CODE]]=5, Table32[ [#This Row],[Account Deposit Amount] ]-Table32[ [#This Row],[Account Withdrawl Amount] ], )</f>
        <v>0</v>
      </c>
      <c r="N31" s="89">
        <f>IF(Table32[[#This Row],[CODE]]=6, Table32[ [#This Row],[Account Deposit Amount] ]-Table32[ [#This Row],[Account Withdrawl Amount] ], )</f>
        <v>0</v>
      </c>
      <c r="O31" s="89">
        <f>IF(Table32[[#This Row],[CODE]]=11, Table32[ [#This Row],[Account Deposit Amount] ]-Table32[ [#This Row],[Account Withdrawl Amount] ], )</f>
        <v>0</v>
      </c>
      <c r="P31" s="89">
        <f>IF(Table32[[#This Row],[CODE]]=12, Table32[ [#This Row],[Account Deposit Amount] ]-Table32[ [#This Row],[Account Withdrawl Amount] ], )</f>
        <v>0</v>
      </c>
      <c r="Q31" s="89">
        <f>IF(Table32[[#This Row],[CODE]]=13, Table32[ [#This Row],[Account Deposit Amount] ]-Table32[ [#This Row],[Account Withdrawl Amount] ], )</f>
        <v>0</v>
      </c>
      <c r="R31" s="89">
        <f>IF(Table32[[#This Row],[CODE]]=14, Table32[ [#This Row],[Account Deposit Amount] ]-Table32[ [#This Row],[Account Withdrawl Amount] ], )</f>
        <v>0</v>
      </c>
      <c r="S31" s="89">
        <f>IF(Table32[[#This Row],[CODE]]=15, Table32[ [#This Row],[Account Deposit Amount] ]-Table32[ [#This Row],[Account Withdrawl Amount] ], )</f>
        <v>0</v>
      </c>
      <c r="T31" s="89">
        <f>IF(Table32[[#This Row],[CODE]]=16, Table32[ [#This Row],[Account Deposit Amount] ]-Table32[ [#This Row],[Account Withdrawl Amount] ], )</f>
        <v>0</v>
      </c>
      <c r="U31" s="38">
        <f>IF(Table32[[#This Row],[CODE]]=17, Table32[ [#This Row],[Account Deposit Amount] ]-Table32[ [#This Row],[Account Withdrawl Amount] ], )</f>
        <v>0</v>
      </c>
      <c r="V31" s="38">
        <f>IF(Table32[[#This Row],[CODE]]=17, Table32[ [#This Row],[Account Deposit Amount] ]-Table32[ [#This Row],[Account Withdrawl Amount] ], )</f>
        <v>0</v>
      </c>
    </row>
    <row r="32" spans="1:22" ht="12.6" thickBot="1">
      <c r="A32" s="23"/>
      <c r="B32" s="24"/>
      <c r="C32" s="23"/>
      <c r="D32" s="25"/>
      <c r="E32" s="79"/>
      <c r="F32" s="79"/>
      <c r="G32" s="82">
        <f t="shared" si="3"/>
        <v>99.489999999999782</v>
      </c>
      <c r="H32" s="23"/>
      <c r="I32" s="38">
        <f>IF(Table32[[#This Row],[CODE]]=1, Table32[ [#This Row],[Account Deposit Amount] ]-Table32[ [#This Row],[Account Withdrawl Amount] ], )</f>
        <v>0</v>
      </c>
      <c r="J32" s="88">
        <f>IF(Table32[[#This Row],[CODE]]=2, Table32[ [#This Row],[Account Deposit Amount] ]-Table32[ [#This Row],[Account Withdrawl Amount] ], )</f>
        <v>0</v>
      </c>
      <c r="K32" s="88">
        <f>IF(Table32[[#This Row],[CODE]]=3, Table32[ [#This Row],[Account Deposit Amount] ]-Table32[ [#This Row],[Account Withdrawl Amount] ], )</f>
        <v>0</v>
      </c>
      <c r="L32" s="89">
        <f>IF(Table32[[#This Row],[CODE]]=4, Table32[ [#This Row],[Account Deposit Amount] ]-Table32[ [#This Row],[Account Withdrawl Amount] ], )</f>
        <v>0</v>
      </c>
      <c r="M32" s="89">
        <f>IF(Table32[[#This Row],[CODE]]=5, Table32[ [#This Row],[Account Deposit Amount] ]-Table32[ [#This Row],[Account Withdrawl Amount] ], )</f>
        <v>0</v>
      </c>
      <c r="N32" s="89">
        <f>IF(Table32[[#This Row],[CODE]]=6, Table32[ [#This Row],[Account Deposit Amount] ]-Table32[ [#This Row],[Account Withdrawl Amount] ], )</f>
        <v>0</v>
      </c>
      <c r="O32" s="89">
        <f>IF(Table32[[#This Row],[CODE]]=11, Table32[ [#This Row],[Account Deposit Amount] ]-Table32[ [#This Row],[Account Withdrawl Amount] ], )</f>
        <v>0</v>
      </c>
      <c r="P32" s="89">
        <f>IF(Table32[[#This Row],[CODE]]=12, Table32[ [#This Row],[Account Deposit Amount] ]-Table32[ [#This Row],[Account Withdrawl Amount] ], )</f>
        <v>0</v>
      </c>
      <c r="Q32" s="89">
        <f>IF(Table32[[#This Row],[CODE]]=13, Table32[ [#This Row],[Account Deposit Amount] ]-Table32[ [#This Row],[Account Withdrawl Amount] ], )</f>
        <v>0</v>
      </c>
      <c r="R32" s="89">
        <f>IF(Table32[[#This Row],[CODE]]=14, Table32[ [#This Row],[Account Deposit Amount] ]-Table32[ [#This Row],[Account Withdrawl Amount] ], )</f>
        <v>0</v>
      </c>
      <c r="S32" s="89">
        <f>IF(Table32[[#This Row],[CODE]]=15, Table32[ [#This Row],[Account Deposit Amount] ]-Table32[ [#This Row],[Account Withdrawl Amount] ], )</f>
        <v>0</v>
      </c>
      <c r="T32" s="89">
        <f>IF(Table32[[#This Row],[CODE]]=16, Table32[ [#This Row],[Account Deposit Amount] ]-Table32[ [#This Row],[Account Withdrawl Amount] ], )</f>
        <v>0</v>
      </c>
      <c r="U32" s="38">
        <f>IF(Table32[[#This Row],[CODE]]=17, Table32[ [#This Row],[Account Deposit Amount] ]-Table32[ [#This Row],[Account Withdrawl Amount] ], )</f>
        <v>0</v>
      </c>
      <c r="V32" s="38">
        <f>IF(Table32[[#This Row],[CODE]]=17, Table32[ [#This Row],[Account Deposit Amount] ]-Table32[ [#This Row],[Account Withdrawl Amount] ], )</f>
        <v>0</v>
      </c>
    </row>
    <row r="33" spans="1:22" ht="12.6" thickBot="1">
      <c r="A33" s="23"/>
      <c r="B33" s="24"/>
      <c r="C33" s="23"/>
      <c r="D33" s="25"/>
      <c r="E33" s="79"/>
      <c r="F33" s="79"/>
      <c r="G33" s="82">
        <f t="shared" si="3"/>
        <v>99.489999999999782</v>
      </c>
      <c r="H33" s="23"/>
      <c r="I33" s="38">
        <f>IF(Table32[[#This Row],[CODE]]=1, Table32[ [#This Row],[Account Deposit Amount] ]-Table32[ [#This Row],[Account Withdrawl Amount] ], )</f>
        <v>0</v>
      </c>
      <c r="J33" s="88">
        <f>IF(Table32[[#This Row],[CODE]]=2, Table32[ [#This Row],[Account Deposit Amount] ]-Table32[ [#This Row],[Account Withdrawl Amount] ], )</f>
        <v>0</v>
      </c>
      <c r="K33" s="88">
        <f>IF(Table32[[#This Row],[CODE]]=3, Table32[ [#This Row],[Account Deposit Amount] ]-Table32[ [#This Row],[Account Withdrawl Amount] ], )</f>
        <v>0</v>
      </c>
      <c r="L33" s="89">
        <f>IF(Table32[[#This Row],[CODE]]=4, Table32[ [#This Row],[Account Deposit Amount] ]-Table32[ [#This Row],[Account Withdrawl Amount] ], )</f>
        <v>0</v>
      </c>
      <c r="M33" s="89">
        <f>IF(Table32[[#This Row],[CODE]]=5, Table32[ [#This Row],[Account Deposit Amount] ]-Table32[ [#This Row],[Account Withdrawl Amount] ], )</f>
        <v>0</v>
      </c>
      <c r="N33" s="89">
        <f>IF(Table32[[#This Row],[CODE]]=6, Table32[ [#This Row],[Account Deposit Amount] ]-Table32[ [#This Row],[Account Withdrawl Amount] ], )</f>
        <v>0</v>
      </c>
      <c r="O33" s="89">
        <f>IF(Table32[[#This Row],[CODE]]=11, Table32[ [#This Row],[Account Deposit Amount] ]-Table32[ [#This Row],[Account Withdrawl Amount] ], )</f>
        <v>0</v>
      </c>
      <c r="P33" s="89">
        <f>IF(Table32[[#This Row],[CODE]]=12, Table32[ [#This Row],[Account Deposit Amount] ]-Table32[ [#This Row],[Account Withdrawl Amount] ], )</f>
        <v>0</v>
      </c>
      <c r="Q33" s="89">
        <f>IF(Table32[[#This Row],[CODE]]=13, Table32[ [#This Row],[Account Deposit Amount] ]-Table32[ [#This Row],[Account Withdrawl Amount] ], )</f>
        <v>0</v>
      </c>
      <c r="R33" s="89">
        <f>IF(Table32[[#This Row],[CODE]]=14, Table32[ [#This Row],[Account Deposit Amount] ]-Table32[ [#This Row],[Account Withdrawl Amount] ], )</f>
        <v>0</v>
      </c>
      <c r="S33" s="89">
        <f>IF(Table32[[#This Row],[CODE]]=15, Table32[ [#This Row],[Account Deposit Amount] ]-Table32[ [#This Row],[Account Withdrawl Amount] ], )</f>
        <v>0</v>
      </c>
      <c r="T33" s="89">
        <f>IF(Table32[[#This Row],[CODE]]=16, Table32[ [#This Row],[Account Deposit Amount] ]-Table32[ [#This Row],[Account Withdrawl Amount] ], )</f>
        <v>0</v>
      </c>
      <c r="U33" s="38">
        <f>IF(Table32[[#This Row],[CODE]]=17, Table32[ [#This Row],[Account Deposit Amount] ]-Table32[ [#This Row],[Account Withdrawl Amount] ], )</f>
        <v>0</v>
      </c>
      <c r="V33" s="38">
        <f>IF(Table32[[#This Row],[CODE]]=17, Table32[ [#This Row],[Account Deposit Amount] ]-Table32[ [#This Row],[Account Withdrawl Amount] ], )</f>
        <v>0</v>
      </c>
    </row>
    <row r="34" spans="1:22" ht="12.6" thickBot="1">
      <c r="A34" s="23"/>
      <c r="B34" s="24"/>
      <c r="C34" s="23"/>
      <c r="D34" s="25"/>
      <c r="E34" s="79"/>
      <c r="F34" s="79"/>
      <c r="G34" s="82">
        <f t="shared" si="3"/>
        <v>99.489999999999782</v>
      </c>
      <c r="H34" s="23"/>
      <c r="I34" s="38">
        <f>IF(Table32[[#This Row],[CODE]]=1, Table32[ [#This Row],[Account Deposit Amount] ]-Table32[ [#This Row],[Account Withdrawl Amount] ], )</f>
        <v>0</v>
      </c>
      <c r="J34" s="88">
        <f>IF(Table32[[#This Row],[CODE]]=2, Table32[ [#This Row],[Account Deposit Amount] ]-Table32[ [#This Row],[Account Withdrawl Amount] ], )</f>
        <v>0</v>
      </c>
      <c r="K34" s="88">
        <f>IF(Table32[[#This Row],[CODE]]=3, Table32[ [#This Row],[Account Deposit Amount] ]-Table32[ [#This Row],[Account Withdrawl Amount] ], )</f>
        <v>0</v>
      </c>
      <c r="L34" s="89">
        <f>IF(Table32[[#This Row],[CODE]]=4, Table32[ [#This Row],[Account Deposit Amount] ]-Table32[ [#This Row],[Account Withdrawl Amount] ], )</f>
        <v>0</v>
      </c>
      <c r="M34" s="89">
        <f>IF(Table32[[#This Row],[CODE]]=5, Table32[ [#This Row],[Account Deposit Amount] ]-Table32[ [#This Row],[Account Withdrawl Amount] ], )</f>
        <v>0</v>
      </c>
      <c r="N34" s="89">
        <f>IF(Table32[[#This Row],[CODE]]=6, Table32[ [#This Row],[Account Deposit Amount] ]-Table32[ [#This Row],[Account Withdrawl Amount] ], )</f>
        <v>0</v>
      </c>
      <c r="O34" s="89">
        <f>IF(Table32[[#This Row],[CODE]]=11, Table32[ [#This Row],[Account Deposit Amount] ]-Table32[ [#This Row],[Account Withdrawl Amount] ], )</f>
        <v>0</v>
      </c>
      <c r="P34" s="89">
        <f>IF(Table32[[#This Row],[CODE]]=12, Table32[ [#This Row],[Account Deposit Amount] ]-Table32[ [#This Row],[Account Withdrawl Amount] ], )</f>
        <v>0</v>
      </c>
      <c r="Q34" s="89">
        <f>IF(Table32[[#This Row],[CODE]]=13, Table32[ [#This Row],[Account Deposit Amount] ]-Table32[ [#This Row],[Account Withdrawl Amount] ], )</f>
        <v>0</v>
      </c>
      <c r="R34" s="89">
        <f>IF(Table32[[#This Row],[CODE]]=14, Table32[ [#This Row],[Account Deposit Amount] ]-Table32[ [#This Row],[Account Withdrawl Amount] ], )</f>
        <v>0</v>
      </c>
      <c r="S34" s="89">
        <f>IF(Table32[[#This Row],[CODE]]=15, Table32[ [#This Row],[Account Deposit Amount] ]-Table32[ [#This Row],[Account Withdrawl Amount] ], )</f>
        <v>0</v>
      </c>
      <c r="T34" s="89">
        <f>IF(Table32[[#This Row],[CODE]]=16, Table32[ [#This Row],[Account Deposit Amount] ]-Table32[ [#This Row],[Account Withdrawl Amount] ], )</f>
        <v>0</v>
      </c>
      <c r="U34" s="38">
        <f>IF(Table32[[#This Row],[CODE]]=17, Table32[ [#This Row],[Account Deposit Amount] ]-Table32[ [#This Row],[Account Withdrawl Amount] ], )</f>
        <v>0</v>
      </c>
      <c r="V34" s="38">
        <f>IF(Table32[[#This Row],[CODE]]=17, Table32[ [#This Row],[Account Deposit Amount] ]-Table32[ [#This Row],[Account Withdrawl Amount] ], )</f>
        <v>0</v>
      </c>
    </row>
    <row r="35" spans="1:22" ht="12.6" thickBot="1">
      <c r="A35" s="23"/>
      <c r="B35" s="24"/>
      <c r="C35" s="23"/>
      <c r="D35" s="25"/>
      <c r="E35" s="79"/>
      <c r="F35" s="79"/>
      <c r="G35" s="82">
        <f t="shared" si="3"/>
        <v>99.489999999999782</v>
      </c>
      <c r="H35" s="23"/>
      <c r="I35" s="38">
        <f>IF(Table32[[#This Row],[CODE]]=1, Table32[ [#This Row],[Account Deposit Amount] ]-Table32[ [#This Row],[Account Withdrawl Amount] ], )</f>
        <v>0</v>
      </c>
      <c r="J35" s="88">
        <f>IF(Table32[[#This Row],[CODE]]=2, Table32[ [#This Row],[Account Deposit Amount] ]-Table32[ [#This Row],[Account Withdrawl Amount] ], )</f>
        <v>0</v>
      </c>
      <c r="K35" s="88">
        <f>IF(Table32[[#This Row],[CODE]]=3, Table32[ [#This Row],[Account Deposit Amount] ]-Table32[ [#This Row],[Account Withdrawl Amount] ], )</f>
        <v>0</v>
      </c>
      <c r="L35" s="89">
        <f>IF(Table32[[#This Row],[CODE]]=4, Table32[ [#This Row],[Account Deposit Amount] ]-Table32[ [#This Row],[Account Withdrawl Amount] ], )</f>
        <v>0</v>
      </c>
      <c r="M35" s="89">
        <f>IF(Table32[[#This Row],[CODE]]=5, Table32[ [#This Row],[Account Deposit Amount] ]-Table32[ [#This Row],[Account Withdrawl Amount] ], )</f>
        <v>0</v>
      </c>
      <c r="N35" s="89">
        <f>IF(Table32[[#This Row],[CODE]]=6, Table32[ [#This Row],[Account Deposit Amount] ]-Table32[ [#This Row],[Account Withdrawl Amount] ], )</f>
        <v>0</v>
      </c>
      <c r="O35" s="89">
        <f>IF(Table32[[#This Row],[CODE]]=11, Table32[ [#This Row],[Account Deposit Amount] ]-Table32[ [#This Row],[Account Withdrawl Amount] ], )</f>
        <v>0</v>
      </c>
      <c r="P35" s="89">
        <f>IF(Table32[[#This Row],[CODE]]=12, Table32[ [#This Row],[Account Deposit Amount] ]-Table32[ [#This Row],[Account Withdrawl Amount] ], )</f>
        <v>0</v>
      </c>
      <c r="Q35" s="89">
        <f>IF(Table32[[#This Row],[CODE]]=13, Table32[ [#This Row],[Account Deposit Amount] ]-Table32[ [#This Row],[Account Withdrawl Amount] ], )</f>
        <v>0</v>
      </c>
      <c r="R35" s="89">
        <f>IF(Table32[[#This Row],[CODE]]=14, Table32[ [#This Row],[Account Deposit Amount] ]-Table32[ [#This Row],[Account Withdrawl Amount] ], )</f>
        <v>0</v>
      </c>
      <c r="S35" s="89">
        <f>IF(Table32[[#This Row],[CODE]]=15, Table32[ [#This Row],[Account Deposit Amount] ]-Table32[ [#This Row],[Account Withdrawl Amount] ], )</f>
        <v>0</v>
      </c>
      <c r="T35" s="89">
        <f>IF(Table32[[#This Row],[CODE]]=16, Table32[ [#This Row],[Account Deposit Amount] ]-Table32[ [#This Row],[Account Withdrawl Amount] ], )</f>
        <v>0</v>
      </c>
      <c r="U35" s="38">
        <f>IF(Table32[[#This Row],[CODE]]=17, Table32[ [#This Row],[Account Deposit Amount] ]-Table32[ [#This Row],[Account Withdrawl Amount] ], )</f>
        <v>0</v>
      </c>
      <c r="V35" s="38">
        <f>IF(Table32[[#This Row],[CODE]]=17, Table32[ [#This Row],[Account Deposit Amount] ]-Table32[ [#This Row],[Account Withdrawl Amount] ], )</f>
        <v>0</v>
      </c>
    </row>
    <row r="36" spans="1:22" ht="12.6" thickBot="1">
      <c r="A36" s="23"/>
      <c r="B36" s="24"/>
      <c r="C36" s="23"/>
      <c r="D36" s="25"/>
      <c r="E36" s="79"/>
      <c r="F36" s="79"/>
      <c r="G36" s="82">
        <f t="shared" si="3"/>
        <v>99.489999999999782</v>
      </c>
      <c r="H36" s="23"/>
      <c r="I36" s="38">
        <f>IF(Table32[[#This Row],[CODE]]=1, Table32[ [#This Row],[Account Deposit Amount] ]-Table32[ [#This Row],[Account Withdrawl Amount] ], )</f>
        <v>0</v>
      </c>
      <c r="J36" s="88">
        <f>IF(Table32[[#This Row],[CODE]]=2, Table32[ [#This Row],[Account Deposit Amount] ]-Table32[ [#This Row],[Account Withdrawl Amount] ], )</f>
        <v>0</v>
      </c>
      <c r="K36" s="88">
        <f>IF(Table32[[#This Row],[CODE]]=3, Table32[ [#This Row],[Account Deposit Amount] ]-Table32[ [#This Row],[Account Withdrawl Amount] ], )</f>
        <v>0</v>
      </c>
      <c r="L36" s="89">
        <f>IF(Table32[[#This Row],[CODE]]=4, Table32[ [#This Row],[Account Deposit Amount] ]-Table32[ [#This Row],[Account Withdrawl Amount] ], )</f>
        <v>0</v>
      </c>
      <c r="M36" s="89">
        <f>IF(Table32[[#This Row],[CODE]]=5, Table32[ [#This Row],[Account Deposit Amount] ]-Table32[ [#This Row],[Account Withdrawl Amount] ], )</f>
        <v>0</v>
      </c>
      <c r="N36" s="89">
        <f>IF(Table32[[#This Row],[CODE]]=6, Table32[ [#This Row],[Account Deposit Amount] ]-Table32[ [#This Row],[Account Withdrawl Amount] ], )</f>
        <v>0</v>
      </c>
      <c r="O36" s="89">
        <f>IF(Table32[[#This Row],[CODE]]=11, Table32[ [#This Row],[Account Deposit Amount] ]-Table32[ [#This Row],[Account Withdrawl Amount] ], )</f>
        <v>0</v>
      </c>
      <c r="P36" s="89">
        <f>IF(Table32[[#This Row],[CODE]]=12, Table32[ [#This Row],[Account Deposit Amount] ]-Table32[ [#This Row],[Account Withdrawl Amount] ], )</f>
        <v>0</v>
      </c>
      <c r="Q36" s="89">
        <f>IF(Table32[[#This Row],[CODE]]=13, Table32[ [#This Row],[Account Deposit Amount] ]-Table32[ [#This Row],[Account Withdrawl Amount] ], )</f>
        <v>0</v>
      </c>
      <c r="R36" s="89">
        <f>IF(Table32[[#This Row],[CODE]]=14, Table32[ [#This Row],[Account Deposit Amount] ]-Table32[ [#This Row],[Account Withdrawl Amount] ], )</f>
        <v>0</v>
      </c>
      <c r="S36" s="89">
        <f>IF(Table32[[#This Row],[CODE]]=15, Table32[ [#This Row],[Account Deposit Amount] ]-Table32[ [#This Row],[Account Withdrawl Amount] ], )</f>
        <v>0</v>
      </c>
      <c r="T36" s="89">
        <f>IF(Table32[[#This Row],[CODE]]=16, Table32[ [#This Row],[Account Deposit Amount] ]-Table32[ [#This Row],[Account Withdrawl Amount] ], )</f>
        <v>0</v>
      </c>
      <c r="U36" s="38">
        <f>IF(Table32[[#This Row],[CODE]]=17, Table32[ [#This Row],[Account Deposit Amount] ]-Table32[ [#This Row],[Account Withdrawl Amount] ], )</f>
        <v>0</v>
      </c>
      <c r="V36" s="38">
        <f>IF(Table32[[#This Row],[CODE]]=17, Table32[ [#This Row],[Account Deposit Amount] ]-Table32[ [#This Row],[Account Withdrawl Amount] ], )</f>
        <v>0</v>
      </c>
    </row>
    <row r="37" spans="1:22" ht="12.6" thickBot="1">
      <c r="A37" s="23"/>
      <c r="B37" s="24"/>
      <c r="C37" s="23"/>
      <c r="D37" s="25"/>
      <c r="E37" s="79"/>
      <c r="F37" s="79"/>
      <c r="G37" s="82">
        <f t="shared" si="3"/>
        <v>99.489999999999782</v>
      </c>
      <c r="H37" s="23"/>
      <c r="I37" s="38">
        <f>IF(Table32[[#This Row],[CODE]]=1, Table32[ [#This Row],[Account Deposit Amount] ]-Table32[ [#This Row],[Account Withdrawl Amount] ], )</f>
        <v>0</v>
      </c>
      <c r="J37" s="88">
        <f>IF(Table32[[#This Row],[CODE]]=2, Table32[ [#This Row],[Account Deposit Amount] ]-Table32[ [#This Row],[Account Withdrawl Amount] ], )</f>
        <v>0</v>
      </c>
      <c r="K37" s="88">
        <f>IF(Table32[[#This Row],[CODE]]=3, Table32[ [#This Row],[Account Deposit Amount] ]-Table32[ [#This Row],[Account Withdrawl Amount] ], )</f>
        <v>0</v>
      </c>
      <c r="L37" s="89">
        <f>IF(Table32[[#This Row],[CODE]]=4, Table32[ [#This Row],[Account Deposit Amount] ]-Table32[ [#This Row],[Account Withdrawl Amount] ], )</f>
        <v>0</v>
      </c>
      <c r="M37" s="89">
        <f>IF(Table32[[#This Row],[CODE]]=5, Table32[ [#This Row],[Account Deposit Amount] ]-Table32[ [#This Row],[Account Withdrawl Amount] ], )</f>
        <v>0</v>
      </c>
      <c r="N37" s="89">
        <f>IF(Table32[[#This Row],[CODE]]=6, Table32[ [#This Row],[Account Deposit Amount] ]-Table32[ [#This Row],[Account Withdrawl Amount] ], )</f>
        <v>0</v>
      </c>
      <c r="O37" s="89">
        <f>IF(Table32[[#This Row],[CODE]]=11, Table32[ [#This Row],[Account Deposit Amount] ]-Table32[ [#This Row],[Account Withdrawl Amount] ], )</f>
        <v>0</v>
      </c>
      <c r="P37" s="89">
        <f>IF(Table32[[#This Row],[CODE]]=12, Table32[ [#This Row],[Account Deposit Amount] ]-Table32[ [#This Row],[Account Withdrawl Amount] ], )</f>
        <v>0</v>
      </c>
      <c r="Q37" s="89">
        <f>IF(Table32[[#This Row],[CODE]]=13, Table32[ [#This Row],[Account Deposit Amount] ]-Table32[ [#This Row],[Account Withdrawl Amount] ], )</f>
        <v>0</v>
      </c>
      <c r="R37" s="89">
        <f>IF(Table32[[#This Row],[CODE]]=14, Table32[ [#This Row],[Account Deposit Amount] ]-Table32[ [#This Row],[Account Withdrawl Amount] ], )</f>
        <v>0</v>
      </c>
      <c r="S37" s="89">
        <f>IF(Table32[[#This Row],[CODE]]=15, Table32[ [#This Row],[Account Deposit Amount] ]-Table32[ [#This Row],[Account Withdrawl Amount] ], )</f>
        <v>0</v>
      </c>
      <c r="T37" s="89">
        <f>IF(Table32[[#This Row],[CODE]]=16, Table32[ [#This Row],[Account Deposit Amount] ]-Table32[ [#This Row],[Account Withdrawl Amount] ], )</f>
        <v>0</v>
      </c>
      <c r="U37" s="38">
        <f>IF(Table32[[#This Row],[CODE]]=17, Table32[ [#This Row],[Account Deposit Amount] ]-Table32[ [#This Row],[Account Withdrawl Amount] ], )</f>
        <v>0</v>
      </c>
      <c r="V37" s="38">
        <f>IF(Table32[[#This Row],[CODE]]=17, Table32[ [#This Row],[Account Deposit Amount] ]-Table32[ [#This Row],[Account Withdrawl Amount] ], )</f>
        <v>0</v>
      </c>
    </row>
    <row r="38" spans="1:22" ht="12.6" thickBot="1">
      <c r="A38" s="23"/>
      <c r="B38" s="24"/>
      <c r="C38" s="23"/>
      <c r="D38" s="25"/>
      <c r="E38" s="79"/>
      <c r="F38" s="79"/>
      <c r="G38" s="82">
        <f t="shared" si="3"/>
        <v>99.489999999999782</v>
      </c>
      <c r="H38" s="23"/>
      <c r="I38" s="38">
        <f>IF(Table32[[#This Row],[CODE]]=1, Table32[ [#This Row],[Account Deposit Amount] ]-Table32[ [#This Row],[Account Withdrawl Amount] ], )</f>
        <v>0</v>
      </c>
      <c r="J38" s="88">
        <f>IF(Table32[[#This Row],[CODE]]=2, Table32[ [#This Row],[Account Deposit Amount] ]-Table32[ [#This Row],[Account Withdrawl Amount] ], )</f>
        <v>0</v>
      </c>
      <c r="K38" s="88">
        <f>IF(Table32[[#This Row],[CODE]]=3, Table32[ [#This Row],[Account Deposit Amount] ]-Table32[ [#This Row],[Account Withdrawl Amount] ], )</f>
        <v>0</v>
      </c>
      <c r="L38" s="89">
        <f>IF(Table32[[#This Row],[CODE]]=4, Table32[ [#This Row],[Account Deposit Amount] ]-Table32[ [#This Row],[Account Withdrawl Amount] ], )</f>
        <v>0</v>
      </c>
      <c r="M38" s="89">
        <f>IF(Table32[[#This Row],[CODE]]=5, Table32[ [#This Row],[Account Deposit Amount] ]-Table32[ [#This Row],[Account Withdrawl Amount] ], )</f>
        <v>0</v>
      </c>
      <c r="N38" s="89">
        <f>IF(Table32[[#This Row],[CODE]]=6, Table32[ [#This Row],[Account Deposit Amount] ]-Table32[ [#This Row],[Account Withdrawl Amount] ], )</f>
        <v>0</v>
      </c>
      <c r="O38" s="89">
        <f>IF(Table32[[#This Row],[CODE]]=11, Table32[ [#This Row],[Account Deposit Amount] ]-Table32[ [#This Row],[Account Withdrawl Amount] ], )</f>
        <v>0</v>
      </c>
      <c r="P38" s="89">
        <f>IF(Table32[[#This Row],[CODE]]=12, Table32[ [#This Row],[Account Deposit Amount] ]-Table32[ [#This Row],[Account Withdrawl Amount] ], )</f>
        <v>0</v>
      </c>
      <c r="Q38" s="89">
        <f>IF(Table32[[#This Row],[CODE]]=13, Table32[ [#This Row],[Account Deposit Amount] ]-Table32[ [#This Row],[Account Withdrawl Amount] ], )</f>
        <v>0</v>
      </c>
      <c r="R38" s="89">
        <f>IF(Table32[[#This Row],[CODE]]=14, Table32[ [#This Row],[Account Deposit Amount] ]-Table32[ [#This Row],[Account Withdrawl Amount] ], )</f>
        <v>0</v>
      </c>
      <c r="S38" s="89">
        <f>IF(Table32[[#This Row],[CODE]]=15, Table32[ [#This Row],[Account Deposit Amount] ]-Table32[ [#This Row],[Account Withdrawl Amount] ], )</f>
        <v>0</v>
      </c>
      <c r="T38" s="89">
        <f>IF(Table32[[#This Row],[CODE]]=16, Table32[ [#This Row],[Account Deposit Amount] ]-Table32[ [#This Row],[Account Withdrawl Amount] ], )</f>
        <v>0</v>
      </c>
      <c r="U38" s="38">
        <f>IF(Table32[[#This Row],[CODE]]=17, Table32[ [#This Row],[Account Deposit Amount] ]-Table32[ [#This Row],[Account Withdrawl Amount] ], )</f>
        <v>0</v>
      </c>
      <c r="V38" s="38">
        <f>IF(Table32[[#This Row],[CODE]]=17, Table32[ [#This Row],[Account Deposit Amount] ]-Table32[ [#This Row],[Account Withdrawl Amount] ], )</f>
        <v>0</v>
      </c>
    </row>
    <row r="39" spans="1:22" ht="12.6" thickBot="1">
      <c r="A39" s="23"/>
      <c r="B39" s="24"/>
      <c r="C39" s="23"/>
      <c r="D39" s="25"/>
      <c r="E39" s="79"/>
      <c r="F39" s="79"/>
      <c r="G39" s="82">
        <f t="shared" si="3"/>
        <v>99.489999999999782</v>
      </c>
      <c r="H39" s="23"/>
      <c r="I39" s="38">
        <f>IF(Table32[[#This Row],[CODE]]=1, Table32[ [#This Row],[Account Deposit Amount] ]-Table32[ [#This Row],[Account Withdrawl Amount] ], )</f>
        <v>0</v>
      </c>
      <c r="J39" s="88">
        <f>IF(Table32[[#This Row],[CODE]]=2, Table32[ [#This Row],[Account Deposit Amount] ]-Table32[ [#This Row],[Account Withdrawl Amount] ], )</f>
        <v>0</v>
      </c>
      <c r="K39" s="88">
        <f>IF(Table32[[#This Row],[CODE]]=3, Table32[ [#This Row],[Account Deposit Amount] ]-Table32[ [#This Row],[Account Withdrawl Amount] ], )</f>
        <v>0</v>
      </c>
      <c r="L39" s="89">
        <f>IF(Table32[[#This Row],[CODE]]=4, Table32[ [#This Row],[Account Deposit Amount] ]-Table32[ [#This Row],[Account Withdrawl Amount] ], )</f>
        <v>0</v>
      </c>
      <c r="M39" s="89">
        <f>IF(Table32[[#This Row],[CODE]]=5, Table32[ [#This Row],[Account Deposit Amount] ]-Table32[ [#This Row],[Account Withdrawl Amount] ], )</f>
        <v>0</v>
      </c>
      <c r="N39" s="89">
        <f>IF(Table32[[#This Row],[CODE]]=6, Table32[ [#This Row],[Account Deposit Amount] ]-Table32[ [#This Row],[Account Withdrawl Amount] ], )</f>
        <v>0</v>
      </c>
      <c r="O39" s="89">
        <f>IF(Table32[[#This Row],[CODE]]=11, Table32[ [#This Row],[Account Deposit Amount] ]-Table32[ [#This Row],[Account Withdrawl Amount] ], )</f>
        <v>0</v>
      </c>
      <c r="P39" s="89">
        <f>IF(Table32[[#This Row],[CODE]]=12, Table32[ [#This Row],[Account Deposit Amount] ]-Table32[ [#This Row],[Account Withdrawl Amount] ], )</f>
        <v>0</v>
      </c>
      <c r="Q39" s="89">
        <f>IF(Table32[[#This Row],[CODE]]=13, Table32[ [#This Row],[Account Deposit Amount] ]-Table32[ [#This Row],[Account Withdrawl Amount] ], )</f>
        <v>0</v>
      </c>
      <c r="R39" s="89">
        <f>IF(Table32[[#This Row],[CODE]]=14, Table32[ [#This Row],[Account Deposit Amount] ]-Table32[ [#This Row],[Account Withdrawl Amount] ], )</f>
        <v>0</v>
      </c>
      <c r="S39" s="89">
        <f>IF(Table32[[#This Row],[CODE]]=15, Table32[ [#This Row],[Account Deposit Amount] ]-Table32[ [#This Row],[Account Withdrawl Amount] ], )</f>
        <v>0</v>
      </c>
      <c r="T39" s="89">
        <f>IF(Table32[[#This Row],[CODE]]=16, Table32[ [#This Row],[Account Deposit Amount] ]-Table32[ [#This Row],[Account Withdrawl Amount] ], )</f>
        <v>0</v>
      </c>
      <c r="U39" s="38">
        <f>IF(Table32[[#This Row],[CODE]]=17, Table32[ [#This Row],[Account Deposit Amount] ]-Table32[ [#This Row],[Account Withdrawl Amount] ], )</f>
        <v>0</v>
      </c>
      <c r="V39" s="38">
        <f>IF(Table32[[#This Row],[CODE]]=17, Table32[ [#This Row],[Account Deposit Amount] ]-Table32[ [#This Row],[Account Withdrawl Amount] ], )</f>
        <v>0</v>
      </c>
    </row>
    <row r="40" spans="1:22" ht="12.6" thickBot="1">
      <c r="A40" s="23"/>
      <c r="B40" s="24"/>
      <c r="C40" s="23"/>
      <c r="D40" s="25"/>
      <c r="E40" s="79"/>
      <c r="F40" s="79"/>
      <c r="G40" s="82">
        <f t="shared" si="3"/>
        <v>99.489999999999782</v>
      </c>
      <c r="H40" s="23"/>
      <c r="I40" s="38">
        <f>IF(Table32[[#This Row],[CODE]]=1, Table32[ [#This Row],[Account Deposit Amount] ]-Table32[ [#This Row],[Account Withdrawl Amount] ], )</f>
        <v>0</v>
      </c>
      <c r="J40" s="88">
        <f>IF(Table32[[#This Row],[CODE]]=2, Table32[ [#This Row],[Account Deposit Amount] ]-Table32[ [#This Row],[Account Withdrawl Amount] ], )</f>
        <v>0</v>
      </c>
      <c r="K40" s="88">
        <f>IF(Table32[[#This Row],[CODE]]=3, Table32[ [#This Row],[Account Deposit Amount] ]-Table32[ [#This Row],[Account Withdrawl Amount] ], )</f>
        <v>0</v>
      </c>
      <c r="L40" s="89">
        <f>IF(Table32[[#This Row],[CODE]]=4, Table32[ [#This Row],[Account Deposit Amount] ]-Table32[ [#This Row],[Account Withdrawl Amount] ], )</f>
        <v>0</v>
      </c>
      <c r="M40" s="89">
        <f>IF(Table32[[#This Row],[CODE]]=5, Table32[ [#This Row],[Account Deposit Amount] ]-Table32[ [#This Row],[Account Withdrawl Amount] ], )</f>
        <v>0</v>
      </c>
      <c r="N40" s="89">
        <f>IF(Table32[[#This Row],[CODE]]=6, Table32[ [#This Row],[Account Deposit Amount] ]-Table32[ [#This Row],[Account Withdrawl Amount] ], )</f>
        <v>0</v>
      </c>
      <c r="O40" s="89">
        <f>IF(Table32[[#This Row],[CODE]]=11, Table32[ [#This Row],[Account Deposit Amount] ]-Table32[ [#This Row],[Account Withdrawl Amount] ], )</f>
        <v>0</v>
      </c>
      <c r="P40" s="89">
        <f>IF(Table32[[#This Row],[CODE]]=12, Table32[ [#This Row],[Account Deposit Amount] ]-Table32[ [#This Row],[Account Withdrawl Amount] ], )</f>
        <v>0</v>
      </c>
      <c r="Q40" s="89">
        <f>IF(Table32[[#This Row],[CODE]]=13, Table32[ [#This Row],[Account Deposit Amount] ]-Table32[ [#This Row],[Account Withdrawl Amount] ], )</f>
        <v>0</v>
      </c>
      <c r="R40" s="89">
        <f>IF(Table32[[#This Row],[CODE]]=14, Table32[ [#This Row],[Account Deposit Amount] ]-Table32[ [#This Row],[Account Withdrawl Amount] ], )</f>
        <v>0</v>
      </c>
      <c r="S40" s="89">
        <f>IF(Table32[[#This Row],[CODE]]=15, Table32[ [#This Row],[Account Deposit Amount] ]-Table32[ [#This Row],[Account Withdrawl Amount] ], )</f>
        <v>0</v>
      </c>
      <c r="T40" s="89">
        <f>IF(Table32[[#This Row],[CODE]]=16, Table32[ [#This Row],[Account Deposit Amount] ]-Table32[ [#This Row],[Account Withdrawl Amount] ], )</f>
        <v>0</v>
      </c>
      <c r="U40" s="38">
        <f>IF(Table32[[#This Row],[CODE]]=17, Table32[ [#This Row],[Account Deposit Amount] ]-Table32[ [#This Row],[Account Withdrawl Amount] ], )</f>
        <v>0</v>
      </c>
      <c r="V40" s="38">
        <f>IF(Table32[[#This Row],[CODE]]=17, Table32[ [#This Row],[Account Deposit Amount] ]-Table32[ [#This Row],[Account Withdrawl Amount] ], )</f>
        <v>0</v>
      </c>
    </row>
    <row r="41" spans="1:22" ht="12.6" thickBot="1">
      <c r="A41" s="23"/>
      <c r="B41" s="24"/>
      <c r="C41" s="23"/>
      <c r="D41" s="25"/>
      <c r="E41" s="79"/>
      <c r="F41" s="79"/>
      <c r="G41" s="82">
        <f t="shared" si="3"/>
        <v>99.489999999999782</v>
      </c>
      <c r="H41" s="23"/>
      <c r="I41" s="38">
        <f>IF(Table32[[#This Row],[CODE]]=1, Table32[ [#This Row],[Account Deposit Amount] ]-Table32[ [#This Row],[Account Withdrawl Amount] ], )</f>
        <v>0</v>
      </c>
      <c r="J41" s="88">
        <f>IF(Table32[[#This Row],[CODE]]=2, Table32[ [#This Row],[Account Deposit Amount] ]-Table32[ [#This Row],[Account Withdrawl Amount] ], )</f>
        <v>0</v>
      </c>
      <c r="K41" s="88">
        <f>IF(Table32[[#This Row],[CODE]]=3, Table32[ [#This Row],[Account Deposit Amount] ]-Table32[ [#This Row],[Account Withdrawl Amount] ], )</f>
        <v>0</v>
      </c>
      <c r="L41" s="89">
        <f>IF(Table32[[#This Row],[CODE]]=4, Table32[ [#This Row],[Account Deposit Amount] ]-Table32[ [#This Row],[Account Withdrawl Amount] ], )</f>
        <v>0</v>
      </c>
      <c r="M41" s="89">
        <f>IF(Table32[[#This Row],[CODE]]=5, Table32[ [#This Row],[Account Deposit Amount] ]-Table32[ [#This Row],[Account Withdrawl Amount] ], )</f>
        <v>0</v>
      </c>
      <c r="N41" s="89">
        <f>IF(Table32[[#This Row],[CODE]]=6, Table32[ [#This Row],[Account Deposit Amount] ]-Table32[ [#This Row],[Account Withdrawl Amount] ], )</f>
        <v>0</v>
      </c>
      <c r="O41" s="89">
        <f>IF(Table32[[#This Row],[CODE]]=11, Table32[ [#This Row],[Account Deposit Amount] ]-Table32[ [#This Row],[Account Withdrawl Amount] ], )</f>
        <v>0</v>
      </c>
      <c r="P41" s="89">
        <f>IF(Table32[[#This Row],[CODE]]=12, Table32[ [#This Row],[Account Deposit Amount] ]-Table32[ [#This Row],[Account Withdrawl Amount] ], )</f>
        <v>0</v>
      </c>
      <c r="Q41" s="89">
        <f>IF(Table32[[#This Row],[CODE]]=13, Table32[ [#This Row],[Account Deposit Amount] ]-Table32[ [#This Row],[Account Withdrawl Amount] ], )</f>
        <v>0</v>
      </c>
      <c r="R41" s="89">
        <f>IF(Table32[[#This Row],[CODE]]=14, Table32[ [#This Row],[Account Deposit Amount] ]-Table32[ [#This Row],[Account Withdrawl Amount] ], )</f>
        <v>0</v>
      </c>
      <c r="S41" s="89">
        <f>IF(Table32[[#This Row],[CODE]]=15, Table32[ [#This Row],[Account Deposit Amount] ]-Table32[ [#This Row],[Account Withdrawl Amount] ], )</f>
        <v>0</v>
      </c>
      <c r="T41" s="89">
        <f>IF(Table32[[#This Row],[CODE]]=16, Table32[ [#This Row],[Account Deposit Amount] ]-Table32[ [#This Row],[Account Withdrawl Amount] ], )</f>
        <v>0</v>
      </c>
      <c r="U41" s="38">
        <f>IF(Table32[[#This Row],[CODE]]=17, Table32[ [#This Row],[Account Deposit Amount] ]-Table32[ [#This Row],[Account Withdrawl Amount] ], )</f>
        <v>0</v>
      </c>
      <c r="V41" s="38">
        <f>IF(Table32[[#This Row],[CODE]]=17, Table32[ [#This Row],[Account Deposit Amount] ]-Table32[ [#This Row],[Account Withdrawl Amount] ], )</f>
        <v>0</v>
      </c>
    </row>
    <row r="42" spans="1:22" ht="12.6" thickBot="1">
      <c r="A42" s="23"/>
      <c r="B42" s="24"/>
      <c r="C42" s="23"/>
      <c r="D42" s="25"/>
      <c r="E42" s="79"/>
      <c r="F42" s="79"/>
      <c r="G42" s="82">
        <f t="shared" si="3"/>
        <v>99.489999999999782</v>
      </c>
      <c r="H42" s="23"/>
      <c r="I42" s="38">
        <f>IF(Table32[[#This Row],[CODE]]=1, Table32[ [#This Row],[Account Deposit Amount] ]-Table32[ [#This Row],[Account Withdrawl Amount] ], )</f>
        <v>0</v>
      </c>
      <c r="J42" s="88">
        <f>IF(Table32[[#This Row],[CODE]]=2, Table32[ [#This Row],[Account Deposit Amount] ]-Table32[ [#This Row],[Account Withdrawl Amount] ], )</f>
        <v>0</v>
      </c>
      <c r="K42" s="88">
        <f>IF(Table32[[#This Row],[CODE]]=3, Table32[ [#This Row],[Account Deposit Amount] ]-Table32[ [#This Row],[Account Withdrawl Amount] ], )</f>
        <v>0</v>
      </c>
      <c r="L42" s="89">
        <f>IF(Table32[[#This Row],[CODE]]=4, Table32[ [#This Row],[Account Deposit Amount] ]-Table32[ [#This Row],[Account Withdrawl Amount] ], )</f>
        <v>0</v>
      </c>
      <c r="M42" s="89">
        <f>IF(Table32[[#This Row],[CODE]]=5, Table32[ [#This Row],[Account Deposit Amount] ]-Table32[ [#This Row],[Account Withdrawl Amount] ], )</f>
        <v>0</v>
      </c>
      <c r="N42" s="89">
        <f>IF(Table32[[#This Row],[CODE]]=6, Table32[ [#This Row],[Account Deposit Amount] ]-Table32[ [#This Row],[Account Withdrawl Amount] ], )</f>
        <v>0</v>
      </c>
      <c r="O42" s="89">
        <f>IF(Table32[[#This Row],[CODE]]=11, Table32[ [#This Row],[Account Deposit Amount] ]-Table32[ [#This Row],[Account Withdrawl Amount] ], )</f>
        <v>0</v>
      </c>
      <c r="P42" s="89">
        <f>IF(Table32[[#This Row],[CODE]]=12, Table32[ [#This Row],[Account Deposit Amount] ]-Table32[ [#This Row],[Account Withdrawl Amount] ], )</f>
        <v>0</v>
      </c>
      <c r="Q42" s="89">
        <f>IF(Table32[[#This Row],[CODE]]=13, Table32[ [#This Row],[Account Deposit Amount] ]-Table32[ [#This Row],[Account Withdrawl Amount] ], )</f>
        <v>0</v>
      </c>
      <c r="R42" s="89">
        <f>IF(Table32[[#This Row],[CODE]]=14, Table32[ [#This Row],[Account Deposit Amount] ]-Table32[ [#This Row],[Account Withdrawl Amount] ], )</f>
        <v>0</v>
      </c>
      <c r="S42" s="89">
        <f>IF(Table32[[#This Row],[CODE]]=15, Table32[ [#This Row],[Account Deposit Amount] ]-Table32[ [#This Row],[Account Withdrawl Amount] ], )</f>
        <v>0</v>
      </c>
      <c r="T42" s="89">
        <f>IF(Table32[[#This Row],[CODE]]=16, Table32[ [#This Row],[Account Deposit Amount] ]-Table32[ [#This Row],[Account Withdrawl Amount] ], )</f>
        <v>0</v>
      </c>
      <c r="U42" s="38">
        <f>IF(Table32[[#This Row],[CODE]]=17, Table32[ [#This Row],[Account Deposit Amount] ]-Table32[ [#This Row],[Account Withdrawl Amount] ], )</f>
        <v>0</v>
      </c>
      <c r="V42" s="38">
        <f>IF(Table32[[#This Row],[CODE]]=17, Table32[ [#This Row],[Account Deposit Amount] ]-Table32[ [#This Row],[Account Withdrawl Amount] ], )</f>
        <v>0</v>
      </c>
    </row>
    <row r="43" spans="1:22" ht="12.6" thickBot="1">
      <c r="A43" s="23"/>
      <c r="B43" s="24"/>
      <c r="C43" s="23"/>
      <c r="D43" s="25"/>
      <c r="E43" s="79"/>
      <c r="F43" s="79"/>
      <c r="G43" s="82">
        <f t="shared" si="3"/>
        <v>99.489999999999782</v>
      </c>
      <c r="H43" s="23"/>
      <c r="I43" s="38">
        <f>IF(Table32[[#This Row],[CODE]]=1, Table32[ [#This Row],[Account Deposit Amount] ]-Table32[ [#This Row],[Account Withdrawl Amount] ], )</f>
        <v>0</v>
      </c>
      <c r="J43" s="88">
        <f>IF(Table32[[#This Row],[CODE]]=2, Table32[ [#This Row],[Account Deposit Amount] ]-Table32[ [#This Row],[Account Withdrawl Amount] ], )</f>
        <v>0</v>
      </c>
      <c r="K43" s="88">
        <f>IF(Table32[[#This Row],[CODE]]=3, Table32[ [#This Row],[Account Deposit Amount] ]-Table32[ [#This Row],[Account Withdrawl Amount] ], )</f>
        <v>0</v>
      </c>
      <c r="L43" s="89">
        <f>IF(Table32[[#This Row],[CODE]]=4, Table32[ [#This Row],[Account Deposit Amount] ]-Table32[ [#This Row],[Account Withdrawl Amount] ], )</f>
        <v>0</v>
      </c>
      <c r="M43" s="89">
        <f>IF(Table32[[#This Row],[CODE]]=5, Table32[ [#This Row],[Account Deposit Amount] ]-Table32[ [#This Row],[Account Withdrawl Amount] ], )</f>
        <v>0</v>
      </c>
      <c r="N43" s="89">
        <f>IF(Table32[[#This Row],[CODE]]=6, Table32[ [#This Row],[Account Deposit Amount] ]-Table32[ [#This Row],[Account Withdrawl Amount] ], )</f>
        <v>0</v>
      </c>
      <c r="O43" s="89">
        <f>IF(Table32[[#This Row],[CODE]]=11, Table32[ [#This Row],[Account Deposit Amount] ]-Table32[ [#This Row],[Account Withdrawl Amount] ], )</f>
        <v>0</v>
      </c>
      <c r="P43" s="89">
        <f>IF(Table32[[#This Row],[CODE]]=12, Table32[ [#This Row],[Account Deposit Amount] ]-Table32[ [#This Row],[Account Withdrawl Amount] ], )</f>
        <v>0</v>
      </c>
      <c r="Q43" s="89">
        <f>IF(Table32[[#This Row],[CODE]]=13, Table32[ [#This Row],[Account Deposit Amount] ]-Table32[ [#This Row],[Account Withdrawl Amount] ], )</f>
        <v>0</v>
      </c>
      <c r="R43" s="89">
        <f>IF(Table32[[#This Row],[CODE]]=14, Table32[ [#This Row],[Account Deposit Amount] ]-Table32[ [#This Row],[Account Withdrawl Amount] ], )</f>
        <v>0</v>
      </c>
      <c r="S43" s="89">
        <f>IF(Table32[[#This Row],[CODE]]=15, Table32[ [#This Row],[Account Deposit Amount] ]-Table32[ [#This Row],[Account Withdrawl Amount] ], )</f>
        <v>0</v>
      </c>
      <c r="T43" s="89">
        <f>IF(Table32[[#This Row],[CODE]]=16, Table32[ [#This Row],[Account Deposit Amount] ]-Table32[ [#This Row],[Account Withdrawl Amount] ], )</f>
        <v>0</v>
      </c>
      <c r="U43" s="38">
        <f>IF(Table32[[#This Row],[CODE]]=17, Table32[ [#This Row],[Account Deposit Amount] ]-Table32[ [#This Row],[Account Withdrawl Amount] ], )</f>
        <v>0</v>
      </c>
      <c r="V43" s="38">
        <f>IF(Table32[[#This Row],[CODE]]=17, Table32[ [#This Row],[Account Deposit Amount] ]-Table32[ [#This Row],[Account Withdrawl Amount] ], )</f>
        <v>0</v>
      </c>
    </row>
    <row r="44" spans="1:22" ht="12.6" thickBot="1">
      <c r="A44" s="23"/>
      <c r="B44" s="24"/>
      <c r="C44" s="23"/>
      <c r="D44" s="25"/>
      <c r="E44" s="79"/>
      <c r="F44" s="79"/>
      <c r="G44" s="82">
        <f t="shared" si="3"/>
        <v>99.489999999999782</v>
      </c>
      <c r="H44" s="23"/>
      <c r="I44" s="38">
        <f>IF(Table32[[#This Row],[CODE]]=1, Table32[ [#This Row],[Account Deposit Amount] ]-Table32[ [#This Row],[Account Withdrawl Amount] ], )</f>
        <v>0</v>
      </c>
      <c r="J44" s="88">
        <f>IF(Table32[[#This Row],[CODE]]=2, Table32[ [#This Row],[Account Deposit Amount] ]-Table32[ [#This Row],[Account Withdrawl Amount] ], )</f>
        <v>0</v>
      </c>
      <c r="K44" s="88">
        <f>IF(Table32[[#This Row],[CODE]]=3, Table32[ [#This Row],[Account Deposit Amount] ]-Table32[ [#This Row],[Account Withdrawl Amount] ], )</f>
        <v>0</v>
      </c>
      <c r="L44" s="89">
        <f>IF(Table32[[#This Row],[CODE]]=4, Table32[ [#This Row],[Account Deposit Amount] ]-Table32[ [#This Row],[Account Withdrawl Amount] ], )</f>
        <v>0</v>
      </c>
      <c r="M44" s="89">
        <f>IF(Table32[[#This Row],[CODE]]=5, Table32[ [#This Row],[Account Deposit Amount] ]-Table32[ [#This Row],[Account Withdrawl Amount] ], )</f>
        <v>0</v>
      </c>
      <c r="N44" s="89">
        <f>IF(Table32[[#This Row],[CODE]]=6, Table32[ [#This Row],[Account Deposit Amount] ]-Table32[ [#This Row],[Account Withdrawl Amount] ], )</f>
        <v>0</v>
      </c>
      <c r="O44" s="89">
        <f>IF(Table32[[#This Row],[CODE]]=11, Table32[ [#This Row],[Account Deposit Amount] ]-Table32[ [#This Row],[Account Withdrawl Amount] ], )</f>
        <v>0</v>
      </c>
      <c r="P44" s="89">
        <f>IF(Table32[[#This Row],[CODE]]=12, Table32[ [#This Row],[Account Deposit Amount] ]-Table32[ [#This Row],[Account Withdrawl Amount] ], )</f>
        <v>0</v>
      </c>
      <c r="Q44" s="89">
        <f>IF(Table32[[#This Row],[CODE]]=13, Table32[ [#This Row],[Account Deposit Amount] ]-Table32[ [#This Row],[Account Withdrawl Amount] ], )</f>
        <v>0</v>
      </c>
      <c r="R44" s="89">
        <f>IF(Table32[[#This Row],[CODE]]=14, Table32[ [#This Row],[Account Deposit Amount] ]-Table32[ [#This Row],[Account Withdrawl Amount] ], )</f>
        <v>0</v>
      </c>
      <c r="S44" s="89">
        <f>IF(Table32[[#This Row],[CODE]]=15, Table32[ [#This Row],[Account Deposit Amount] ]-Table32[ [#This Row],[Account Withdrawl Amount] ], )</f>
        <v>0</v>
      </c>
      <c r="T44" s="89">
        <f>IF(Table32[[#This Row],[CODE]]=16, Table32[ [#This Row],[Account Deposit Amount] ]-Table32[ [#This Row],[Account Withdrawl Amount] ], )</f>
        <v>0</v>
      </c>
      <c r="U44" s="38">
        <f>IF(Table32[[#This Row],[CODE]]=17, Table32[ [#This Row],[Account Deposit Amount] ]-Table32[ [#This Row],[Account Withdrawl Amount] ], )</f>
        <v>0</v>
      </c>
      <c r="V44" s="38">
        <f>IF(Table32[[#This Row],[CODE]]=17, Table32[ [#This Row],[Account Deposit Amount] ]-Table32[ [#This Row],[Account Withdrawl Amount] ], )</f>
        <v>0</v>
      </c>
    </row>
    <row r="45" spans="1:22" ht="12.6" thickBot="1">
      <c r="A45" s="23"/>
      <c r="B45" s="24"/>
      <c r="C45" s="23"/>
      <c r="D45" s="25"/>
      <c r="E45" s="79"/>
      <c r="F45" s="79"/>
      <c r="G45" s="82">
        <f t="shared" si="3"/>
        <v>99.489999999999782</v>
      </c>
      <c r="H45" s="23"/>
      <c r="I45" s="38">
        <f>IF(Table32[[#This Row],[CODE]]=1, Table32[ [#This Row],[Account Deposit Amount] ]-Table32[ [#This Row],[Account Withdrawl Amount] ], )</f>
        <v>0</v>
      </c>
      <c r="J45" s="88">
        <f>IF(Table32[[#This Row],[CODE]]=2, Table32[ [#This Row],[Account Deposit Amount] ]-Table32[ [#This Row],[Account Withdrawl Amount] ], )</f>
        <v>0</v>
      </c>
      <c r="K45" s="88">
        <f>IF(Table32[[#This Row],[CODE]]=3, Table32[ [#This Row],[Account Deposit Amount] ]-Table32[ [#This Row],[Account Withdrawl Amount] ], )</f>
        <v>0</v>
      </c>
      <c r="L45" s="89">
        <f>IF(Table32[[#This Row],[CODE]]=4, Table32[ [#This Row],[Account Deposit Amount] ]-Table32[ [#This Row],[Account Withdrawl Amount] ], )</f>
        <v>0</v>
      </c>
      <c r="M45" s="89">
        <f>IF(Table32[[#This Row],[CODE]]=5, Table32[ [#This Row],[Account Deposit Amount] ]-Table32[ [#This Row],[Account Withdrawl Amount] ], )</f>
        <v>0</v>
      </c>
      <c r="N45" s="89">
        <f>IF(Table32[[#This Row],[CODE]]=6, Table32[ [#This Row],[Account Deposit Amount] ]-Table32[ [#This Row],[Account Withdrawl Amount] ], )</f>
        <v>0</v>
      </c>
      <c r="O45" s="89">
        <f>IF(Table32[[#This Row],[CODE]]=11, Table32[ [#This Row],[Account Deposit Amount] ]-Table32[ [#This Row],[Account Withdrawl Amount] ], )</f>
        <v>0</v>
      </c>
      <c r="P45" s="89">
        <f>IF(Table32[[#This Row],[CODE]]=12, Table32[ [#This Row],[Account Deposit Amount] ]-Table32[ [#This Row],[Account Withdrawl Amount] ], )</f>
        <v>0</v>
      </c>
      <c r="Q45" s="89">
        <f>IF(Table32[[#This Row],[CODE]]=13, Table32[ [#This Row],[Account Deposit Amount] ]-Table32[ [#This Row],[Account Withdrawl Amount] ], )</f>
        <v>0</v>
      </c>
      <c r="R45" s="89">
        <f>IF(Table32[[#This Row],[CODE]]=14, Table32[ [#This Row],[Account Deposit Amount] ]-Table32[ [#This Row],[Account Withdrawl Amount] ], )</f>
        <v>0</v>
      </c>
      <c r="S45" s="89">
        <f>IF(Table32[[#This Row],[CODE]]=15, Table32[ [#This Row],[Account Deposit Amount] ]-Table32[ [#This Row],[Account Withdrawl Amount] ], )</f>
        <v>0</v>
      </c>
      <c r="T45" s="89">
        <f>IF(Table32[[#This Row],[CODE]]=16, Table32[ [#This Row],[Account Deposit Amount] ]-Table32[ [#This Row],[Account Withdrawl Amount] ], )</f>
        <v>0</v>
      </c>
      <c r="U45" s="38">
        <f>IF(Table32[[#This Row],[CODE]]=17, Table32[ [#This Row],[Account Deposit Amount] ]-Table32[ [#This Row],[Account Withdrawl Amount] ], )</f>
        <v>0</v>
      </c>
      <c r="V45" s="38">
        <f>IF(Table32[[#This Row],[CODE]]=17, Table32[ [#This Row],[Account Deposit Amount] ]-Table32[ [#This Row],[Account Withdrawl Amount] ], )</f>
        <v>0</v>
      </c>
    </row>
    <row r="46" spans="1:22" ht="12.6" thickBot="1">
      <c r="A46" s="23"/>
      <c r="B46" s="24"/>
      <c r="C46" s="23"/>
      <c r="D46" s="25"/>
      <c r="E46" s="79"/>
      <c r="F46" s="79"/>
      <c r="G46" s="82">
        <f t="shared" si="3"/>
        <v>99.489999999999782</v>
      </c>
      <c r="H46" s="23"/>
      <c r="I46" s="38">
        <f>IF(Table32[[#This Row],[CODE]]=1, Table32[ [#This Row],[Account Deposit Amount] ]-Table32[ [#This Row],[Account Withdrawl Amount] ], )</f>
        <v>0</v>
      </c>
      <c r="J46" s="88">
        <f>IF(Table32[[#This Row],[CODE]]=2, Table32[ [#This Row],[Account Deposit Amount] ]-Table32[ [#This Row],[Account Withdrawl Amount] ], )</f>
        <v>0</v>
      </c>
      <c r="K46" s="88">
        <f>IF(Table32[[#This Row],[CODE]]=3, Table32[ [#This Row],[Account Deposit Amount] ]-Table32[ [#This Row],[Account Withdrawl Amount] ], )</f>
        <v>0</v>
      </c>
      <c r="L46" s="89">
        <f>IF(Table32[[#This Row],[CODE]]=4, Table32[ [#This Row],[Account Deposit Amount] ]-Table32[ [#This Row],[Account Withdrawl Amount] ], )</f>
        <v>0</v>
      </c>
      <c r="M46" s="89">
        <f>IF(Table32[[#This Row],[CODE]]=5, Table32[ [#This Row],[Account Deposit Amount] ]-Table32[ [#This Row],[Account Withdrawl Amount] ], )</f>
        <v>0</v>
      </c>
      <c r="N46" s="89">
        <f>IF(Table32[[#This Row],[CODE]]=6, Table32[ [#This Row],[Account Deposit Amount] ]-Table32[ [#This Row],[Account Withdrawl Amount] ], )</f>
        <v>0</v>
      </c>
      <c r="O46" s="89">
        <f>IF(Table32[[#This Row],[CODE]]=11, Table32[ [#This Row],[Account Deposit Amount] ]-Table32[ [#This Row],[Account Withdrawl Amount] ], )</f>
        <v>0</v>
      </c>
      <c r="P46" s="89">
        <f>IF(Table32[[#This Row],[CODE]]=12, Table32[ [#This Row],[Account Deposit Amount] ]-Table32[ [#This Row],[Account Withdrawl Amount] ], )</f>
        <v>0</v>
      </c>
      <c r="Q46" s="89">
        <f>IF(Table32[[#This Row],[CODE]]=13, Table32[ [#This Row],[Account Deposit Amount] ]-Table32[ [#This Row],[Account Withdrawl Amount] ], )</f>
        <v>0</v>
      </c>
      <c r="R46" s="89">
        <f>IF(Table32[[#This Row],[CODE]]=14, Table32[ [#This Row],[Account Deposit Amount] ]-Table32[ [#This Row],[Account Withdrawl Amount] ], )</f>
        <v>0</v>
      </c>
      <c r="S46" s="89">
        <f>IF(Table32[[#This Row],[CODE]]=15, Table32[ [#This Row],[Account Deposit Amount] ]-Table32[ [#This Row],[Account Withdrawl Amount] ], )</f>
        <v>0</v>
      </c>
      <c r="T46" s="89">
        <f>IF(Table32[[#This Row],[CODE]]=16, Table32[ [#This Row],[Account Deposit Amount] ]-Table32[ [#This Row],[Account Withdrawl Amount] ], )</f>
        <v>0</v>
      </c>
      <c r="U46" s="38">
        <f>IF(Table32[[#This Row],[CODE]]=17, Table32[ [#This Row],[Account Deposit Amount] ]-Table32[ [#This Row],[Account Withdrawl Amount] ], )</f>
        <v>0</v>
      </c>
      <c r="V46" s="38">
        <f>IF(Table32[[#This Row],[CODE]]=17, Table32[ [#This Row],[Account Deposit Amount] ]-Table32[ [#This Row],[Account Withdrawl Amount] ], )</f>
        <v>0</v>
      </c>
    </row>
    <row r="47" spans="1:22" ht="12.6" thickBot="1">
      <c r="A47" s="23"/>
      <c r="B47" s="24"/>
      <c r="C47" s="23"/>
      <c r="D47" s="25"/>
      <c r="E47" s="79"/>
      <c r="F47" s="79"/>
      <c r="G47" s="82">
        <f t="shared" si="3"/>
        <v>99.489999999999782</v>
      </c>
      <c r="H47" s="23"/>
      <c r="I47" s="38">
        <f>IF(Table32[[#This Row],[CODE]]=1, Table32[ [#This Row],[Account Deposit Amount] ]-Table32[ [#This Row],[Account Withdrawl Amount] ], )</f>
        <v>0</v>
      </c>
      <c r="J47" s="88">
        <f>IF(Table32[[#This Row],[CODE]]=2, Table32[ [#This Row],[Account Deposit Amount] ]-Table32[ [#This Row],[Account Withdrawl Amount] ], )</f>
        <v>0</v>
      </c>
      <c r="K47" s="88">
        <f>IF(Table32[[#This Row],[CODE]]=3, Table32[ [#This Row],[Account Deposit Amount] ]-Table32[ [#This Row],[Account Withdrawl Amount] ], )</f>
        <v>0</v>
      </c>
      <c r="L47" s="89">
        <f>IF(Table32[[#This Row],[CODE]]=4, Table32[ [#This Row],[Account Deposit Amount] ]-Table32[ [#This Row],[Account Withdrawl Amount] ], )</f>
        <v>0</v>
      </c>
      <c r="M47" s="89">
        <f>IF(Table32[[#This Row],[CODE]]=5, Table32[ [#This Row],[Account Deposit Amount] ]-Table32[ [#This Row],[Account Withdrawl Amount] ], )</f>
        <v>0</v>
      </c>
      <c r="N47" s="89">
        <f>IF(Table32[[#This Row],[CODE]]=6, Table32[ [#This Row],[Account Deposit Amount] ]-Table32[ [#This Row],[Account Withdrawl Amount] ], )</f>
        <v>0</v>
      </c>
      <c r="O47" s="89">
        <f>IF(Table32[[#This Row],[CODE]]=11, Table32[ [#This Row],[Account Deposit Amount] ]-Table32[ [#This Row],[Account Withdrawl Amount] ], )</f>
        <v>0</v>
      </c>
      <c r="P47" s="89">
        <f>IF(Table32[[#This Row],[CODE]]=12, Table32[ [#This Row],[Account Deposit Amount] ]-Table32[ [#This Row],[Account Withdrawl Amount] ], )</f>
        <v>0</v>
      </c>
      <c r="Q47" s="89">
        <f>IF(Table32[[#This Row],[CODE]]=13, Table32[ [#This Row],[Account Deposit Amount] ]-Table32[ [#This Row],[Account Withdrawl Amount] ], )</f>
        <v>0</v>
      </c>
      <c r="R47" s="89">
        <f>IF(Table32[[#This Row],[CODE]]=14, Table32[ [#This Row],[Account Deposit Amount] ]-Table32[ [#This Row],[Account Withdrawl Amount] ], )</f>
        <v>0</v>
      </c>
      <c r="S47" s="89">
        <f>IF(Table32[[#This Row],[CODE]]=15, Table32[ [#This Row],[Account Deposit Amount] ]-Table32[ [#This Row],[Account Withdrawl Amount] ], )</f>
        <v>0</v>
      </c>
      <c r="T47" s="89">
        <f>IF(Table32[[#This Row],[CODE]]=16, Table32[ [#This Row],[Account Deposit Amount] ]-Table32[ [#This Row],[Account Withdrawl Amount] ], )</f>
        <v>0</v>
      </c>
      <c r="U47" s="38">
        <f>IF(Table32[[#This Row],[CODE]]=17, Table32[ [#This Row],[Account Deposit Amount] ]-Table32[ [#This Row],[Account Withdrawl Amount] ], )</f>
        <v>0</v>
      </c>
      <c r="V47" s="38">
        <f>IF(Table32[[#This Row],[CODE]]=17, Table32[ [#This Row],[Account Deposit Amount] ]-Table32[ [#This Row],[Account Withdrawl Amount] ], )</f>
        <v>0</v>
      </c>
    </row>
    <row r="48" spans="1:22" ht="12.6" thickBot="1">
      <c r="A48" s="23"/>
      <c r="B48" s="24"/>
      <c r="C48" s="23"/>
      <c r="D48" s="25"/>
      <c r="E48" s="79"/>
      <c r="F48" s="79"/>
      <c r="G48" s="82">
        <f t="shared" si="3"/>
        <v>99.489999999999782</v>
      </c>
      <c r="H48" s="23"/>
      <c r="I48" s="38">
        <f>IF(Table32[[#This Row],[CODE]]=1, Table32[ [#This Row],[Account Deposit Amount] ]-Table32[ [#This Row],[Account Withdrawl Amount] ], )</f>
        <v>0</v>
      </c>
      <c r="J48" s="88">
        <f>IF(Table32[[#This Row],[CODE]]=2, Table32[ [#This Row],[Account Deposit Amount] ]-Table32[ [#This Row],[Account Withdrawl Amount] ], )</f>
        <v>0</v>
      </c>
      <c r="K48" s="88">
        <f>IF(Table32[[#This Row],[CODE]]=3, Table32[ [#This Row],[Account Deposit Amount] ]-Table32[ [#This Row],[Account Withdrawl Amount] ], )</f>
        <v>0</v>
      </c>
      <c r="L48" s="89">
        <f>IF(Table32[[#This Row],[CODE]]=4, Table32[ [#This Row],[Account Deposit Amount] ]-Table32[ [#This Row],[Account Withdrawl Amount] ], )</f>
        <v>0</v>
      </c>
      <c r="M48" s="89">
        <f>IF(Table32[[#This Row],[CODE]]=5, Table32[ [#This Row],[Account Deposit Amount] ]-Table32[ [#This Row],[Account Withdrawl Amount] ], )</f>
        <v>0</v>
      </c>
      <c r="N48" s="89">
        <f>IF(Table32[[#This Row],[CODE]]=6, Table32[ [#This Row],[Account Deposit Amount] ]-Table32[ [#This Row],[Account Withdrawl Amount] ], )</f>
        <v>0</v>
      </c>
      <c r="O48" s="89">
        <f>IF(Table32[[#This Row],[CODE]]=11, Table32[ [#This Row],[Account Deposit Amount] ]-Table32[ [#This Row],[Account Withdrawl Amount] ], )</f>
        <v>0</v>
      </c>
      <c r="P48" s="89">
        <f>IF(Table32[[#This Row],[CODE]]=12, Table32[ [#This Row],[Account Deposit Amount] ]-Table32[ [#This Row],[Account Withdrawl Amount] ], )</f>
        <v>0</v>
      </c>
      <c r="Q48" s="89">
        <f>IF(Table32[[#This Row],[CODE]]=13, Table32[ [#This Row],[Account Deposit Amount] ]-Table32[ [#This Row],[Account Withdrawl Amount] ], )</f>
        <v>0</v>
      </c>
      <c r="R48" s="89">
        <f>IF(Table32[[#This Row],[CODE]]=14, Table32[ [#This Row],[Account Deposit Amount] ]-Table32[ [#This Row],[Account Withdrawl Amount] ], )</f>
        <v>0</v>
      </c>
      <c r="S48" s="89">
        <f>IF(Table32[[#This Row],[CODE]]=15, Table32[ [#This Row],[Account Deposit Amount] ]-Table32[ [#This Row],[Account Withdrawl Amount] ], )</f>
        <v>0</v>
      </c>
      <c r="T48" s="89">
        <f>IF(Table32[[#This Row],[CODE]]=16, Table32[ [#This Row],[Account Deposit Amount] ]-Table32[ [#This Row],[Account Withdrawl Amount] ], )</f>
        <v>0</v>
      </c>
      <c r="U48" s="38">
        <f>IF(Table32[[#This Row],[CODE]]=17, Table32[ [#This Row],[Account Deposit Amount] ]-Table32[ [#This Row],[Account Withdrawl Amount] ], )</f>
        <v>0</v>
      </c>
      <c r="V48" s="38">
        <f>IF(Table32[[#This Row],[CODE]]=17, Table32[ [#This Row],[Account Deposit Amount] ]-Table32[ [#This Row],[Account Withdrawl Amount] ], )</f>
        <v>0</v>
      </c>
    </row>
    <row r="49" spans="1:22" ht="12.6" thickBot="1">
      <c r="A49" s="23"/>
      <c r="B49" s="24"/>
      <c r="C49" s="23"/>
      <c r="D49" s="25"/>
      <c r="E49" s="79"/>
      <c r="F49" s="79"/>
      <c r="G49" s="82">
        <f t="shared" si="3"/>
        <v>99.489999999999782</v>
      </c>
      <c r="H49" s="23"/>
      <c r="I49" s="38">
        <f>IF(Table32[[#This Row],[CODE]]=1, Table32[ [#This Row],[Account Deposit Amount] ]-Table32[ [#This Row],[Account Withdrawl Amount] ], )</f>
        <v>0</v>
      </c>
      <c r="J49" s="88">
        <f>IF(Table32[[#This Row],[CODE]]=2, Table32[ [#This Row],[Account Deposit Amount] ]-Table32[ [#This Row],[Account Withdrawl Amount] ], )</f>
        <v>0</v>
      </c>
      <c r="K49" s="88">
        <f>IF(Table32[[#This Row],[CODE]]=3, Table32[ [#This Row],[Account Deposit Amount] ]-Table32[ [#This Row],[Account Withdrawl Amount] ], )</f>
        <v>0</v>
      </c>
      <c r="L49" s="89">
        <f>IF(Table32[[#This Row],[CODE]]=4, Table32[ [#This Row],[Account Deposit Amount] ]-Table32[ [#This Row],[Account Withdrawl Amount] ], )</f>
        <v>0</v>
      </c>
      <c r="M49" s="89">
        <f>IF(Table32[[#This Row],[CODE]]=5, Table32[ [#This Row],[Account Deposit Amount] ]-Table32[ [#This Row],[Account Withdrawl Amount] ], )</f>
        <v>0</v>
      </c>
      <c r="N49" s="89">
        <f>IF(Table32[[#This Row],[CODE]]=6, Table32[ [#This Row],[Account Deposit Amount] ]-Table32[ [#This Row],[Account Withdrawl Amount] ], )</f>
        <v>0</v>
      </c>
      <c r="O49" s="89">
        <f>IF(Table32[[#This Row],[CODE]]=11, Table32[ [#This Row],[Account Deposit Amount] ]-Table32[ [#This Row],[Account Withdrawl Amount] ], )</f>
        <v>0</v>
      </c>
      <c r="P49" s="89">
        <f>IF(Table32[[#This Row],[CODE]]=12, Table32[ [#This Row],[Account Deposit Amount] ]-Table32[ [#This Row],[Account Withdrawl Amount] ], )</f>
        <v>0</v>
      </c>
      <c r="Q49" s="89">
        <f>IF(Table32[[#This Row],[CODE]]=13, Table32[ [#This Row],[Account Deposit Amount] ]-Table32[ [#This Row],[Account Withdrawl Amount] ], )</f>
        <v>0</v>
      </c>
      <c r="R49" s="89">
        <f>IF(Table32[[#This Row],[CODE]]=14, Table32[ [#This Row],[Account Deposit Amount] ]-Table32[ [#This Row],[Account Withdrawl Amount] ], )</f>
        <v>0</v>
      </c>
      <c r="S49" s="89">
        <f>IF(Table32[[#This Row],[CODE]]=15, Table32[ [#This Row],[Account Deposit Amount] ]-Table32[ [#This Row],[Account Withdrawl Amount] ], )</f>
        <v>0</v>
      </c>
      <c r="T49" s="89">
        <f>IF(Table32[[#This Row],[CODE]]=16, Table32[ [#This Row],[Account Deposit Amount] ]-Table32[ [#This Row],[Account Withdrawl Amount] ], )</f>
        <v>0</v>
      </c>
      <c r="U49" s="38">
        <f>IF(Table32[[#This Row],[CODE]]=17, Table32[ [#This Row],[Account Deposit Amount] ]-Table32[ [#This Row],[Account Withdrawl Amount] ], )</f>
        <v>0</v>
      </c>
      <c r="V49" s="38">
        <f>IF(Table32[[#This Row],[CODE]]=17, Table32[ [#This Row],[Account Deposit Amount] ]-Table32[ [#This Row],[Account Withdrawl Amount] ], )</f>
        <v>0</v>
      </c>
    </row>
    <row r="50" spans="1:22" ht="12.6" thickBot="1">
      <c r="A50" s="23"/>
      <c r="B50" s="24"/>
      <c r="C50" s="23"/>
      <c r="D50" s="25"/>
      <c r="E50" s="79"/>
      <c r="F50" s="79"/>
      <c r="G50" s="82">
        <f t="shared" si="3"/>
        <v>99.489999999999782</v>
      </c>
      <c r="H50" s="23"/>
      <c r="I50" s="38">
        <f>IF(Table32[[#This Row],[CODE]]=1, Table32[ [#This Row],[Account Deposit Amount] ]-Table32[ [#This Row],[Account Withdrawl Amount] ], )</f>
        <v>0</v>
      </c>
      <c r="J50" s="88">
        <f>IF(Table32[[#This Row],[CODE]]=2, Table32[ [#This Row],[Account Deposit Amount] ]-Table32[ [#This Row],[Account Withdrawl Amount] ], )</f>
        <v>0</v>
      </c>
      <c r="K50" s="88">
        <f>IF(Table32[[#This Row],[CODE]]=3, Table32[ [#This Row],[Account Deposit Amount] ]-Table32[ [#This Row],[Account Withdrawl Amount] ], )</f>
        <v>0</v>
      </c>
      <c r="L50" s="89">
        <f>IF(Table32[[#This Row],[CODE]]=4, Table32[ [#This Row],[Account Deposit Amount] ]-Table32[ [#This Row],[Account Withdrawl Amount] ], )</f>
        <v>0</v>
      </c>
      <c r="M50" s="89">
        <f>IF(Table32[[#This Row],[CODE]]=5, Table32[ [#This Row],[Account Deposit Amount] ]-Table32[ [#This Row],[Account Withdrawl Amount] ], )</f>
        <v>0</v>
      </c>
      <c r="N50" s="89">
        <f>IF(Table32[[#This Row],[CODE]]=6, Table32[ [#This Row],[Account Deposit Amount] ]-Table32[ [#This Row],[Account Withdrawl Amount] ], )</f>
        <v>0</v>
      </c>
      <c r="O50" s="89">
        <f>IF(Table32[[#This Row],[CODE]]=11, Table32[ [#This Row],[Account Deposit Amount] ]-Table32[ [#This Row],[Account Withdrawl Amount] ], )</f>
        <v>0</v>
      </c>
      <c r="P50" s="89">
        <f>IF(Table32[[#This Row],[CODE]]=12, Table32[ [#This Row],[Account Deposit Amount] ]-Table32[ [#This Row],[Account Withdrawl Amount] ], )</f>
        <v>0</v>
      </c>
      <c r="Q50" s="89">
        <f>IF(Table32[[#This Row],[CODE]]=13, Table32[ [#This Row],[Account Deposit Amount] ]-Table32[ [#This Row],[Account Withdrawl Amount] ], )</f>
        <v>0</v>
      </c>
      <c r="R50" s="89">
        <f>IF(Table32[[#This Row],[CODE]]=14, Table32[ [#This Row],[Account Deposit Amount] ]-Table32[ [#This Row],[Account Withdrawl Amount] ], )</f>
        <v>0</v>
      </c>
      <c r="S50" s="89">
        <f>IF(Table32[[#This Row],[CODE]]=15, Table32[ [#This Row],[Account Deposit Amount] ]-Table32[ [#This Row],[Account Withdrawl Amount] ], )</f>
        <v>0</v>
      </c>
      <c r="T50" s="89">
        <f>IF(Table32[[#This Row],[CODE]]=16, Table32[ [#This Row],[Account Deposit Amount] ]-Table32[ [#This Row],[Account Withdrawl Amount] ], )</f>
        <v>0</v>
      </c>
      <c r="U50" s="38">
        <f>IF(Table32[[#This Row],[CODE]]=17, Table32[ [#This Row],[Account Deposit Amount] ]-Table32[ [#This Row],[Account Withdrawl Amount] ], )</f>
        <v>0</v>
      </c>
      <c r="V50" s="38">
        <f>IF(Table32[[#This Row],[CODE]]=17, Table32[ [#This Row],[Account Deposit Amount] ]-Table32[ [#This Row],[Account Withdrawl Amount] ], )</f>
        <v>0</v>
      </c>
    </row>
    <row r="51" spans="1:22" ht="12.6" thickBot="1">
      <c r="A51" s="23"/>
      <c r="B51" s="24"/>
      <c r="C51" s="23"/>
      <c r="D51" s="25"/>
      <c r="E51" s="79"/>
      <c r="F51" s="79"/>
      <c r="G51" s="82">
        <f t="shared" si="3"/>
        <v>99.489999999999782</v>
      </c>
      <c r="H51" s="23"/>
      <c r="I51" s="38">
        <f>IF(Table32[[#This Row],[CODE]]=1, Table32[ [#This Row],[Account Deposit Amount] ]-Table32[ [#This Row],[Account Withdrawl Amount] ], )</f>
        <v>0</v>
      </c>
      <c r="J51" s="88">
        <f>IF(Table32[[#This Row],[CODE]]=2, Table32[ [#This Row],[Account Deposit Amount] ]-Table32[ [#This Row],[Account Withdrawl Amount] ], )</f>
        <v>0</v>
      </c>
      <c r="K51" s="88">
        <f>IF(Table32[[#This Row],[CODE]]=3, Table32[ [#This Row],[Account Deposit Amount] ]-Table32[ [#This Row],[Account Withdrawl Amount] ], )</f>
        <v>0</v>
      </c>
      <c r="L51" s="89">
        <f>IF(Table32[[#This Row],[CODE]]=4, Table32[ [#This Row],[Account Deposit Amount] ]-Table32[ [#This Row],[Account Withdrawl Amount] ], )</f>
        <v>0</v>
      </c>
      <c r="M51" s="89">
        <f>IF(Table32[[#This Row],[CODE]]=5, Table32[ [#This Row],[Account Deposit Amount] ]-Table32[ [#This Row],[Account Withdrawl Amount] ], )</f>
        <v>0</v>
      </c>
      <c r="N51" s="89">
        <f>IF(Table32[[#This Row],[CODE]]=6, Table32[ [#This Row],[Account Deposit Amount] ]-Table32[ [#This Row],[Account Withdrawl Amount] ], )</f>
        <v>0</v>
      </c>
      <c r="O51" s="89">
        <f>IF(Table32[[#This Row],[CODE]]=11, Table32[ [#This Row],[Account Deposit Amount] ]-Table32[ [#This Row],[Account Withdrawl Amount] ], )</f>
        <v>0</v>
      </c>
      <c r="P51" s="89">
        <f>IF(Table32[[#This Row],[CODE]]=12, Table32[ [#This Row],[Account Deposit Amount] ]-Table32[ [#This Row],[Account Withdrawl Amount] ], )</f>
        <v>0</v>
      </c>
      <c r="Q51" s="89">
        <f>IF(Table32[[#This Row],[CODE]]=13, Table32[ [#This Row],[Account Deposit Amount] ]-Table32[ [#This Row],[Account Withdrawl Amount] ], )</f>
        <v>0</v>
      </c>
      <c r="R51" s="89">
        <f>IF(Table32[[#This Row],[CODE]]=14, Table32[ [#This Row],[Account Deposit Amount] ]-Table32[ [#This Row],[Account Withdrawl Amount] ], )</f>
        <v>0</v>
      </c>
      <c r="S51" s="89">
        <f>IF(Table32[[#This Row],[CODE]]=15, Table32[ [#This Row],[Account Deposit Amount] ]-Table32[ [#This Row],[Account Withdrawl Amount] ], )</f>
        <v>0</v>
      </c>
      <c r="T51" s="89">
        <f>IF(Table32[[#This Row],[CODE]]=16, Table32[ [#This Row],[Account Deposit Amount] ]-Table32[ [#This Row],[Account Withdrawl Amount] ], )</f>
        <v>0</v>
      </c>
      <c r="U51" s="38">
        <f>IF(Table32[[#This Row],[CODE]]=17, Table32[ [#This Row],[Account Deposit Amount] ]-Table32[ [#This Row],[Account Withdrawl Amount] ], )</f>
        <v>0</v>
      </c>
      <c r="V51" s="38">
        <f>IF(Table32[[#This Row],[CODE]]=17, Table32[ [#This Row],[Account Deposit Amount] ]-Table32[ [#This Row],[Account Withdrawl Amount] ], )</f>
        <v>0</v>
      </c>
    </row>
    <row r="52" spans="1:22" ht="12.6" thickBot="1">
      <c r="A52" s="23"/>
      <c r="B52" s="24"/>
      <c r="C52" s="23"/>
      <c r="D52" s="25"/>
      <c r="E52" s="79"/>
      <c r="F52" s="79"/>
      <c r="G52" s="82">
        <f t="shared" si="3"/>
        <v>99.489999999999782</v>
      </c>
      <c r="H52" s="23"/>
      <c r="I52" s="38">
        <f>IF(Table32[[#This Row],[CODE]]=1, Table32[ [#This Row],[Account Deposit Amount] ]-Table32[ [#This Row],[Account Withdrawl Amount] ], )</f>
        <v>0</v>
      </c>
      <c r="J52" s="88">
        <f>IF(Table32[[#This Row],[CODE]]=2, Table32[ [#This Row],[Account Deposit Amount] ]-Table32[ [#This Row],[Account Withdrawl Amount] ], )</f>
        <v>0</v>
      </c>
      <c r="K52" s="88">
        <f>IF(Table32[[#This Row],[CODE]]=3, Table32[ [#This Row],[Account Deposit Amount] ]-Table32[ [#This Row],[Account Withdrawl Amount] ], )</f>
        <v>0</v>
      </c>
      <c r="L52" s="89">
        <f>IF(Table32[[#This Row],[CODE]]=4, Table32[ [#This Row],[Account Deposit Amount] ]-Table32[ [#This Row],[Account Withdrawl Amount] ], )</f>
        <v>0</v>
      </c>
      <c r="M52" s="89">
        <f>IF(Table32[[#This Row],[CODE]]=5, Table32[ [#This Row],[Account Deposit Amount] ]-Table32[ [#This Row],[Account Withdrawl Amount] ], )</f>
        <v>0</v>
      </c>
      <c r="N52" s="89">
        <f>IF(Table32[[#This Row],[CODE]]=6, Table32[ [#This Row],[Account Deposit Amount] ]-Table32[ [#This Row],[Account Withdrawl Amount] ], )</f>
        <v>0</v>
      </c>
      <c r="O52" s="89">
        <f>IF(Table32[[#This Row],[CODE]]=11, Table32[ [#This Row],[Account Deposit Amount] ]-Table32[ [#This Row],[Account Withdrawl Amount] ], )</f>
        <v>0</v>
      </c>
      <c r="P52" s="89">
        <f>IF(Table32[[#This Row],[CODE]]=12, Table32[ [#This Row],[Account Deposit Amount] ]-Table32[ [#This Row],[Account Withdrawl Amount] ], )</f>
        <v>0</v>
      </c>
      <c r="Q52" s="89">
        <f>IF(Table32[[#This Row],[CODE]]=13, Table32[ [#This Row],[Account Deposit Amount] ]-Table32[ [#This Row],[Account Withdrawl Amount] ], )</f>
        <v>0</v>
      </c>
      <c r="R52" s="89">
        <f>IF(Table32[[#This Row],[CODE]]=14, Table32[ [#This Row],[Account Deposit Amount] ]-Table32[ [#This Row],[Account Withdrawl Amount] ], )</f>
        <v>0</v>
      </c>
      <c r="S52" s="89">
        <f>IF(Table32[[#This Row],[CODE]]=15, Table32[ [#This Row],[Account Deposit Amount] ]-Table32[ [#This Row],[Account Withdrawl Amount] ], )</f>
        <v>0</v>
      </c>
      <c r="T52" s="89">
        <f>IF(Table32[[#This Row],[CODE]]=16, Table32[ [#This Row],[Account Deposit Amount] ]-Table32[ [#This Row],[Account Withdrawl Amount] ], )</f>
        <v>0</v>
      </c>
      <c r="U52" s="38">
        <f>IF(Table32[[#This Row],[CODE]]=17, Table32[ [#This Row],[Account Deposit Amount] ]-Table32[ [#This Row],[Account Withdrawl Amount] ], )</f>
        <v>0</v>
      </c>
      <c r="V52" s="38">
        <f>IF(Table32[[#This Row],[CODE]]=17, Table32[ [#This Row],[Account Deposit Amount] ]-Table32[ [#This Row],[Account Withdrawl Amount] ], )</f>
        <v>0</v>
      </c>
    </row>
    <row r="53" spans="1:22" ht="12.6" thickBot="1">
      <c r="A53" s="23"/>
      <c r="B53" s="24"/>
      <c r="C53" s="23"/>
      <c r="D53" s="25"/>
      <c r="E53" s="79"/>
      <c r="F53" s="79"/>
      <c r="G53" s="82">
        <f t="shared" si="3"/>
        <v>99.489999999999782</v>
      </c>
      <c r="H53" s="23"/>
      <c r="I53" s="38">
        <f>IF(Table32[[#This Row],[CODE]]=1, Table32[ [#This Row],[Account Deposit Amount] ]-Table32[ [#This Row],[Account Withdrawl Amount] ], )</f>
        <v>0</v>
      </c>
      <c r="J53" s="88">
        <f>IF(Table32[[#This Row],[CODE]]=2, Table32[ [#This Row],[Account Deposit Amount] ]-Table32[ [#This Row],[Account Withdrawl Amount] ], )</f>
        <v>0</v>
      </c>
      <c r="K53" s="88">
        <f>IF(Table32[[#This Row],[CODE]]=3, Table32[ [#This Row],[Account Deposit Amount] ]-Table32[ [#This Row],[Account Withdrawl Amount] ], )</f>
        <v>0</v>
      </c>
      <c r="L53" s="89">
        <f>IF(Table32[[#This Row],[CODE]]=4, Table32[ [#This Row],[Account Deposit Amount] ]-Table32[ [#This Row],[Account Withdrawl Amount] ], )</f>
        <v>0</v>
      </c>
      <c r="M53" s="89">
        <f>IF(Table32[[#This Row],[CODE]]=5, Table32[ [#This Row],[Account Deposit Amount] ]-Table32[ [#This Row],[Account Withdrawl Amount] ], )</f>
        <v>0</v>
      </c>
      <c r="N53" s="89">
        <f>IF(Table32[[#This Row],[CODE]]=6, Table32[ [#This Row],[Account Deposit Amount] ]-Table32[ [#This Row],[Account Withdrawl Amount] ], )</f>
        <v>0</v>
      </c>
      <c r="O53" s="89">
        <f>IF(Table32[[#This Row],[CODE]]=11, Table32[ [#This Row],[Account Deposit Amount] ]-Table32[ [#This Row],[Account Withdrawl Amount] ], )</f>
        <v>0</v>
      </c>
      <c r="P53" s="89">
        <f>IF(Table32[[#This Row],[CODE]]=12, Table32[ [#This Row],[Account Deposit Amount] ]-Table32[ [#This Row],[Account Withdrawl Amount] ], )</f>
        <v>0</v>
      </c>
      <c r="Q53" s="89">
        <f>IF(Table32[[#This Row],[CODE]]=13, Table32[ [#This Row],[Account Deposit Amount] ]-Table32[ [#This Row],[Account Withdrawl Amount] ], )</f>
        <v>0</v>
      </c>
      <c r="R53" s="89">
        <f>IF(Table32[[#This Row],[CODE]]=14, Table32[ [#This Row],[Account Deposit Amount] ]-Table32[ [#This Row],[Account Withdrawl Amount] ], )</f>
        <v>0</v>
      </c>
      <c r="S53" s="89">
        <f>IF(Table32[[#This Row],[CODE]]=15, Table32[ [#This Row],[Account Deposit Amount] ]-Table32[ [#This Row],[Account Withdrawl Amount] ], )</f>
        <v>0</v>
      </c>
      <c r="T53" s="89">
        <f>IF(Table32[[#This Row],[CODE]]=16, Table32[ [#This Row],[Account Deposit Amount] ]-Table32[ [#This Row],[Account Withdrawl Amount] ], )</f>
        <v>0</v>
      </c>
      <c r="U53" s="38">
        <f>IF(Table32[[#This Row],[CODE]]=17, Table32[ [#This Row],[Account Deposit Amount] ]-Table32[ [#This Row],[Account Withdrawl Amount] ], )</f>
        <v>0</v>
      </c>
      <c r="V53" s="38">
        <f>IF(Table32[[#This Row],[CODE]]=17, Table32[ [#This Row],[Account Deposit Amount] ]-Table32[ [#This Row],[Account Withdrawl Amount] ], )</f>
        <v>0</v>
      </c>
    </row>
    <row r="54" spans="1:22" ht="12.6" thickBot="1">
      <c r="A54" s="23"/>
      <c r="B54" s="24"/>
      <c r="C54" s="23"/>
      <c r="D54" s="25"/>
      <c r="E54" s="79"/>
      <c r="F54" s="79"/>
      <c r="G54" s="82">
        <f t="shared" si="3"/>
        <v>99.489999999999782</v>
      </c>
      <c r="H54" s="23"/>
      <c r="I54" s="38">
        <f>IF(Table32[[#This Row],[CODE]]=1, Table32[ [#This Row],[Account Deposit Amount] ]-Table32[ [#This Row],[Account Withdrawl Amount] ], )</f>
        <v>0</v>
      </c>
      <c r="J54" s="88">
        <f>IF(Table32[[#This Row],[CODE]]=2, Table32[ [#This Row],[Account Deposit Amount] ]-Table32[ [#This Row],[Account Withdrawl Amount] ], )</f>
        <v>0</v>
      </c>
      <c r="K54" s="88">
        <f>IF(Table32[[#This Row],[CODE]]=3, Table32[ [#This Row],[Account Deposit Amount] ]-Table32[ [#This Row],[Account Withdrawl Amount] ], )</f>
        <v>0</v>
      </c>
      <c r="L54" s="89">
        <f>IF(Table32[[#This Row],[CODE]]=4, Table32[ [#This Row],[Account Deposit Amount] ]-Table32[ [#This Row],[Account Withdrawl Amount] ], )</f>
        <v>0</v>
      </c>
      <c r="M54" s="89">
        <f>IF(Table32[[#This Row],[CODE]]=5, Table32[ [#This Row],[Account Deposit Amount] ]-Table32[ [#This Row],[Account Withdrawl Amount] ], )</f>
        <v>0</v>
      </c>
      <c r="N54" s="89">
        <f>IF(Table32[[#This Row],[CODE]]=6, Table32[ [#This Row],[Account Deposit Amount] ]-Table32[ [#This Row],[Account Withdrawl Amount] ], )</f>
        <v>0</v>
      </c>
      <c r="O54" s="89">
        <f>IF(Table32[[#This Row],[CODE]]=11, Table32[ [#This Row],[Account Deposit Amount] ]-Table32[ [#This Row],[Account Withdrawl Amount] ], )</f>
        <v>0</v>
      </c>
      <c r="P54" s="89">
        <f>IF(Table32[[#This Row],[CODE]]=12, Table32[ [#This Row],[Account Deposit Amount] ]-Table32[ [#This Row],[Account Withdrawl Amount] ], )</f>
        <v>0</v>
      </c>
      <c r="Q54" s="89">
        <f>IF(Table32[[#This Row],[CODE]]=13, Table32[ [#This Row],[Account Deposit Amount] ]-Table32[ [#This Row],[Account Withdrawl Amount] ], )</f>
        <v>0</v>
      </c>
      <c r="R54" s="89">
        <f>IF(Table32[[#This Row],[CODE]]=14, Table32[ [#This Row],[Account Deposit Amount] ]-Table32[ [#This Row],[Account Withdrawl Amount] ], )</f>
        <v>0</v>
      </c>
      <c r="S54" s="89">
        <f>IF(Table32[[#This Row],[CODE]]=15, Table32[ [#This Row],[Account Deposit Amount] ]-Table32[ [#This Row],[Account Withdrawl Amount] ], )</f>
        <v>0</v>
      </c>
      <c r="T54" s="89">
        <f>IF(Table32[[#This Row],[CODE]]=16, Table32[ [#This Row],[Account Deposit Amount] ]-Table32[ [#This Row],[Account Withdrawl Amount] ], )</f>
        <v>0</v>
      </c>
      <c r="U54" s="38">
        <f>IF(Table32[[#This Row],[CODE]]=17, Table32[ [#This Row],[Account Deposit Amount] ]-Table32[ [#This Row],[Account Withdrawl Amount] ], )</f>
        <v>0</v>
      </c>
      <c r="V54" s="38">
        <f>IF(Table32[[#This Row],[CODE]]=17, Table32[ [#This Row],[Account Deposit Amount] ]-Table32[ [#This Row],[Account Withdrawl Amount] ], )</f>
        <v>0</v>
      </c>
    </row>
    <row r="55" spans="1:22" ht="12.6" thickBot="1">
      <c r="A55" s="23"/>
      <c r="B55" s="24"/>
      <c r="C55" s="23"/>
      <c r="D55" s="25"/>
      <c r="E55" s="79"/>
      <c r="F55" s="79"/>
      <c r="G55" s="82">
        <f t="shared" ref="G55:G86" si="4">G54+E55-F55</f>
        <v>99.489999999999782</v>
      </c>
      <c r="H55" s="23"/>
      <c r="I55" s="38">
        <f>IF(Table32[[#This Row],[CODE]]=1, Table32[ [#This Row],[Account Deposit Amount] ]-Table32[ [#This Row],[Account Withdrawl Amount] ], )</f>
        <v>0</v>
      </c>
      <c r="J55" s="88">
        <f>IF(Table32[[#This Row],[CODE]]=2, Table32[ [#This Row],[Account Deposit Amount] ]-Table32[ [#This Row],[Account Withdrawl Amount] ], )</f>
        <v>0</v>
      </c>
      <c r="K55" s="88">
        <f>IF(Table32[[#This Row],[CODE]]=3, Table32[ [#This Row],[Account Deposit Amount] ]-Table32[ [#This Row],[Account Withdrawl Amount] ], )</f>
        <v>0</v>
      </c>
      <c r="L55" s="89">
        <f>IF(Table32[[#This Row],[CODE]]=4, Table32[ [#This Row],[Account Deposit Amount] ]-Table32[ [#This Row],[Account Withdrawl Amount] ], )</f>
        <v>0</v>
      </c>
      <c r="M55" s="89">
        <f>IF(Table32[[#This Row],[CODE]]=5, Table32[ [#This Row],[Account Deposit Amount] ]-Table32[ [#This Row],[Account Withdrawl Amount] ], )</f>
        <v>0</v>
      </c>
      <c r="N55" s="89">
        <f>IF(Table32[[#This Row],[CODE]]=6, Table32[ [#This Row],[Account Deposit Amount] ]-Table32[ [#This Row],[Account Withdrawl Amount] ], )</f>
        <v>0</v>
      </c>
      <c r="O55" s="89">
        <f>IF(Table32[[#This Row],[CODE]]=11, Table32[ [#This Row],[Account Deposit Amount] ]-Table32[ [#This Row],[Account Withdrawl Amount] ], )</f>
        <v>0</v>
      </c>
      <c r="P55" s="89">
        <f>IF(Table32[[#This Row],[CODE]]=12, Table32[ [#This Row],[Account Deposit Amount] ]-Table32[ [#This Row],[Account Withdrawl Amount] ], )</f>
        <v>0</v>
      </c>
      <c r="Q55" s="89">
        <f>IF(Table32[[#This Row],[CODE]]=13, Table32[ [#This Row],[Account Deposit Amount] ]-Table32[ [#This Row],[Account Withdrawl Amount] ], )</f>
        <v>0</v>
      </c>
      <c r="R55" s="89">
        <f>IF(Table32[[#This Row],[CODE]]=14, Table32[ [#This Row],[Account Deposit Amount] ]-Table32[ [#This Row],[Account Withdrawl Amount] ], )</f>
        <v>0</v>
      </c>
      <c r="S55" s="89">
        <f>IF(Table32[[#This Row],[CODE]]=15, Table32[ [#This Row],[Account Deposit Amount] ]-Table32[ [#This Row],[Account Withdrawl Amount] ], )</f>
        <v>0</v>
      </c>
      <c r="T55" s="89">
        <f>IF(Table32[[#This Row],[CODE]]=16, Table32[ [#This Row],[Account Deposit Amount] ]-Table32[ [#This Row],[Account Withdrawl Amount] ], )</f>
        <v>0</v>
      </c>
      <c r="U55" s="38">
        <f>IF(Table32[[#This Row],[CODE]]=17, Table32[ [#This Row],[Account Deposit Amount] ]-Table32[ [#This Row],[Account Withdrawl Amount] ], )</f>
        <v>0</v>
      </c>
      <c r="V55" s="38">
        <f>IF(Table32[[#This Row],[CODE]]=17, Table32[ [#This Row],[Account Deposit Amount] ]-Table32[ [#This Row],[Account Withdrawl Amount] ], )</f>
        <v>0</v>
      </c>
    </row>
    <row r="56" spans="1:22" ht="12.6" thickBot="1">
      <c r="A56" s="23"/>
      <c r="B56" s="24"/>
      <c r="C56" s="23"/>
      <c r="D56" s="25"/>
      <c r="E56" s="79"/>
      <c r="F56" s="79"/>
      <c r="G56" s="82">
        <f t="shared" si="4"/>
        <v>99.489999999999782</v>
      </c>
      <c r="H56" s="23"/>
      <c r="I56" s="38">
        <f>IF(Table32[[#This Row],[CODE]]=1, Table32[ [#This Row],[Account Deposit Amount] ]-Table32[ [#This Row],[Account Withdrawl Amount] ], )</f>
        <v>0</v>
      </c>
      <c r="J56" s="88">
        <f>IF(Table32[[#This Row],[CODE]]=2, Table32[ [#This Row],[Account Deposit Amount] ]-Table32[ [#This Row],[Account Withdrawl Amount] ], )</f>
        <v>0</v>
      </c>
      <c r="K56" s="88">
        <f>IF(Table32[[#This Row],[CODE]]=3, Table32[ [#This Row],[Account Deposit Amount] ]-Table32[ [#This Row],[Account Withdrawl Amount] ], )</f>
        <v>0</v>
      </c>
      <c r="L56" s="89">
        <f>IF(Table32[[#This Row],[CODE]]=4, Table32[ [#This Row],[Account Deposit Amount] ]-Table32[ [#This Row],[Account Withdrawl Amount] ], )</f>
        <v>0</v>
      </c>
      <c r="M56" s="89">
        <f>IF(Table32[[#This Row],[CODE]]=5, Table32[ [#This Row],[Account Deposit Amount] ]-Table32[ [#This Row],[Account Withdrawl Amount] ], )</f>
        <v>0</v>
      </c>
      <c r="N56" s="89">
        <f>IF(Table32[[#This Row],[CODE]]=6, Table32[ [#This Row],[Account Deposit Amount] ]-Table32[ [#This Row],[Account Withdrawl Amount] ], )</f>
        <v>0</v>
      </c>
      <c r="O56" s="89">
        <f>IF(Table32[[#This Row],[CODE]]=11, Table32[ [#This Row],[Account Deposit Amount] ]-Table32[ [#This Row],[Account Withdrawl Amount] ], )</f>
        <v>0</v>
      </c>
      <c r="P56" s="89">
        <f>IF(Table32[[#This Row],[CODE]]=12, Table32[ [#This Row],[Account Deposit Amount] ]-Table32[ [#This Row],[Account Withdrawl Amount] ], )</f>
        <v>0</v>
      </c>
      <c r="Q56" s="89">
        <f>IF(Table32[[#This Row],[CODE]]=13, Table32[ [#This Row],[Account Deposit Amount] ]-Table32[ [#This Row],[Account Withdrawl Amount] ], )</f>
        <v>0</v>
      </c>
      <c r="R56" s="89">
        <f>IF(Table32[[#This Row],[CODE]]=14, Table32[ [#This Row],[Account Deposit Amount] ]-Table32[ [#This Row],[Account Withdrawl Amount] ], )</f>
        <v>0</v>
      </c>
      <c r="S56" s="89">
        <f>IF(Table32[[#This Row],[CODE]]=15, Table32[ [#This Row],[Account Deposit Amount] ]-Table32[ [#This Row],[Account Withdrawl Amount] ], )</f>
        <v>0</v>
      </c>
      <c r="T56" s="89">
        <f>IF(Table32[[#This Row],[CODE]]=16, Table32[ [#This Row],[Account Deposit Amount] ]-Table32[ [#This Row],[Account Withdrawl Amount] ], )</f>
        <v>0</v>
      </c>
      <c r="U56" s="38">
        <f>IF(Table32[[#This Row],[CODE]]=17, Table32[ [#This Row],[Account Deposit Amount] ]-Table32[ [#This Row],[Account Withdrawl Amount] ], )</f>
        <v>0</v>
      </c>
      <c r="V56" s="38">
        <f>IF(Table32[[#This Row],[CODE]]=17, Table32[ [#This Row],[Account Deposit Amount] ]-Table32[ [#This Row],[Account Withdrawl Amount] ], )</f>
        <v>0</v>
      </c>
    </row>
    <row r="57" spans="1:22" ht="12.6" thickBot="1">
      <c r="A57" s="23"/>
      <c r="B57" s="24"/>
      <c r="C57" s="23"/>
      <c r="D57" s="25"/>
      <c r="E57" s="79"/>
      <c r="F57" s="79"/>
      <c r="G57" s="82">
        <f t="shared" si="4"/>
        <v>99.489999999999782</v>
      </c>
      <c r="H57" s="23"/>
      <c r="I57" s="38">
        <f>IF(Table32[[#This Row],[CODE]]=1, Table32[ [#This Row],[Account Deposit Amount] ]-Table32[ [#This Row],[Account Withdrawl Amount] ], )</f>
        <v>0</v>
      </c>
      <c r="J57" s="88">
        <f>IF(Table32[[#This Row],[CODE]]=2, Table32[ [#This Row],[Account Deposit Amount] ]-Table32[ [#This Row],[Account Withdrawl Amount] ], )</f>
        <v>0</v>
      </c>
      <c r="K57" s="88">
        <f>IF(Table32[[#This Row],[CODE]]=3, Table32[ [#This Row],[Account Deposit Amount] ]-Table32[ [#This Row],[Account Withdrawl Amount] ], )</f>
        <v>0</v>
      </c>
      <c r="L57" s="89">
        <f>IF(Table32[[#This Row],[CODE]]=4, Table32[ [#This Row],[Account Deposit Amount] ]-Table32[ [#This Row],[Account Withdrawl Amount] ], )</f>
        <v>0</v>
      </c>
      <c r="M57" s="89">
        <f>IF(Table32[[#This Row],[CODE]]=5, Table32[ [#This Row],[Account Deposit Amount] ]-Table32[ [#This Row],[Account Withdrawl Amount] ], )</f>
        <v>0</v>
      </c>
      <c r="N57" s="89">
        <f>IF(Table32[[#This Row],[CODE]]=6, Table32[ [#This Row],[Account Deposit Amount] ]-Table32[ [#This Row],[Account Withdrawl Amount] ], )</f>
        <v>0</v>
      </c>
      <c r="O57" s="89">
        <f>IF(Table32[[#This Row],[CODE]]=11, Table32[ [#This Row],[Account Deposit Amount] ]-Table32[ [#This Row],[Account Withdrawl Amount] ], )</f>
        <v>0</v>
      </c>
      <c r="P57" s="89">
        <f>IF(Table32[[#This Row],[CODE]]=12, Table32[ [#This Row],[Account Deposit Amount] ]-Table32[ [#This Row],[Account Withdrawl Amount] ], )</f>
        <v>0</v>
      </c>
      <c r="Q57" s="89">
        <f>IF(Table32[[#This Row],[CODE]]=13, Table32[ [#This Row],[Account Deposit Amount] ]-Table32[ [#This Row],[Account Withdrawl Amount] ], )</f>
        <v>0</v>
      </c>
      <c r="R57" s="89">
        <f>IF(Table32[[#This Row],[CODE]]=14, Table32[ [#This Row],[Account Deposit Amount] ]-Table32[ [#This Row],[Account Withdrawl Amount] ], )</f>
        <v>0</v>
      </c>
      <c r="S57" s="89">
        <f>IF(Table32[[#This Row],[CODE]]=15, Table32[ [#This Row],[Account Deposit Amount] ]-Table32[ [#This Row],[Account Withdrawl Amount] ], )</f>
        <v>0</v>
      </c>
      <c r="T57" s="89">
        <f>IF(Table32[[#This Row],[CODE]]=16, Table32[ [#This Row],[Account Deposit Amount] ]-Table32[ [#This Row],[Account Withdrawl Amount] ], )</f>
        <v>0</v>
      </c>
      <c r="U57" s="38">
        <f>IF(Table32[[#This Row],[CODE]]=17, Table32[ [#This Row],[Account Deposit Amount] ]-Table32[ [#This Row],[Account Withdrawl Amount] ], )</f>
        <v>0</v>
      </c>
      <c r="V57" s="38">
        <f>IF(Table32[[#This Row],[CODE]]=17, Table32[ [#This Row],[Account Deposit Amount] ]-Table32[ [#This Row],[Account Withdrawl Amount] ], )</f>
        <v>0</v>
      </c>
    </row>
    <row r="58" spans="1:22" ht="12.6" thickBot="1">
      <c r="A58" s="23"/>
      <c r="B58" s="24"/>
      <c r="C58" s="23"/>
      <c r="D58" s="25"/>
      <c r="E58" s="79"/>
      <c r="F58" s="79"/>
      <c r="G58" s="82">
        <f t="shared" si="4"/>
        <v>99.489999999999782</v>
      </c>
      <c r="H58" s="23"/>
      <c r="I58" s="38">
        <f>IF(Table32[[#This Row],[CODE]]=1, Table32[ [#This Row],[Account Deposit Amount] ]-Table32[ [#This Row],[Account Withdrawl Amount] ], )</f>
        <v>0</v>
      </c>
      <c r="J58" s="88">
        <f>IF(Table32[[#This Row],[CODE]]=2, Table32[ [#This Row],[Account Deposit Amount] ]-Table32[ [#This Row],[Account Withdrawl Amount] ], )</f>
        <v>0</v>
      </c>
      <c r="K58" s="88">
        <f>IF(Table32[[#This Row],[CODE]]=3, Table32[ [#This Row],[Account Deposit Amount] ]-Table32[ [#This Row],[Account Withdrawl Amount] ], )</f>
        <v>0</v>
      </c>
      <c r="L58" s="89">
        <f>IF(Table32[[#This Row],[CODE]]=4, Table32[ [#This Row],[Account Deposit Amount] ]-Table32[ [#This Row],[Account Withdrawl Amount] ], )</f>
        <v>0</v>
      </c>
      <c r="M58" s="89">
        <f>IF(Table32[[#This Row],[CODE]]=5, Table32[ [#This Row],[Account Deposit Amount] ]-Table32[ [#This Row],[Account Withdrawl Amount] ], )</f>
        <v>0</v>
      </c>
      <c r="N58" s="89">
        <f>IF(Table32[[#This Row],[CODE]]=6, Table32[ [#This Row],[Account Deposit Amount] ]-Table32[ [#This Row],[Account Withdrawl Amount] ], )</f>
        <v>0</v>
      </c>
      <c r="O58" s="89">
        <f>IF(Table32[[#This Row],[CODE]]=11, Table32[ [#This Row],[Account Deposit Amount] ]-Table32[ [#This Row],[Account Withdrawl Amount] ], )</f>
        <v>0</v>
      </c>
      <c r="P58" s="89">
        <f>IF(Table32[[#This Row],[CODE]]=12, Table32[ [#This Row],[Account Deposit Amount] ]-Table32[ [#This Row],[Account Withdrawl Amount] ], )</f>
        <v>0</v>
      </c>
      <c r="Q58" s="89">
        <f>IF(Table32[[#This Row],[CODE]]=13, Table32[ [#This Row],[Account Deposit Amount] ]-Table32[ [#This Row],[Account Withdrawl Amount] ], )</f>
        <v>0</v>
      </c>
      <c r="R58" s="89">
        <f>IF(Table32[[#This Row],[CODE]]=14, Table32[ [#This Row],[Account Deposit Amount] ]-Table32[ [#This Row],[Account Withdrawl Amount] ], )</f>
        <v>0</v>
      </c>
      <c r="S58" s="89">
        <f>IF(Table32[[#This Row],[CODE]]=15, Table32[ [#This Row],[Account Deposit Amount] ]-Table32[ [#This Row],[Account Withdrawl Amount] ], )</f>
        <v>0</v>
      </c>
      <c r="T58" s="89">
        <f>IF(Table32[[#This Row],[CODE]]=16, Table32[ [#This Row],[Account Deposit Amount] ]-Table32[ [#This Row],[Account Withdrawl Amount] ], )</f>
        <v>0</v>
      </c>
      <c r="U58" s="38">
        <f>IF(Table32[[#This Row],[CODE]]=17, Table32[ [#This Row],[Account Deposit Amount] ]-Table32[ [#This Row],[Account Withdrawl Amount] ], )</f>
        <v>0</v>
      </c>
      <c r="V58" s="38">
        <f>IF(Table32[[#This Row],[CODE]]=17, Table32[ [#This Row],[Account Deposit Amount] ]-Table32[ [#This Row],[Account Withdrawl Amount] ], )</f>
        <v>0</v>
      </c>
    </row>
    <row r="59" spans="1:22" ht="12.6" thickBot="1">
      <c r="A59" s="23"/>
      <c r="B59" s="24"/>
      <c r="C59" s="23"/>
      <c r="D59" s="25"/>
      <c r="E59" s="79"/>
      <c r="F59" s="79"/>
      <c r="G59" s="82">
        <f t="shared" si="4"/>
        <v>99.489999999999782</v>
      </c>
      <c r="H59" s="23"/>
      <c r="I59" s="38">
        <f>IF(Table32[[#This Row],[CODE]]=1, Table32[ [#This Row],[Account Deposit Amount] ]-Table32[ [#This Row],[Account Withdrawl Amount] ], )</f>
        <v>0</v>
      </c>
      <c r="J59" s="88">
        <f>IF(Table32[[#This Row],[CODE]]=2, Table32[ [#This Row],[Account Deposit Amount] ]-Table32[ [#This Row],[Account Withdrawl Amount] ], )</f>
        <v>0</v>
      </c>
      <c r="K59" s="88">
        <f>IF(Table32[[#This Row],[CODE]]=3, Table32[ [#This Row],[Account Deposit Amount] ]-Table32[ [#This Row],[Account Withdrawl Amount] ], )</f>
        <v>0</v>
      </c>
      <c r="L59" s="89">
        <f>IF(Table32[[#This Row],[CODE]]=4, Table32[ [#This Row],[Account Deposit Amount] ]-Table32[ [#This Row],[Account Withdrawl Amount] ], )</f>
        <v>0</v>
      </c>
      <c r="M59" s="89">
        <f>IF(Table32[[#This Row],[CODE]]=5, Table32[ [#This Row],[Account Deposit Amount] ]-Table32[ [#This Row],[Account Withdrawl Amount] ], )</f>
        <v>0</v>
      </c>
      <c r="N59" s="89">
        <f>IF(Table32[[#This Row],[CODE]]=6, Table32[ [#This Row],[Account Deposit Amount] ]-Table32[ [#This Row],[Account Withdrawl Amount] ], )</f>
        <v>0</v>
      </c>
      <c r="O59" s="89">
        <f>IF(Table32[[#This Row],[CODE]]=11, Table32[ [#This Row],[Account Deposit Amount] ]-Table32[ [#This Row],[Account Withdrawl Amount] ], )</f>
        <v>0</v>
      </c>
      <c r="P59" s="89">
        <f>IF(Table32[[#This Row],[CODE]]=12, Table32[ [#This Row],[Account Deposit Amount] ]-Table32[ [#This Row],[Account Withdrawl Amount] ], )</f>
        <v>0</v>
      </c>
      <c r="Q59" s="89">
        <f>IF(Table32[[#This Row],[CODE]]=13, Table32[ [#This Row],[Account Deposit Amount] ]-Table32[ [#This Row],[Account Withdrawl Amount] ], )</f>
        <v>0</v>
      </c>
      <c r="R59" s="89">
        <f>IF(Table32[[#This Row],[CODE]]=14, Table32[ [#This Row],[Account Deposit Amount] ]-Table32[ [#This Row],[Account Withdrawl Amount] ], )</f>
        <v>0</v>
      </c>
      <c r="S59" s="89">
        <f>IF(Table32[[#This Row],[CODE]]=15, Table32[ [#This Row],[Account Deposit Amount] ]-Table32[ [#This Row],[Account Withdrawl Amount] ], )</f>
        <v>0</v>
      </c>
      <c r="T59" s="89">
        <f>IF(Table32[[#This Row],[CODE]]=16, Table32[ [#This Row],[Account Deposit Amount] ]-Table32[ [#This Row],[Account Withdrawl Amount] ], )</f>
        <v>0</v>
      </c>
      <c r="U59" s="38">
        <f>IF(Table32[[#This Row],[CODE]]=17, Table32[ [#This Row],[Account Deposit Amount] ]-Table32[ [#This Row],[Account Withdrawl Amount] ], )</f>
        <v>0</v>
      </c>
      <c r="V59" s="38">
        <f>IF(Table32[[#This Row],[CODE]]=17, Table32[ [#This Row],[Account Deposit Amount] ]-Table32[ [#This Row],[Account Withdrawl Amount] ], )</f>
        <v>0</v>
      </c>
    </row>
    <row r="60" spans="1:22" ht="12.6" thickBot="1">
      <c r="A60" s="23"/>
      <c r="B60" s="24"/>
      <c r="C60" s="23"/>
      <c r="D60" s="25"/>
      <c r="E60" s="79"/>
      <c r="F60" s="79"/>
      <c r="G60" s="82">
        <f t="shared" si="4"/>
        <v>99.489999999999782</v>
      </c>
      <c r="H60" s="23"/>
      <c r="I60" s="38">
        <f>IF(Table32[[#This Row],[CODE]]=1, Table32[ [#This Row],[Account Deposit Amount] ]-Table32[ [#This Row],[Account Withdrawl Amount] ], )</f>
        <v>0</v>
      </c>
      <c r="J60" s="88">
        <f>IF(Table32[[#This Row],[CODE]]=2, Table32[ [#This Row],[Account Deposit Amount] ]-Table32[ [#This Row],[Account Withdrawl Amount] ], )</f>
        <v>0</v>
      </c>
      <c r="K60" s="88">
        <f>IF(Table32[[#This Row],[CODE]]=3, Table32[ [#This Row],[Account Deposit Amount] ]-Table32[ [#This Row],[Account Withdrawl Amount] ], )</f>
        <v>0</v>
      </c>
      <c r="L60" s="89">
        <f>IF(Table32[[#This Row],[CODE]]=4, Table32[ [#This Row],[Account Deposit Amount] ]-Table32[ [#This Row],[Account Withdrawl Amount] ], )</f>
        <v>0</v>
      </c>
      <c r="M60" s="89">
        <f>IF(Table32[[#This Row],[CODE]]=5, Table32[ [#This Row],[Account Deposit Amount] ]-Table32[ [#This Row],[Account Withdrawl Amount] ], )</f>
        <v>0</v>
      </c>
      <c r="N60" s="89">
        <f>IF(Table32[[#This Row],[CODE]]=6, Table32[ [#This Row],[Account Deposit Amount] ]-Table32[ [#This Row],[Account Withdrawl Amount] ], )</f>
        <v>0</v>
      </c>
      <c r="O60" s="89">
        <f>IF(Table32[[#This Row],[CODE]]=11, Table32[ [#This Row],[Account Deposit Amount] ]-Table32[ [#This Row],[Account Withdrawl Amount] ], )</f>
        <v>0</v>
      </c>
      <c r="P60" s="89">
        <f>IF(Table32[[#This Row],[CODE]]=12, Table32[ [#This Row],[Account Deposit Amount] ]-Table32[ [#This Row],[Account Withdrawl Amount] ], )</f>
        <v>0</v>
      </c>
      <c r="Q60" s="89">
        <f>IF(Table32[[#This Row],[CODE]]=13, Table32[ [#This Row],[Account Deposit Amount] ]-Table32[ [#This Row],[Account Withdrawl Amount] ], )</f>
        <v>0</v>
      </c>
      <c r="R60" s="89">
        <f>IF(Table32[[#This Row],[CODE]]=14, Table32[ [#This Row],[Account Deposit Amount] ]-Table32[ [#This Row],[Account Withdrawl Amount] ], )</f>
        <v>0</v>
      </c>
      <c r="S60" s="89">
        <f>IF(Table32[[#This Row],[CODE]]=15, Table32[ [#This Row],[Account Deposit Amount] ]-Table32[ [#This Row],[Account Withdrawl Amount] ], )</f>
        <v>0</v>
      </c>
      <c r="T60" s="89">
        <f>IF(Table32[[#This Row],[CODE]]=16, Table32[ [#This Row],[Account Deposit Amount] ]-Table32[ [#This Row],[Account Withdrawl Amount] ], )</f>
        <v>0</v>
      </c>
      <c r="U60" s="38">
        <f>IF(Table32[[#This Row],[CODE]]=17, Table32[ [#This Row],[Account Deposit Amount] ]-Table32[ [#This Row],[Account Withdrawl Amount] ], )</f>
        <v>0</v>
      </c>
      <c r="V60" s="38">
        <f>IF(Table32[[#This Row],[CODE]]=17, Table32[ [#This Row],[Account Deposit Amount] ]-Table32[ [#This Row],[Account Withdrawl Amount] ], )</f>
        <v>0</v>
      </c>
    </row>
    <row r="61" spans="1:22" ht="12.6" thickBot="1">
      <c r="A61" s="23"/>
      <c r="B61" s="24"/>
      <c r="C61" s="23"/>
      <c r="D61" s="25"/>
      <c r="E61" s="79"/>
      <c r="F61" s="79"/>
      <c r="G61" s="82">
        <f t="shared" si="4"/>
        <v>99.489999999999782</v>
      </c>
      <c r="H61" s="23"/>
      <c r="I61" s="38">
        <f>IF(Table32[[#This Row],[CODE]]=1, Table32[ [#This Row],[Account Deposit Amount] ]-Table32[ [#This Row],[Account Withdrawl Amount] ], )</f>
        <v>0</v>
      </c>
      <c r="J61" s="88">
        <f>IF(Table32[[#This Row],[CODE]]=2, Table32[ [#This Row],[Account Deposit Amount] ]-Table32[ [#This Row],[Account Withdrawl Amount] ], )</f>
        <v>0</v>
      </c>
      <c r="K61" s="88">
        <f>IF(Table32[[#This Row],[CODE]]=3, Table32[ [#This Row],[Account Deposit Amount] ]-Table32[ [#This Row],[Account Withdrawl Amount] ], )</f>
        <v>0</v>
      </c>
      <c r="L61" s="89">
        <f>IF(Table32[[#This Row],[CODE]]=4, Table32[ [#This Row],[Account Deposit Amount] ]-Table32[ [#This Row],[Account Withdrawl Amount] ], )</f>
        <v>0</v>
      </c>
      <c r="M61" s="89">
        <f>IF(Table32[[#This Row],[CODE]]=5, Table32[ [#This Row],[Account Deposit Amount] ]-Table32[ [#This Row],[Account Withdrawl Amount] ], )</f>
        <v>0</v>
      </c>
      <c r="N61" s="89">
        <f>IF(Table32[[#This Row],[CODE]]=6, Table32[ [#This Row],[Account Deposit Amount] ]-Table32[ [#This Row],[Account Withdrawl Amount] ], )</f>
        <v>0</v>
      </c>
      <c r="O61" s="89">
        <f>IF(Table32[[#This Row],[CODE]]=11, Table32[ [#This Row],[Account Deposit Amount] ]-Table32[ [#This Row],[Account Withdrawl Amount] ], )</f>
        <v>0</v>
      </c>
      <c r="P61" s="89">
        <f>IF(Table32[[#This Row],[CODE]]=12, Table32[ [#This Row],[Account Deposit Amount] ]-Table32[ [#This Row],[Account Withdrawl Amount] ], )</f>
        <v>0</v>
      </c>
      <c r="Q61" s="89">
        <f>IF(Table32[[#This Row],[CODE]]=13, Table32[ [#This Row],[Account Deposit Amount] ]-Table32[ [#This Row],[Account Withdrawl Amount] ], )</f>
        <v>0</v>
      </c>
      <c r="R61" s="89">
        <f>IF(Table32[[#This Row],[CODE]]=14, Table32[ [#This Row],[Account Deposit Amount] ]-Table32[ [#This Row],[Account Withdrawl Amount] ], )</f>
        <v>0</v>
      </c>
      <c r="S61" s="89">
        <f>IF(Table32[[#This Row],[CODE]]=15, Table32[ [#This Row],[Account Deposit Amount] ]-Table32[ [#This Row],[Account Withdrawl Amount] ], )</f>
        <v>0</v>
      </c>
      <c r="T61" s="89">
        <f>IF(Table32[[#This Row],[CODE]]=16, Table32[ [#This Row],[Account Deposit Amount] ]-Table32[ [#This Row],[Account Withdrawl Amount] ], )</f>
        <v>0</v>
      </c>
      <c r="U61" s="38">
        <f>IF(Table32[[#This Row],[CODE]]=17, Table32[ [#This Row],[Account Deposit Amount] ]-Table32[ [#This Row],[Account Withdrawl Amount] ], )</f>
        <v>0</v>
      </c>
      <c r="V61" s="38">
        <f>IF(Table32[[#This Row],[CODE]]=17, Table32[ [#This Row],[Account Deposit Amount] ]-Table32[ [#This Row],[Account Withdrawl Amount] ], )</f>
        <v>0</v>
      </c>
    </row>
    <row r="62" spans="1:22" ht="12.6" thickBot="1">
      <c r="A62" s="23"/>
      <c r="B62" s="24"/>
      <c r="C62" s="23"/>
      <c r="D62" s="25"/>
      <c r="E62" s="79"/>
      <c r="F62" s="79"/>
      <c r="G62" s="82">
        <f t="shared" si="4"/>
        <v>99.489999999999782</v>
      </c>
      <c r="H62" s="23"/>
      <c r="I62" s="38">
        <f>IF(Table32[[#This Row],[CODE]]=1, Table32[ [#This Row],[Account Deposit Amount] ]-Table32[ [#This Row],[Account Withdrawl Amount] ], )</f>
        <v>0</v>
      </c>
      <c r="J62" s="88">
        <f>IF(Table32[[#This Row],[CODE]]=2, Table32[ [#This Row],[Account Deposit Amount] ]-Table32[ [#This Row],[Account Withdrawl Amount] ], )</f>
        <v>0</v>
      </c>
      <c r="K62" s="88">
        <f>IF(Table32[[#This Row],[CODE]]=3, Table32[ [#This Row],[Account Deposit Amount] ]-Table32[ [#This Row],[Account Withdrawl Amount] ], )</f>
        <v>0</v>
      </c>
      <c r="L62" s="89">
        <f>IF(Table32[[#This Row],[CODE]]=4, Table32[ [#This Row],[Account Deposit Amount] ]-Table32[ [#This Row],[Account Withdrawl Amount] ], )</f>
        <v>0</v>
      </c>
      <c r="M62" s="89">
        <f>IF(Table32[[#This Row],[CODE]]=5, Table32[ [#This Row],[Account Deposit Amount] ]-Table32[ [#This Row],[Account Withdrawl Amount] ], )</f>
        <v>0</v>
      </c>
      <c r="N62" s="89">
        <f>IF(Table32[[#This Row],[CODE]]=6, Table32[ [#This Row],[Account Deposit Amount] ]-Table32[ [#This Row],[Account Withdrawl Amount] ], )</f>
        <v>0</v>
      </c>
      <c r="O62" s="89">
        <f>IF(Table32[[#This Row],[CODE]]=11, Table32[ [#This Row],[Account Deposit Amount] ]-Table32[ [#This Row],[Account Withdrawl Amount] ], )</f>
        <v>0</v>
      </c>
      <c r="P62" s="89">
        <f>IF(Table32[[#This Row],[CODE]]=12, Table32[ [#This Row],[Account Deposit Amount] ]-Table32[ [#This Row],[Account Withdrawl Amount] ], )</f>
        <v>0</v>
      </c>
      <c r="Q62" s="89">
        <f>IF(Table32[[#This Row],[CODE]]=13, Table32[ [#This Row],[Account Deposit Amount] ]-Table32[ [#This Row],[Account Withdrawl Amount] ], )</f>
        <v>0</v>
      </c>
      <c r="R62" s="89">
        <f>IF(Table32[[#This Row],[CODE]]=14, Table32[ [#This Row],[Account Deposit Amount] ]-Table32[ [#This Row],[Account Withdrawl Amount] ], )</f>
        <v>0</v>
      </c>
      <c r="S62" s="89">
        <f>IF(Table32[[#This Row],[CODE]]=15, Table32[ [#This Row],[Account Deposit Amount] ]-Table32[ [#This Row],[Account Withdrawl Amount] ], )</f>
        <v>0</v>
      </c>
      <c r="T62" s="89">
        <f>IF(Table32[[#This Row],[CODE]]=16, Table32[ [#This Row],[Account Deposit Amount] ]-Table32[ [#This Row],[Account Withdrawl Amount] ], )</f>
        <v>0</v>
      </c>
      <c r="U62" s="38">
        <f>IF(Table32[[#This Row],[CODE]]=17, Table32[ [#This Row],[Account Deposit Amount] ]-Table32[ [#This Row],[Account Withdrawl Amount] ], )</f>
        <v>0</v>
      </c>
      <c r="V62" s="38">
        <f>IF(Table32[[#This Row],[CODE]]=17, Table32[ [#This Row],[Account Deposit Amount] ]-Table32[ [#This Row],[Account Withdrawl Amount] ], )</f>
        <v>0</v>
      </c>
    </row>
    <row r="63" spans="1:22" ht="12.6" thickBot="1">
      <c r="A63" s="23"/>
      <c r="B63" s="24"/>
      <c r="C63" s="23"/>
      <c r="D63" s="25"/>
      <c r="E63" s="79"/>
      <c r="F63" s="79"/>
      <c r="G63" s="82">
        <f t="shared" si="4"/>
        <v>99.489999999999782</v>
      </c>
      <c r="H63" s="23"/>
      <c r="I63" s="38">
        <f>IF(Table32[[#This Row],[CODE]]=1, Table32[ [#This Row],[Account Deposit Amount] ]-Table32[ [#This Row],[Account Withdrawl Amount] ], )</f>
        <v>0</v>
      </c>
      <c r="J63" s="88">
        <f>IF(Table32[[#This Row],[CODE]]=2, Table32[ [#This Row],[Account Deposit Amount] ]-Table32[ [#This Row],[Account Withdrawl Amount] ], )</f>
        <v>0</v>
      </c>
      <c r="K63" s="88">
        <f>IF(Table32[[#This Row],[CODE]]=3, Table32[ [#This Row],[Account Deposit Amount] ]-Table32[ [#This Row],[Account Withdrawl Amount] ], )</f>
        <v>0</v>
      </c>
      <c r="L63" s="89">
        <f>IF(Table32[[#This Row],[CODE]]=4, Table32[ [#This Row],[Account Deposit Amount] ]-Table32[ [#This Row],[Account Withdrawl Amount] ], )</f>
        <v>0</v>
      </c>
      <c r="M63" s="89">
        <f>IF(Table32[[#This Row],[CODE]]=5, Table32[ [#This Row],[Account Deposit Amount] ]-Table32[ [#This Row],[Account Withdrawl Amount] ], )</f>
        <v>0</v>
      </c>
      <c r="N63" s="89">
        <f>IF(Table32[[#This Row],[CODE]]=6, Table32[ [#This Row],[Account Deposit Amount] ]-Table32[ [#This Row],[Account Withdrawl Amount] ], )</f>
        <v>0</v>
      </c>
      <c r="O63" s="89">
        <f>IF(Table32[[#This Row],[CODE]]=11, Table32[ [#This Row],[Account Deposit Amount] ]-Table32[ [#This Row],[Account Withdrawl Amount] ], )</f>
        <v>0</v>
      </c>
      <c r="P63" s="89">
        <f>IF(Table32[[#This Row],[CODE]]=12, Table32[ [#This Row],[Account Deposit Amount] ]-Table32[ [#This Row],[Account Withdrawl Amount] ], )</f>
        <v>0</v>
      </c>
      <c r="Q63" s="89">
        <f>IF(Table32[[#This Row],[CODE]]=13, Table32[ [#This Row],[Account Deposit Amount] ]-Table32[ [#This Row],[Account Withdrawl Amount] ], )</f>
        <v>0</v>
      </c>
      <c r="R63" s="89">
        <f>IF(Table32[[#This Row],[CODE]]=14, Table32[ [#This Row],[Account Deposit Amount] ]-Table32[ [#This Row],[Account Withdrawl Amount] ], )</f>
        <v>0</v>
      </c>
      <c r="S63" s="89">
        <f>IF(Table32[[#This Row],[CODE]]=15, Table32[ [#This Row],[Account Deposit Amount] ]-Table32[ [#This Row],[Account Withdrawl Amount] ], )</f>
        <v>0</v>
      </c>
      <c r="T63" s="89">
        <f>IF(Table32[[#This Row],[CODE]]=16, Table32[ [#This Row],[Account Deposit Amount] ]-Table32[ [#This Row],[Account Withdrawl Amount] ], )</f>
        <v>0</v>
      </c>
      <c r="U63" s="38">
        <f>IF(Table32[[#This Row],[CODE]]=17, Table32[ [#This Row],[Account Deposit Amount] ]-Table32[ [#This Row],[Account Withdrawl Amount] ], )</f>
        <v>0</v>
      </c>
      <c r="V63" s="38">
        <f>IF(Table32[[#This Row],[CODE]]=17, Table32[ [#This Row],[Account Deposit Amount] ]-Table32[ [#This Row],[Account Withdrawl Amount] ], )</f>
        <v>0</v>
      </c>
    </row>
    <row r="64" spans="1:22" ht="12.6" thickBot="1">
      <c r="A64" s="23"/>
      <c r="B64" s="24"/>
      <c r="C64" s="23"/>
      <c r="D64" s="25"/>
      <c r="E64" s="79"/>
      <c r="F64" s="79"/>
      <c r="G64" s="82">
        <f t="shared" si="4"/>
        <v>99.489999999999782</v>
      </c>
      <c r="H64" s="23"/>
      <c r="I64" s="38">
        <f>IF(Table32[[#This Row],[CODE]]=1, Table32[ [#This Row],[Account Deposit Amount] ]-Table32[ [#This Row],[Account Withdrawl Amount] ], )</f>
        <v>0</v>
      </c>
      <c r="J64" s="88">
        <f>IF(Table32[[#This Row],[CODE]]=2, Table32[ [#This Row],[Account Deposit Amount] ]-Table32[ [#This Row],[Account Withdrawl Amount] ], )</f>
        <v>0</v>
      </c>
      <c r="K64" s="88">
        <f>IF(Table32[[#This Row],[CODE]]=3, Table32[ [#This Row],[Account Deposit Amount] ]-Table32[ [#This Row],[Account Withdrawl Amount] ], )</f>
        <v>0</v>
      </c>
      <c r="L64" s="89">
        <f>IF(Table32[[#This Row],[CODE]]=4, Table32[ [#This Row],[Account Deposit Amount] ]-Table32[ [#This Row],[Account Withdrawl Amount] ], )</f>
        <v>0</v>
      </c>
      <c r="M64" s="89">
        <f>IF(Table32[[#This Row],[CODE]]=5, Table32[ [#This Row],[Account Deposit Amount] ]-Table32[ [#This Row],[Account Withdrawl Amount] ], )</f>
        <v>0</v>
      </c>
      <c r="N64" s="89">
        <f>IF(Table32[[#This Row],[CODE]]=6, Table32[ [#This Row],[Account Deposit Amount] ]-Table32[ [#This Row],[Account Withdrawl Amount] ], )</f>
        <v>0</v>
      </c>
      <c r="O64" s="89">
        <f>IF(Table32[[#This Row],[CODE]]=11, Table32[ [#This Row],[Account Deposit Amount] ]-Table32[ [#This Row],[Account Withdrawl Amount] ], )</f>
        <v>0</v>
      </c>
      <c r="P64" s="89">
        <f>IF(Table32[[#This Row],[CODE]]=12, Table32[ [#This Row],[Account Deposit Amount] ]-Table32[ [#This Row],[Account Withdrawl Amount] ], )</f>
        <v>0</v>
      </c>
      <c r="Q64" s="89">
        <f>IF(Table32[[#This Row],[CODE]]=13, Table32[ [#This Row],[Account Deposit Amount] ]-Table32[ [#This Row],[Account Withdrawl Amount] ], )</f>
        <v>0</v>
      </c>
      <c r="R64" s="89">
        <f>IF(Table32[[#This Row],[CODE]]=14, Table32[ [#This Row],[Account Deposit Amount] ]-Table32[ [#This Row],[Account Withdrawl Amount] ], )</f>
        <v>0</v>
      </c>
      <c r="S64" s="89">
        <f>IF(Table32[[#This Row],[CODE]]=15, Table32[ [#This Row],[Account Deposit Amount] ]-Table32[ [#This Row],[Account Withdrawl Amount] ], )</f>
        <v>0</v>
      </c>
      <c r="T64" s="89">
        <f>IF(Table32[[#This Row],[CODE]]=16, Table32[ [#This Row],[Account Deposit Amount] ]-Table32[ [#This Row],[Account Withdrawl Amount] ], )</f>
        <v>0</v>
      </c>
      <c r="U64" s="38">
        <f>IF(Table32[[#This Row],[CODE]]=17, Table32[ [#This Row],[Account Deposit Amount] ]-Table32[ [#This Row],[Account Withdrawl Amount] ], )</f>
        <v>0</v>
      </c>
      <c r="V64" s="38">
        <f>IF(Table32[[#This Row],[CODE]]=17, Table32[ [#This Row],[Account Deposit Amount] ]-Table32[ [#This Row],[Account Withdrawl Amount] ], )</f>
        <v>0</v>
      </c>
    </row>
    <row r="65" spans="1:22" ht="12.6" thickBot="1">
      <c r="A65" s="23"/>
      <c r="B65" s="24"/>
      <c r="C65" s="23"/>
      <c r="D65" s="25"/>
      <c r="E65" s="79"/>
      <c r="F65" s="79"/>
      <c r="G65" s="82">
        <f t="shared" si="4"/>
        <v>99.489999999999782</v>
      </c>
      <c r="H65" s="23"/>
      <c r="I65" s="38">
        <f>IF(Table32[[#This Row],[CODE]]=1, Table32[ [#This Row],[Account Deposit Amount] ]-Table32[ [#This Row],[Account Withdrawl Amount] ], )</f>
        <v>0</v>
      </c>
      <c r="J65" s="88">
        <f>IF(Table32[[#This Row],[CODE]]=2, Table32[ [#This Row],[Account Deposit Amount] ]-Table32[ [#This Row],[Account Withdrawl Amount] ], )</f>
        <v>0</v>
      </c>
      <c r="K65" s="88">
        <f>IF(Table32[[#This Row],[CODE]]=3, Table32[ [#This Row],[Account Deposit Amount] ]-Table32[ [#This Row],[Account Withdrawl Amount] ], )</f>
        <v>0</v>
      </c>
      <c r="L65" s="89">
        <f>IF(Table32[[#This Row],[CODE]]=4, Table32[ [#This Row],[Account Deposit Amount] ]-Table32[ [#This Row],[Account Withdrawl Amount] ], )</f>
        <v>0</v>
      </c>
      <c r="M65" s="89">
        <f>IF(Table32[[#This Row],[CODE]]=5, Table32[ [#This Row],[Account Deposit Amount] ]-Table32[ [#This Row],[Account Withdrawl Amount] ], )</f>
        <v>0</v>
      </c>
      <c r="N65" s="89">
        <f>IF(Table32[[#This Row],[CODE]]=6, Table32[ [#This Row],[Account Deposit Amount] ]-Table32[ [#This Row],[Account Withdrawl Amount] ], )</f>
        <v>0</v>
      </c>
      <c r="O65" s="89">
        <f>IF(Table32[[#This Row],[CODE]]=11, Table32[ [#This Row],[Account Deposit Amount] ]-Table32[ [#This Row],[Account Withdrawl Amount] ], )</f>
        <v>0</v>
      </c>
      <c r="P65" s="89">
        <f>IF(Table32[[#This Row],[CODE]]=12, Table32[ [#This Row],[Account Deposit Amount] ]-Table32[ [#This Row],[Account Withdrawl Amount] ], )</f>
        <v>0</v>
      </c>
      <c r="Q65" s="89">
        <f>IF(Table32[[#This Row],[CODE]]=13, Table32[ [#This Row],[Account Deposit Amount] ]-Table32[ [#This Row],[Account Withdrawl Amount] ], )</f>
        <v>0</v>
      </c>
      <c r="R65" s="89">
        <f>IF(Table32[[#This Row],[CODE]]=14, Table32[ [#This Row],[Account Deposit Amount] ]-Table32[ [#This Row],[Account Withdrawl Amount] ], )</f>
        <v>0</v>
      </c>
      <c r="S65" s="89">
        <f>IF(Table32[[#This Row],[CODE]]=15, Table32[ [#This Row],[Account Deposit Amount] ]-Table32[ [#This Row],[Account Withdrawl Amount] ], )</f>
        <v>0</v>
      </c>
      <c r="T65" s="89">
        <f>IF(Table32[[#This Row],[CODE]]=16, Table32[ [#This Row],[Account Deposit Amount] ]-Table32[ [#This Row],[Account Withdrawl Amount] ], )</f>
        <v>0</v>
      </c>
      <c r="U65" s="38">
        <f>IF(Table32[[#This Row],[CODE]]=17, Table32[ [#This Row],[Account Deposit Amount] ]-Table32[ [#This Row],[Account Withdrawl Amount] ], )</f>
        <v>0</v>
      </c>
      <c r="V65" s="38">
        <f>IF(Table32[[#This Row],[CODE]]=17, Table32[ [#This Row],[Account Deposit Amount] ]-Table32[ [#This Row],[Account Withdrawl Amount] ], )</f>
        <v>0</v>
      </c>
    </row>
    <row r="66" spans="1:22" ht="12.6" thickBot="1">
      <c r="A66" s="23"/>
      <c r="B66" s="24"/>
      <c r="C66" s="23"/>
      <c r="D66" s="25"/>
      <c r="E66" s="79"/>
      <c r="F66" s="79"/>
      <c r="G66" s="82">
        <f t="shared" si="4"/>
        <v>99.489999999999782</v>
      </c>
      <c r="H66" s="23"/>
      <c r="I66" s="38">
        <f>IF(Table32[[#This Row],[CODE]]=1, Table32[ [#This Row],[Account Deposit Amount] ]-Table32[ [#This Row],[Account Withdrawl Amount] ], )</f>
        <v>0</v>
      </c>
      <c r="J66" s="88">
        <f>IF(Table32[[#This Row],[CODE]]=2, Table32[ [#This Row],[Account Deposit Amount] ]-Table32[ [#This Row],[Account Withdrawl Amount] ], )</f>
        <v>0</v>
      </c>
      <c r="K66" s="88">
        <f>IF(Table32[[#This Row],[CODE]]=3, Table32[ [#This Row],[Account Deposit Amount] ]-Table32[ [#This Row],[Account Withdrawl Amount] ], )</f>
        <v>0</v>
      </c>
      <c r="L66" s="89">
        <f>IF(Table32[[#This Row],[CODE]]=4, Table32[ [#This Row],[Account Deposit Amount] ]-Table32[ [#This Row],[Account Withdrawl Amount] ], )</f>
        <v>0</v>
      </c>
      <c r="M66" s="89">
        <f>IF(Table32[[#This Row],[CODE]]=5, Table32[ [#This Row],[Account Deposit Amount] ]-Table32[ [#This Row],[Account Withdrawl Amount] ], )</f>
        <v>0</v>
      </c>
      <c r="N66" s="89">
        <f>IF(Table32[[#This Row],[CODE]]=6, Table32[ [#This Row],[Account Deposit Amount] ]-Table32[ [#This Row],[Account Withdrawl Amount] ], )</f>
        <v>0</v>
      </c>
      <c r="O66" s="89">
        <f>IF(Table32[[#This Row],[CODE]]=11, Table32[ [#This Row],[Account Deposit Amount] ]-Table32[ [#This Row],[Account Withdrawl Amount] ], )</f>
        <v>0</v>
      </c>
      <c r="P66" s="89">
        <f>IF(Table32[[#This Row],[CODE]]=12, Table32[ [#This Row],[Account Deposit Amount] ]-Table32[ [#This Row],[Account Withdrawl Amount] ], )</f>
        <v>0</v>
      </c>
      <c r="Q66" s="89">
        <f>IF(Table32[[#This Row],[CODE]]=13, Table32[ [#This Row],[Account Deposit Amount] ]-Table32[ [#This Row],[Account Withdrawl Amount] ], )</f>
        <v>0</v>
      </c>
      <c r="R66" s="89">
        <f>IF(Table32[[#This Row],[CODE]]=14, Table32[ [#This Row],[Account Deposit Amount] ]-Table32[ [#This Row],[Account Withdrawl Amount] ], )</f>
        <v>0</v>
      </c>
      <c r="S66" s="89">
        <f>IF(Table32[[#This Row],[CODE]]=15, Table32[ [#This Row],[Account Deposit Amount] ]-Table32[ [#This Row],[Account Withdrawl Amount] ], )</f>
        <v>0</v>
      </c>
      <c r="T66" s="89">
        <f>IF(Table32[[#This Row],[CODE]]=16, Table32[ [#This Row],[Account Deposit Amount] ]-Table32[ [#This Row],[Account Withdrawl Amount] ], )</f>
        <v>0</v>
      </c>
      <c r="U66" s="38">
        <f>IF(Table32[[#This Row],[CODE]]=17, Table32[ [#This Row],[Account Deposit Amount] ]-Table32[ [#This Row],[Account Withdrawl Amount] ], )</f>
        <v>0</v>
      </c>
      <c r="V66" s="38">
        <f>IF(Table32[[#This Row],[CODE]]=17, Table32[ [#This Row],[Account Deposit Amount] ]-Table32[ [#This Row],[Account Withdrawl Amount] ], )</f>
        <v>0</v>
      </c>
    </row>
    <row r="67" spans="1:22" ht="12.6" thickBot="1">
      <c r="A67" s="23"/>
      <c r="B67" s="24"/>
      <c r="C67" s="23"/>
      <c r="D67" s="25"/>
      <c r="E67" s="79"/>
      <c r="F67" s="79"/>
      <c r="G67" s="82">
        <f t="shared" si="4"/>
        <v>99.489999999999782</v>
      </c>
      <c r="H67" s="23"/>
      <c r="I67" s="38">
        <f>IF(Table32[[#This Row],[CODE]]=1, Table32[ [#This Row],[Account Deposit Amount] ]-Table32[ [#This Row],[Account Withdrawl Amount] ], )</f>
        <v>0</v>
      </c>
      <c r="J67" s="88">
        <f>IF(Table32[[#This Row],[CODE]]=2, Table32[ [#This Row],[Account Deposit Amount] ]-Table32[ [#This Row],[Account Withdrawl Amount] ], )</f>
        <v>0</v>
      </c>
      <c r="K67" s="88">
        <f>IF(Table32[[#This Row],[CODE]]=3, Table32[ [#This Row],[Account Deposit Amount] ]-Table32[ [#This Row],[Account Withdrawl Amount] ], )</f>
        <v>0</v>
      </c>
      <c r="L67" s="89">
        <f>IF(Table32[[#This Row],[CODE]]=4, Table32[ [#This Row],[Account Deposit Amount] ]-Table32[ [#This Row],[Account Withdrawl Amount] ], )</f>
        <v>0</v>
      </c>
      <c r="M67" s="89">
        <f>IF(Table32[[#This Row],[CODE]]=5, Table32[ [#This Row],[Account Deposit Amount] ]-Table32[ [#This Row],[Account Withdrawl Amount] ], )</f>
        <v>0</v>
      </c>
      <c r="N67" s="89">
        <f>IF(Table32[[#This Row],[CODE]]=6, Table32[ [#This Row],[Account Deposit Amount] ]-Table32[ [#This Row],[Account Withdrawl Amount] ], )</f>
        <v>0</v>
      </c>
      <c r="O67" s="89">
        <f>IF(Table32[[#This Row],[CODE]]=11, Table32[ [#This Row],[Account Deposit Amount] ]-Table32[ [#This Row],[Account Withdrawl Amount] ], )</f>
        <v>0</v>
      </c>
      <c r="P67" s="89">
        <f>IF(Table32[[#This Row],[CODE]]=12, Table32[ [#This Row],[Account Deposit Amount] ]-Table32[ [#This Row],[Account Withdrawl Amount] ], )</f>
        <v>0</v>
      </c>
      <c r="Q67" s="89">
        <f>IF(Table32[[#This Row],[CODE]]=13, Table32[ [#This Row],[Account Deposit Amount] ]-Table32[ [#This Row],[Account Withdrawl Amount] ], )</f>
        <v>0</v>
      </c>
      <c r="R67" s="89">
        <f>IF(Table32[[#This Row],[CODE]]=14, Table32[ [#This Row],[Account Deposit Amount] ]-Table32[ [#This Row],[Account Withdrawl Amount] ], )</f>
        <v>0</v>
      </c>
      <c r="S67" s="89">
        <f>IF(Table32[[#This Row],[CODE]]=15, Table32[ [#This Row],[Account Deposit Amount] ]-Table32[ [#This Row],[Account Withdrawl Amount] ], )</f>
        <v>0</v>
      </c>
      <c r="T67" s="89">
        <f>IF(Table32[[#This Row],[CODE]]=16, Table32[ [#This Row],[Account Deposit Amount] ]-Table32[ [#This Row],[Account Withdrawl Amount] ], )</f>
        <v>0</v>
      </c>
      <c r="U67" s="38">
        <f>IF(Table32[[#This Row],[CODE]]=17, Table32[ [#This Row],[Account Deposit Amount] ]-Table32[ [#This Row],[Account Withdrawl Amount] ], )</f>
        <v>0</v>
      </c>
      <c r="V67" s="38">
        <f>IF(Table32[[#This Row],[CODE]]=17, Table32[ [#This Row],[Account Deposit Amount] ]-Table32[ [#This Row],[Account Withdrawl Amount] ], )</f>
        <v>0</v>
      </c>
    </row>
    <row r="68" spans="1:22" ht="12.6" thickBot="1">
      <c r="A68" s="23"/>
      <c r="B68" s="24"/>
      <c r="C68" s="23"/>
      <c r="D68" s="25"/>
      <c r="E68" s="79"/>
      <c r="F68" s="79"/>
      <c r="G68" s="82">
        <f t="shared" si="4"/>
        <v>99.489999999999782</v>
      </c>
      <c r="H68" s="23"/>
      <c r="I68" s="38">
        <f>IF(Table32[[#This Row],[CODE]]=1, Table32[ [#This Row],[Account Deposit Amount] ]-Table32[ [#This Row],[Account Withdrawl Amount] ], )</f>
        <v>0</v>
      </c>
      <c r="J68" s="88">
        <f>IF(Table32[[#This Row],[CODE]]=2, Table32[ [#This Row],[Account Deposit Amount] ]-Table32[ [#This Row],[Account Withdrawl Amount] ], )</f>
        <v>0</v>
      </c>
      <c r="K68" s="88">
        <f>IF(Table32[[#This Row],[CODE]]=3, Table32[ [#This Row],[Account Deposit Amount] ]-Table32[ [#This Row],[Account Withdrawl Amount] ], )</f>
        <v>0</v>
      </c>
      <c r="L68" s="89">
        <f>IF(Table32[[#This Row],[CODE]]=4, Table32[ [#This Row],[Account Deposit Amount] ]-Table32[ [#This Row],[Account Withdrawl Amount] ], )</f>
        <v>0</v>
      </c>
      <c r="M68" s="89">
        <f>IF(Table32[[#This Row],[CODE]]=5, Table32[ [#This Row],[Account Deposit Amount] ]-Table32[ [#This Row],[Account Withdrawl Amount] ], )</f>
        <v>0</v>
      </c>
      <c r="N68" s="89">
        <f>IF(Table32[[#This Row],[CODE]]=6, Table32[ [#This Row],[Account Deposit Amount] ]-Table32[ [#This Row],[Account Withdrawl Amount] ], )</f>
        <v>0</v>
      </c>
      <c r="O68" s="89">
        <f>IF(Table32[[#This Row],[CODE]]=11, Table32[ [#This Row],[Account Deposit Amount] ]-Table32[ [#This Row],[Account Withdrawl Amount] ], )</f>
        <v>0</v>
      </c>
      <c r="P68" s="89">
        <f>IF(Table32[[#This Row],[CODE]]=12, Table32[ [#This Row],[Account Deposit Amount] ]-Table32[ [#This Row],[Account Withdrawl Amount] ], )</f>
        <v>0</v>
      </c>
      <c r="Q68" s="89">
        <f>IF(Table32[[#This Row],[CODE]]=13, Table32[ [#This Row],[Account Deposit Amount] ]-Table32[ [#This Row],[Account Withdrawl Amount] ], )</f>
        <v>0</v>
      </c>
      <c r="R68" s="89">
        <f>IF(Table32[[#This Row],[CODE]]=14, Table32[ [#This Row],[Account Deposit Amount] ]-Table32[ [#This Row],[Account Withdrawl Amount] ], )</f>
        <v>0</v>
      </c>
      <c r="S68" s="89">
        <f>IF(Table32[[#This Row],[CODE]]=15, Table32[ [#This Row],[Account Deposit Amount] ]-Table32[ [#This Row],[Account Withdrawl Amount] ], )</f>
        <v>0</v>
      </c>
      <c r="T68" s="89">
        <f>IF(Table32[[#This Row],[CODE]]=16, Table32[ [#This Row],[Account Deposit Amount] ]-Table32[ [#This Row],[Account Withdrawl Amount] ], )</f>
        <v>0</v>
      </c>
      <c r="U68" s="38">
        <f>IF(Table32[[#This Row],[CODE]]=17, Table32[ [#This Row],[Account Deposit Amount] ]-Table32[ [#This Row],[Account Withdrawl Amount] ], )</f>
        <v>0</v>
      </c>
      <c r="V68" s="38">
        <f>IF(Table32[[#This Row],[CODE]]=17, Table32[ [#This Row],[Account Deposit Amount] ]-Table32[ [#This Row],[Account Withdrawl Amount] ], )</f>
        <v>0</v>
      </c>
    </row>
    <row r="69" spans="1:22" ht="12.6" thickBot="1">
      <c r="A69" s="23"/>
      <c r="B69" s="24"/>
      <c r="C69" s="23"/>
      <c r="D69" s="25"/>
      <c r="E69" s="79"/>
      <c r="F69" s="79"/>
      <c r="G69" s="82">
        <f t="shared" si="4"/>
        <v>99.489999999999782</v>
      </c>
      <c r="H69" s="23"/>
      <c r="I69" s="38">
        <f>IF(Table32[[#This Row],[CODE]]=1, Table32[ [#This Row],[Account Deposit Amount] ]-Table32[ [#This Row],[Account Withdrawl Amount] ], )</f>
        <v>0</v>
      </c>
      <c r="J69" s="88">
        <f>IF(Table32[[#This Row],[CODE]]=2, Table32[ [#This Row],[Account Deposit Amount] ]-Table32[ [#This Row],[Account Withdrawl Amount] ], )</f>
        <v>0</v>
      </c>
      <c r="K69" s="88">
        <f>IF(Table32[[#This Row],[CODE]]=3, Table32[ [#This Row],[Account Deposit Amount] ]-Table32[ [#This Row],[Account Withdrawl Amount] ], )</f>
        <v>0</v>
      </c>
      <c r="L69" s="89">
        <f>IF(Table32[[#This Row],[CODE]]=4, Table32[ [#This Row],[Account Deposit Amount] ]-Table32[ [#This Row],[Account Withdrawl Amount] ], )</f>
        <v>0</v>
      </c>
      <c r="M69" s="89">
        <f>IF(Table32[[#This Row],[CODE]]=5, Table32[ [#This Row],[Account Deposit Amount] ]-Table32[ [#This Row],[Account Withdrawl Amount] ], )</f>
        <v>0</v>
      </c>
      <c r="N69" s="89">
        <f>IF(Table32[[#This Row],[CODE]]=6, Table32[ [#This Row],[Account Deposit Amount] ]-Table32[ [#This Row],[Account Withdrawl Amount] ], )</f>
        <v>0</v>
      </c>
      <c r="O69" s="89">
        <f>IF(Table32[[#This Row],[CODE]]=11, Table32[ [#This Row],[Account Deposit Amount] ]-Table32[ [#This Row],[Account Withdrawl Amount] ], )</f>
        <v>0</v>
      </c>
      <c r="P69" s="89">
        <f>IF(Table32[[#This Row],[CODE]]=12, Table32[ [#This Row],[Account Deposit Amount] ]-Table32[ [#This Row],[Account Withdrawl Amount] ], )</f>
        <v>0</v>
      </c>
      <c r="Q69" s="89">
        <f>IF(Table32[[#This Row],[CODE]]=13, Table32[ [#This Row],[Account Deposit Amount] ]-Table32[ [#This Row],[Account Withdrawl Amount] ], )</f>
        <v>0</v>
      </c>
      <c r="R69" s="89">
        <f>IF(Table32[[#This Row],[CODE]]=14, Table32[ [#This Row],[Account Deposit Amount] ]-Table32[ [#This Row],[Account Withdrawl Amount] ], )</f>
        <v>0</v>
      </c>
      <c r="S69" s="89">
        <f>IF(Table32[[#This Row],[CODE]]=15, Table32[ [#This Row],[Account Deposit Amount] ]-Table32[ [#This Row],[Account Withdrawl Amount] ], )</f>
        <v>0</v>
      </c>
      <c r="T69" s="89">
        <f>IF(Table32[[#This Row],[CODE]]=16, Table32[ [#This Row],[Account Deposit Amount] ]-Table32[ [#This Row],[Account Withdrawl Amount] ], )</f>
        <v>0</v>
      </c>
      <c r="U69" s="38">
        <f>IF(Table32[[#This Row],[CODE]]=17, Table32[ [#This Row],[Account Deposit Amount] ]-Table32[ [#This Row],[Account Withdrawl Amount] ], )</f>
        <v>0</v>
      </c>
      <c r="V69" s="38">
        <f>IF(Table32[[#This Row],[CODE]]=17, Table32[ [#This Row],[Account Deposit Amount] ]-Table32[ [#This Row],[Account Withdrawl Amount] ], )</f>
        <v>0</v>
      </c>
    </row>
    <row r="70" spans="1:22" ht="12.6" thickBot="1">
      <c r="A70" s="23"/>
      <c r="B70" s="24"/>
      <c r="C70" s="23"/>
      <c r="D70" s="25"/>
      <c r="E70" s="79"/>
      <c r="F70" s="79"/>
      <c r="G70" s="82">
        <f t="shared" si="4"/>
        <v>99.489999999999782</v>
      </c>
      <c r="H70" s="23"/>
      <c r="I70" s="38">
        <f>IF(Table32[[#This Row],[CODE]]=1, Table32[ [#This Row],[Account Deposit Amount] ]-Table32[ [#This Row],[Account Withdrawl Amount] ], )</f>
        <v>0</v>
      </c>
      <c r="J70" s="88">
        <f>IF(Table32[[#This Row],[CODE]]=2, Table32[ [#This Row],[Account Deposit Amount] ]-Table32[ [#This Row],[Account Withdrawl Amount] ], )</f>
        <v>0</v>
      </c>
      <c r="K70" s="88">
        <f>IF(Table32[[#This Row],[CODE]]=3, Table32[ [#This Row],[Account Deposit Amount] ]-Table32[ [#This Row],[Account Withdrawl Amount] ], )</f>
        <v>0</v>
      </c>
      <c r="L70" s="89">
        <f>IF(Table32[[#This Row],[CODE]]=4, Table32[ [#This Row],[Account Deposit Amount] ]-Table32[ [#This Row],[Account Withdrawl Amount] ], )</f>
        <v>0</v>
      </c>
      <c r="M70" s="89">
        <f>IF(Table32[[#This Row],[CODE]]=5, Table32[ [#This Row],[Account Deposit Amount] ]-Table32[ [#This Row],[Account Withdrawl Amount] ], )</f>
        <v>0</v>
      </c>
      <c r="N70" s="89">
        <f>IF(Table32[[#This Row],[CODE]]=6, Table32[ [#This Row],[Account Deposit Amount] ]-Table32[ [#This Row],[Account Withdrawl Amount] ], )</f>
        <v>0</v>
      </c>
      <c r="O70" s="89">
        <f>IF(Table32[[#This Row],[CODE]]=11, Table32[ [#This Row],[Account Deposit Amount] ]-Table32[ [#This Row],[Account Withdrawl Amount] ], )</f>
        <v>0</v>
      </c>
      <c r="P70" s="89">
        <f>IF(Table32[[#This Row],[CODE]]=12, Table32[ [#This Row],[Account Deposit Amount] ]-Table32[ [#This Row],[Account Withdrawl Amount] ], )</f>
        <v>0</v>
      </c>
      <c r="Q70" s="89">
        <f>IF(Table32[[#This Row],[CODE]]=13, Table32[ [#This Row],[Account Deposit Amount] ]-Table32[ [#This Row],[Account Withdrawl Amount] ], )</f>
        <v>0</v>
      </c>
      <c r="R70" s="89">
        <f>IF(Table32[[#This Row],[CODE]]=14, Table32[ [#This Row],[Account Deposit Amount] ]-Table32[ [#This Row],[Account Withdrawl Amount] ], )</f>
        <v>0</v>
      </c>
      <c r="S70" s="89">
        <f>IF(Table32[[#This Row],[CODE]]=15, Table32[ [#This Row],[Account Deposit Amount] ]-Table32[ [#This Row],[Account Withdrawl Amount] ], )</f>
        <v>0</v>
      </c>
      <c r="T70" s="89">
        <f>IF(Table32[[#This Row],[CODE]]=16, Table32[ [#This Row],[Account Deposit Amount] ]-Table32[ [#This Row],[Account Withdrawl Amount] ], )</f>
        <v>0</v>
      </c>
      <c r="U70" s="38">
        <f>IF(Table32[[#This Row],[CODE]]=17, Table32[ [#This Row],[Account Deposit Amount] ]-Table32[ [#This Row],[Account Withdrawl Amount] ], )</f>
        <v>0</v>
      </c>
      <c r="V70" s="38">
        <f>IF(Table32[[#This Row],[CODE]]=17, Table32[ [#This Row],[Account Deposit Amount] ]-Table32[ [#This Row],[Account Withdrawl Amount] ], )</f>
        <v>0</v>
      </c>
    </row>
    <row r="71" spans="1:22" ht="12.6" thickBot="1">
      <c r="A71" s="23"/>
      <c r="B71" s="24"/>
      <c r="C71" s="23"/>
      <c r="D71" s="25"/>
      <c r="E71" s="79"/>
      <c r="F71" s="79"/>
      <c r="G71" s="82">
        <f t="shared" si="4"/>
        <v>99.489999999999782</v>
      </c>
      <c r="H71" s="23"/>
      <c r="I71" s="38">
        <f>IF(Table32[[#This Row],[CODE]]=1, Table32[ [#This Row],[Account Deposit Amount] ]-Table32[ [#This Row],[Account Withdrawl Amount] ], )</f>
        <v>0</v>
      </c>
      <c r="J71" s="88">
        <f>IF(Table32[[#This Row],[CODE]]=2, Table32[ [#This Row],[Account Deposit Amount] ]-Table32[ [#This Row],[Account Withdrawl Amount] ], )</f>
        <v>0</v>
      </c>
      <c r="K71" s="88">
        <f>IF(Table32[[#This Row],[CODE]]=3, Table32[ [#This Row],[Account Deposit Amount] ]-Table32[ [#This Row],[Account Withdrawl Amount] ], )</f>
        <v>0</v>
      </c>
      <c r="L71" s="89">
        <f>IF(Table32[[#This Row],[CODE]]=4, Table32[ [#This Row],[Account Deposit Amount] ]-Table32[ [#This Row],[Account Withdrawl Amount] ], )</f>
        <v>0</v>
      </c>
      <c r="M71" s="89">
        <f>IF(Table32[[#This Row],[CODE]]=5, Table32[ [#This Row],[Account Deposit Amount] ]-Table32[ [#This Row],[Account Withdrawl Amount] ], )</f>
        <v>0</v>
      </c>
      <c r="N71" s="89">
        <f>IF(Table32[[#This Row],[CODE]]=6, Table32[ [#This Row],[Account Deposit Amount] ]-Table32[ [#This Row],[Account Withdrawl Amount] ], )</f>
        <v>0</v>
      </c>
      <c r="O71" s="89">
        <f>IF(Table32[[#This Row],[CODE]]=11, Table32[ [#This Row],[Account Deposit Amount] ]-Table32[ [#This Row],[Account Withdrawl Amount] ], )</f>
        <v>0</v>
      </c>
      <c r="P71" s="89">
        <f>IF(Table32[[#This Row],[CODE]]=12, Table32[ [#This Row],[Account Deposit Amount] ]-Table32[ [#This Row],[Account Withdrawl Amount] ], )</f>
        <v>0</v>
      </c>
      <c r="Q71" s="89">
        <f>IF(Table32[[#This Row],[CODE]]=13, Table32[ [#This Row],[Account Deposit Amount] ]-Table32[ [#This Row],[Account Withdrawl Amount] ], )</f>
        <v>0</v>
      </c>
      <c r="R71" s="89">
        <f>IF(Table32[[#This Row],[CODE]]=14, Table32[ [#This Row],[Account Deposit Amount] ]-Table32[ [#This Row],[Account Withdrawl Amount] ], )</f>
        <v>0</v>
      </c>
      <c r="S71" s="89">
        <f>IF(Table32[[#This Row],[CODE]]=15, Table32[ [#This Row],[Account Deposit Amount] ]-Table32[ [#This Row],[Account Withdrawl Amount] ], )</f>
        <v>0</v>
      </c>
      <c r="T71" s="89">
        <f>IF(Table32[[#This Row],[CODE]]=16, Table32[ [#This Row],[Account Deposit Amount] ]-Table32[ [#This Row],[Account Withdrawl Amount] ], )</f>
        <v>0</v>
      </c>
      <c r="U71" s="38">
        <f>IF(Table32[[#This Row],[CODE]]=17, Table32[ [#This Row],[Account Deposit Amount] ]-Table32[ [#This Row],[Account Withdrawl Amount] ], )</f>
        <v>0</v>
      </c>
      <c r="V71" s="38">
        <f>IF(Table32[[#This Row],[CODE]]=17, Table32[ [#This Row],[Account Deposit Amount] ]-Table32[ [#This Row],[Account Withdrawl Amount] ], )</f>
        <v>0</v>
      </c>
    </row>
    <row r="72" spans="1:22" ht="12.6" thickBot="1">
      <c r="A72" s="23"/>
      <c r="B72" s="24"/>
      <c r="C72" s="23"/>
      <c r="D72" s="25"/>
      <c r="E72" s="79"/>
      <c r="F72" s="79"/>
      <c r="G72" s="82">
        <f t="shared" si="4"/>
        <v>99.489999999999782</v>
      </c>
      <c r="H72" s="23"/>
      <c r="I72" s="38">
        <f>IF(Table32[[#This Row],[CODE]]=1, Table32[ [#This Row],[Account Deposit Amount] ]-Table32[ [#This Row],[Account Withdrawl Amount] ], )</f>
        <v>0</v>
      </c>
      <c r="J72" s="88">
        <f>IF(Table32[[#This Row],[CODE]]=2, Table32[ [#This Row],[Account Deposit Amount] ]-Table32[ [#This Row],[Account Withdrawl Amount] ], )</f>
        <v>0</v>
      </c>
      <c r="K72" s="88">
        <f>IF(Table32[[#This Row],[CODE]]=3, Table32[ [#This Row],[Account Deposit Amount] ]-Table32[ [#This Row],[Account Withdrawl Amount] ], )</f>
        <v>0</v>
      </c>
      <c r="L72" s="89">
        <f>IF(Table32[[#This Row],[CODE]]=4, Table32[ [#This Row],[Account Deposit Amount] ]-Table32[ [#This Row],[Account Withdrawl Amount] ], )</f>
        <v>0</v>
      </c>
      <c r="M72" s="89">
        <f>IF(Table32[[#This Row],[CODE]]=5, Table32[ [#This Row],[Account Deposit Amount] ]-Table32[ [#This Row],[Account Withdrawl Amount] ], )</f>
        <v>0</v>
      </c>
      <c r="N72" s="89">
        <f>IF(Table32[[#This Row],[CODE]]=6, Table32[ [#This Row],[Account Deposit Amount] ]-Table32[ [#This Row],[Account Withdrawl Amount] ], )</f>
        <v>0</v>
      </c>
      <c r="O72" s="89">
        <f>IF(Table32[[#This Row],[CODE]]=11, Table32[ [#This Row],[Account Deposit Amount] ]-Table32[ [#This Row],[Account Withdrawl Amount] ], )</f>
        <v>0</v>
      </c>
      <c r="P72" s="89">
        <f>IF(Table32[[#This Row],[CODE]]=12, Table32[ [#This Row],[Account Deposit Amount] ]-Table32[ [#This Row],[Account Withdrawl Amount] ], )</f>
        <v>0</v>
      </c>
      <c r="Q72" s="89">
        <f>IF(Table32[[#This Row],[CODE]]=13, Table32[ [#This Row],[Account Deposit Amount] ]-Table32[ [#This Row],[Account Withdrawl Amount] ], )</f>
        <v>0</v>
      </c>
      <c r="R72" s="89">
        <f>IF(Table32[[#This Row],[CODE]]=14, Table32[ [#This Row],[Account Deposit Amount] ]-Table32[ [#This Row],[Account Withdrawl Amount] ], )</f>
        <v>0</v>
      </c>
      <c r="S72" s="89">
        <f>IF(Table32[[#This Row],[CODE]]=15, Table32[ [#This Row],[Account Deposit Amount] ]-Table32[ [#This Row],[Account Withdrawl Amount] ], )</f>
        <v>0</v>
      </c>
      <c r="T72" s="89">
        <f>IF(Table32[[#This Row],[CODE]]=16, Table32[ [#This Row],[Account Deposit Amount] ]-Table32[ [#This Row],[Account Withdrawl Amount] ], )</f>
        <v>0</v>
      </c>
      <c r="U72" s="38">
        <f>IF(Table32[[#This Row],[CODE]]=17, Table32[ [#This Row],[Account Deposit Amount] ]-Table32[ [#This Row],[Account Withdrawl Amount] ], )</f>
        <v>0</v>
      </c>
      <c r="V72" s="38">
        <f>IF(Table32[[#This Row],[CODE]]=17, Table32[ [#This Row],[Account Deposit Amount] ]-Table32[ [#This Row],[Account Withdrawl Amount] ], )</f>
        <v>0</v>
      </c>
    </row>
    <row r="73" spans="1:22" ht="12.6" thickBot="1">
      <c r="A73" s="23"/>
      <c r="B73" s="24"/>
      <c r="C73" s="23"/>
      <c r="D73" s="25"/>
      <c r="E73" s="79"/>
      <c r="F73" s="79"/>
      <c r="G73" s="82">
        <f t="shared" si="4"/>
        <v>99.489999999999782</v>
      </c>
      <c r="H73" s="23"/>
      <c r="I73" s="38">
        <f>IF(Table32[[#This Row],[CODE]]=1, Table32[ [#This Row],[Account Deposit Amount] ]-Table32[ [#This Row],[Account Withdrawl Amount] ], )</f>
        <v>0</v>
      </c>
      <c r="J73" s="88">
        <f>IF(Table32[[#This Row],[CODE]]=2, Table32[ [#This Row],[Account Deposit Amount] ]-Table32[ [#This Row],[Account Withdrawl Amount] ], )</f>
        <v>0</v>
      </c>
      <c r="K73" s="88">
        <f>IF(Table32[[#This Row],[CODE]]=3, Table32[ [#This Row],[Account Deposit Amount] ]-Table32[ [#This Row],[Account Withdrawl Amount] ], )</f>
        <v>0</v>
      </c>
      <c r="L73" s="89">
        <f>IF(Table32[[#This Row],[CODE]]=4, Table32[ [#This Row],[Account Deposit Amount] ]-Table32[ [#This Row],[Account Withdrawl Amount] ], )</f>
        <v>0</v>
      </c>
      <c r="M73" s="89">
        <f>IF(Table32[[#This Row],[CODE]]=5, Table32[ [#This Row],[Account Deposit Amount] ]-Table32[ [#This Row],[Account Withdrawl Amount] ], )</f>
        <v>0</v>
      </c>
      <c r="N73" s="89">
        <f>IF(Table32[[#This Row],[CODE]]=6, Table32[ [#This Row],[Account Deposit Amount] ]-Table32[ [#This Row],[Account Withdrawl Amount] ], )</f>
        <v>0</v>
      </c>
      <c r="O73" s="89">
        <f>IF(Table32[[#This Row],[CODE]]=11, Table32[ [#This Row],[Account Deposit Amount] ]-Table32[ [#This Row],[Account Withdrawl Amount] ], )</f>
        <v>0</v>
      </c>
      <c r="P73" s="89">
        <f>IF(Table32[[#This Row],[CODE]]=12, Table32[ [#This Row],[Account Deposit Amount] ]-Table32[ [#This Row],[Account Withdrawl Amount] ], )</f>
        <v>0</v>
      </c>
      <c r="Q73" s="89">
        <f>IF(Table32[[#This Row],[CODE]]=13, Table32[ [#This Row],[Account Deposit Amount] ]-Table32[ [#This Row],[Account Withdrawl Amount] ], )</f>
        <v>0</v>
      </c>
      <c r="R73" s="89">
        <f>IF(Table32[[#This Row],[CODE]]=14, Table32[ [#This Row],[Account Deposit Amount] ]-Table32[ [#This Row],[Account Withdrawl Amount] ], )</f>
        <v>0</v>
      </c>
      <c r="S73" s="89">
        <f>IF(Table32[[#This Row],[CODE]]=15, Table32[ [#This Row],[Account Deposit Amount] ]-Table32[ [#This Row],[Account Withdrawl Amount] ], )</f>
        <v>0</v>
      </c>
      <c r="T73" s="89">
        <f>IF(Table32[[#This Row],[CODE]]=16, Table32[ [#This Row],[Account Deposit Amount] ]-Table32[ [#This Row],[Account Withdrawl Amount] ], )</f>
        <v>0</v>
      </c>
      <c r="U73" s="38">
        <f>IF(Table32[[#This Row],[CODE]]=17, Table32[ [#This Row],[Account Deposit Amount] ]-Table32[ [#This Row],[Account Withdrawl Amount] ], )</f>
        <v>0</v>
      </c>
      <c r="V73" s="38">
        <f>IF(Table32[[#This Row],[CODE]]=17, Table32[ [#This Row],[Account Deposit Amount] ]-Table32[ [#This Row],[Account Withdrawl Amount] ], )</f>
        <v>0</v>
      </c>
    </row>
    <row r="74" spans="1:22" ht="12.6" thickBot="1">
      <c r="A74" s="23"/>
      <c r="B74" s="24"/>
      <c r="C74" s="23"/>
      <c r="D74" s="25"/>
      <c r="E74" s="79"/>
      <c r="F74" s="79"/>
      <c r="G74" s="82">
        <f t="shared" si="4"/>
        <v>99.489999999999782</v>
      </c>
      <c r="H74" s="23"/>
      <c r="I74" s="38">
        <f>IF(Table32[[#This Row],[CODE]]=1, Table32[ [#This Row],[Account Deposit Amount] ]-Table32[ [#This Row],[Account Withdrawl Amount] ], )</f>
        <v>0</v>
      </c>
      <c r="J74" s="88">
        <f>IF(Table32[[#This Row],[CODE]]=2, Table32[ [#This Row],[Account Deposit Amount] ]-Table32[ [#This Row],[Account Withdrawl Amount] ], )</f>
        <v>0</v>
      </c>
      <c r="K74" s="88">
        <f>IF(Table32[[#This Row],[CODE]]=3, Table32[ [#This Row],[Account Deposit Amount] ]-Table32[ [#This Row],[Account Withdrawl Amount] ], )</f>
        <v>0</v>
      </c>
      <c r="L74" s="89">
        <f>IF(Table32[[#This Row],[CODE]]=4, Table32[ [#This Row],[Account Deposit Amount] ]-Table32[ [#This Row],[Account Withdrawl Amount] ], )</f>
        <v>0</v>
      </c>
      <c r="M74" s="89">
        <f>IF(Table32[[#This Row],[CODE]]=5, Table32[ [#This Row],[Account Deposit Amount] ]-Table32[ [#This Row],[Account Withdrawl Amount] ], )</f>
        <v>0</v>
      </c>
      <c r="N74" s="89">
        <f>IF(Table32[[#This Row],[CODE]]=6, Table32[ [#This Row],[Account Deposit Amount] ]-Table32[ [#This Row],[Account Withdrawl Amount] ], )</f>
        <v>0</v>
      </c>
      <c r="O74" s="89">
        <f>IF(Table32[[#This Row],[CODE]]=11, Table32[ [#This Row],[Account Deposit Amount] ]-Table32[ [#This Row],[Account Withdrawl Amount] ], )</f>
        <v>0</v>
      </c>
      <c r="P74" s="89">
        <f>IF(Table32[[#This Row],[CODE]]=12, Table32[ [#This Row],[Account Deposit Amount] ]-Table32[ [#This Row],[Account Withdrawl Amount] ], )</f>
        <v>0</v>
      </c>
      <c r="Q74" s="89">
        <f>IF(Table32[[#This Row],[CODE]]=13, Table32[ [#This Row],[Account Deposit Amount] ]-Table32[ [#This Row],[Account Withdrawl Amount] ], )</f>
        <v>0</v>
      </c>
      <c r="R74" s="89">
        <f>IF(Table32[[#This Row],[CODE]]=14, Table32[ [#This Row],[Account Deposit Amount] ]-Table32[ [#This Row],[Account Withdrawl Amount] ], )</f>
        <v>0</v>
      </c>
      <c r="S74" s="89">
        <f>IF(Table32[[#This Row],[CODE]]=15, Table32[ [#This Row],[Account Deposit Amount] ]-Table32[ [#This Row],[Account Withdrawl Amount] ], )</f>
        <v>0</v>
      </c>
      <c r="T74" s="89">
        <f>IF(Table32[[#This Row],[CODE]]=16, Table32[ [#This Row],[Account Deposit Amount] ]-Table32[ [#This Row],[Account Withdrawl Amount] ], )</f>
        <v>0</v>
      </c>
      <c r="U74" s="38">
        <f>IF(Table32[[#This Row],[CODE]]=17, Table32[ [#This Row],[Account Deposit Amount] ]-Table32[ [#This Row],[Account Withdrawl Amount] ], )</f>
        <v>0</v>
      </c>
      <c r="V74" s="38">
        <f>IF(Table32[[#This Row],[CODE]]=17, Table32[ [#This Row],[Account Deposit Amount] ]-Table32[ [#This Row],[Account Withdrawl Amount] ], )</f>
        <v>0</v>
      </c>
    </row>
    <row r="75" spans="1:22" ht="12.6" thickBot="1">
      <c r="A75" s="23"/>
      <c r="B75" s="24"/>
      <c r="C75" s="23"/>
      <c r="D75" s="25"/>
      <c r="E75" s="79"/>
      <c r="F75" s="79"/>
      <c r="G75" s="82">
        <f t="shared" si="4"/>
        <v>99.489999999999782</v>
      </c>
      <c r="H75" s="23"/>
      <c r="I75" s="38">
        <f>IF(Table32[[#This Row],[CODE]]=1, Table32[ [#This Row],[Account Deposit Amount] ]-Table32[ [#This Row],[Account Withdrawl Amount] ], )</f>
        <v>0</v>
      </c>
      <c r="J75" s="88">
        <f>IF(Table32[[#This Row],[CODE]]=2, Table32[ [#This Row],[Account Deposit Amount] ]-Table32[ [#This Row],[Account Withdrawl Amount] ], )</f>
        <v>0</v>
      </c>
      <c r="K75" s="88">
        <f>IF(Table32[[#This Row],[CODE]]=3, Table32[ [#This Row],[Account Deposit Amount] ]-Table32[ [#This Row],[Account Withdrawl Amount] ], )</f>
        <v>0</v>
      </c>
      <c r="L75" s="89">
        <f>IF(Table32[[#This Row],[CODE]]=4, Table32[ [#This Row],[Account Deposit Amount] ]-Table32[ [#This Row],[Account Withdrawl Amount] ], )</f>
        <v>0</v>
      </c>
      <c r="M75" s="89">
        <f>IF(Table32[[#This Row],[CODE]]=5, Table32[ [#This Row],[Account Deposit Amount] ]-Table32[ [#This Row],[Account Withdrawl Amount] ], )</f>
        <v>0</v>
      </c>
      <c r="N75" s="89">
        <f>IF(Table32[[#This Row],[CODE]]=6, Table32[ [#This Row],[Account Deposit Amount] ]-Table32[ [#This Row],[Account Withdrawl Amount] ], )</f>
        <v>0</v>
      </c>
      <c r="O75" s="89">
        <f>IF(Table32[[#This Row],[CODE]]=11, Table32[ [#This Row],[Account Deposit Amount] ]-Table32[ [#This Row],[Account Withdrawl Amount] ], )</f>
        <v>0</v>
      </c>
      <c r="P75" s="89">
        <f>IF(Table32[[#This Row],[CODE]]=12, Table32[ [#This Row],[Account Deposit Amount] ]-Table32[ [#This Row],[Account Withdrawl Amount] ], )</f>
        <v>0</v>
      </c>
      <c r="Q75" s="89">
        <f>IF(Table32[[#This Row],[CODE]]=13, Table32[ [#This Row],[Account Deposit Amount] ]-Table32[ [#This Row],[Account Withdrawl Amount] ], )</f>
        <v>0</v>
      </c>
      <c r="R75" s="89">
        <f>IF(Table32[[#This Row],[CODE]]=14, Table32[ [#This Row],[Account Deposit Amount] ]-Table32[ [#This Row],[Account Withdrawl Amount] ], )</f>
        <v>0</v>
      </c>
      <c r="S75" s="89">
        <f>IF(Table32[[#This Row],[CODE]]=15, Table32[ [#This Row],[Account Deposit Amount] ]-Table32[ [#This Row],[Account Withdrawl Amount] ], )</f>
        <v>0</v>
      </c>
      <c r="T75" s="89">
        <f>IF(Table32[[#This Row],[CODE]]=16, Table32[ [#This Row],[Account Deposit Amount] ]-Table32[ [#This Row],[Account Withdrawl Amount] ], )</f>
        <v>0</v>
      </c>
      <c r="U75" s="38">
        <f>IF(Table32[[#This Row],[CODE]]=17, Table32[ [#This Row],[Account Deposit Amount] ]-Table32[ [#This Row],[Account Withdrawl Amount] ], )</f>
        <v>0</v>
      </c>
      <c r="V75" s="38">
        <f>IF(Table32[[#This Row],[CODE]]=17, Table32[ [#This Row],[Account Deposit Amount] ]-Table32[ [#This Row],[Account Withdrawl Amount] ], )</f>
        <v>0</v>
      </c>
    </row>
    <row r="76" spans="1:22" ht="12.6" thickBot="1">
      <c r="A76" s="23"/>
      <c r="B76" s="24"/>
      <c r="C76" s="23"/>
      <c r="D76" s="25"/>
      <c r="E76" s="79"/>
      <c r="F76" s="79"/>
      <c r="G76" s="82">
        <f t="shared" si="4"/>
        <v>99.489999999999782</v>
      </c>
      <c r="H76" s="23"/>
      <c r="I76" s="38">
        <f>IF(Table32[[#This Row],[CODE]]=1, Table32[ [#This Row],[Account Deposit Amount] ]-Table32[ [#This Row],[Account Withdrawl Amount] ], )</f>
        <v>0</v>
      </c>
      <c r="J76" s="88">
        <f>IF(Table32[[#This Row],[CODE]]=2, Table32[ [#This Row],[Account Deposit Amount] ]-Table32[ [#This Row],[Account Withdrawl Amount] ], )</f>
        <v>0</v>
      </c>
      <c r="K76" s="88">
        <f>IF(Table32[[#This Row],[CODE]]=3, Table32[ [#This Row],[Account Deposit Amount] ]-Table32[ [#This Row],[Account Withdrawl Amount] ], )</f>
        <v>0</v>
      </c>
      <c r="L76" s="89">
        <f>IF(Table32[[#This Row],[CODE]]=4, Table32[ [#This Row],[Account Deposit Amount] ]-Table32[ [#This Row],[Account Withdrawl Amount] ], )</f>
        <v>0</v>
      </c>
      <c r="M76" s="89">
        <f>IF(Table32[[#This Row],[CODE]]=5, Table32[ [#This Row],[Account Deposit Amount] ]-Table32[ [#This Row],[Account Withdrawl Amount] ], )</f>
        <v>0</v>
      </c>
      <c r="N76" s="89">
        <f>IF(Table32[[#This Row],[CODE]]=6, Table32[ [#This Row],[Account Deposit Amount] ]-Table32[ [#This Row],[Account Withdrawl Amount] ], )</f>
        <v>0</v>
      </c>
      <c r="O76" s="89">
        <f>IF(Table32[[#This Row],[CODE]]=11, Table32[ [#This Row],[Account Deposit Amount] ]-Table32[ [#This Row],[Account Withdrawl Amount] ], )</f>
        <v>0</v>
      </c>
      <c r="P76" s="89">
        <f>IF(Table32[[#This Row],[CODE]]=12, Table32[ [#This Row],[Account Deposit Amount] ]-Table32[ [#This Row],[Account Withdrawl Amount] ], )</f>
        <v>0</v>
      </c>
      <c r="Q76" s="89">
        <f>IF(Table32[[#This Row],[CODE]]=13, Table32[ [#This Row],[Account Deposit Amount] ]-Table32[ [#This Row],[Account Withdrawl Amount] ], )</f>
        <v>0</v>
      </c>
      <c r="R76" s="89">
        <f>IF(Table32[[#This Row],[CODE]]=14, Table32[ [#This Row],[Account Deposit Amount] ]-Table32[ [#This Row],[Account Withdrawl Amount] ], )</f>
        <v>0</v>
      </c>
      <c r="S76" s="89">
        <f>IF(Table32[[#This Row],[CODE]]=15, Table32[ [#This Row],[Account Deposit Amount] ]-Table32[ [#This Row],[Account Withdrawl Amount] ], )</f>
        <v>0</v>
      </c>
      <c r="T76" s="89">
        <f>IF(Table32[[#This Row],[CODE]]=16, Table32[ [#This Row],[Account Deposit Amount] ]-Table32[ [#This Row],[Account Withdrawl Amount] ], )</f>
        <v>0</v>
      </c>
      <c r="U76" s="38">
        <f>IF(Table32[[#This Row],[CODE]]=17, Table32[ [#This Row],[Account Deposit Amount] ]-Table32[ [#This Row],[Account Withdrawl Amount] ], )</f>
        <v>0</v>
      </c>
      <c r="V76" s="38">
        <f>IF(Table32[[#This Row],[CODE]]=17, Table32[ [#This Row],[Account Deposit Amount] ]-Table32[ [#This Row],[Account Withdrawl Amount] ], )</f>
        <v>0</v>
      </c>
    </row>
    <row r="77" spans="1:22" ht="12.6" thickBot="1">
      <c r="A77" s="23"/>
      <c r="B77" s="24"/>
      <c r="C77" s="23"/>
      <c r="D77" s="25"/>
      <c r="E77" s="79"/>
      <c r="F77" s="79"/>
      <c r="G77" s="82">
        <f t="shared" si="4"/>
        <v>99.489999999999782</v>
      </c>
      <c r="H77" s="23"/>
      <c r="I77" s="38">
        <f>IF(Table32[[#This Row],[CODE]]=1, Table32[ [#This Row],[Account Deposit Amount] ]-Table32[ [#This Row],[Account Withdrawl Amount] ], )</f>
        <v>0</v>
      </c>
      <c r="J77" s="88">
        <f>IF(Table32[[#This Row],[CODE]]=2, Table32[ [#This Row],[Account Deposit Amount] ]-Table32[ [#This Row],[Account Withdrawl Amount] ], )</f>
        <v>0</v>
      </c>
      <c r="K77" s="88">
        <f>IF(Table32[[#This Row],[CODE]]=3, Table32[ [#This Row],[Account Deposit Amount] ]-Table32[ [#This Row],[Account Withdrawl Amount] ], )</f>
        <v>0</v>
      </c>
      <c r="L77" s="89">
        <f>IF(Table32[[#This Row],[CODE]]=4, Table32[ [#This Row],[Account Deposit Amount] ]-Table32[ [#This Row],[Account Withdrawl Amount] ], )</f>
        <v>0</v>
      </c>
      <c r="M77" s="89">
        <f>IF(Table32[[#This Row],[CODE]]=5, Table32[ [#This Row],[Account Deposit Amount] ]-Table32[ [#This Row],[Account Withdrawl Amount] ], )</f>
        <v>0</v>
      </c>
      <c r="N77" s="89">
        <f>IF(Table32[[#This Row],[CODE]]=6, Table32[ [#This Row],[Account Deposit Amount] ]-Table32[ [#This Row],[Account Withdrawl Amount] ], )</f>
        <v>0</v>
      </c>
      <c r="O77" s="89">
        <f>IF(Table32[[#This Row],[CODE]]=11, Table32[ [#This Row],[Account Deposit Amount] ]-Table32[ [#This Row],[Account Withdrawl Amount] ], )</f>
        <v>0</v>
      </c>
      <c r="P77" s="89">
        <f>IF(Table32[[#This Row],[CODE]]=12, Table32[ [#This Row],[Account Deposit Amount] ]-Table32[ [#This Row],[Account Withdrawl Amount] ], )</f>
        <v>0</v>
      </c>
      <c r="Q77" s="89">
        <f>IF(Table32[[#This Row],[CODE]]=13, Table32[ [#This Row],[Account Deposit Amount] ]-Table32[ [#This Row],[Account Withdrawl Amount] ], )</f>
        <v>0</v>
      </c>
      <c r="R77" s="89">
        <f>IF(Table32[[#This Row],[CODE]]=14, Table32[ [#This Row],[Account Deposit Amount] ]-Table32[ [#This Row],[Account Withdrawl Amount] ], )</f>
        <v>0</v>
      </c>
      <c r="S77" s="89">
        <f>IF(Table32[[#This Row],[CODE]]=15, Table32[ [#This Row],[Account Deposit Amount] ]-Table32[ [#This Row],[Account Withdrawl Amount] ], )</f>
        <v>0</v>
      </c>
      <c r="T77" s="89">
        <f>IF(Table32[[#This Row],[CODE]]=16, Table32[ [#This Row],[Account Deposit Amount] ]-Table32[ [#This Row],[Account Withdrawl Amount] ], )</f>
        <v>0</v>
      </c>
      <c r="U77" s="38">
        <f>IF(Table32[[#This Row],[CODE]]=17, Table32[ [#This Row],[Account Deposit Amount] ]-Table32[ [#This Row],[Account Withdrawl Amount] ], )</f>
        <v>0</v>
      </c>
      <c r="V77" s="38">
        <f>IF(Table32[[#This Row],[CODE]]=17, Table32[ [#This Row],[Account Deposit Amount] ]-Table32[ [#This Row],[Account Withdrawl Amount] ], )</f>
        <v>0</v>
      </c>
    </row>
    <row r="78" spans="1:22" ht="12.6" thickBot="1">
      <c r="A78" s="23"/>
      <c r="B78" s="24"/>
      <c r="C78" s="23"/>
      <c r="D78" s="25"/>
      <c r="E78" s="79"/>
      <c r="F78" s="79"/>
      <c r="G78" s="82">
        <f t="shared" si="4"/>
        <v>99.489999999999782</v>
      </c>
      <c r="H78" s="23"/>
      <c r="I78" s="38">
        <f>IF(Table32[[#This Row],[CODE]]=1, Table32[ [#This Row],[Account Deposit Amount] ]-Table32[ [#This Row],[Account Withdrawl Amount] ], )</f>
        <v>0</v>
      </c>
      <c r="J78" s="88">
        <f>IF(Table32[[#This Row],[CODE]]=2, Table32[ [#This Row],[Account Deposit Amount] ]-Table32[ [#This Row],[Account Withdrawl Amount] ], )</f>
        <v>0</v>
      </c>
      <c r="K78" s="88">
        <f>IF(Table32[[#This Row],[CODE]]=3, Table32[ [#This Row],[Account Deposit Amount] ]-Table32[ [#This Row],[Account Withdrawl Amount] ], )</f>
        <v>0</v>
      </c>
      <c r="L78" s="89">
        <f>IF(Table32[[#This Row],[CODE]]=4, Table32[ [#This Row],[Account Deposit Amount] ]-Table32[ [#This Row],[Account Withdrawl Amount] ], )</f>
        <v>0</v>
      </c>
      <c r="M78" s="89">
        <f>IF(Table32[[#This Row],[CODE]]=5, Table32[ [#This Row],[Account Deposit Amount] ]-Table32[ [#This Row],[Account Withdrawl Amount] ], )</f>
        <v>0</v>
      </c>
      <c r="N78" s="89">
        <f>IF(Table32[[#This Row],[CODE]]=6, Table32[ [#This Row],[Account Deposit Amount] ]-Table32[ [#This Row],[Account Withdrawl Amount] ], )</f>
        <v>0</v>
      </c>
      <c r="O78" s="89">
        <f>IF(Table32[[#This Row],[CODE]]=11, Table32[ [#This Row],[Account Deposit Amount] ]-Table32[ [#This Row],[Account Withdrawl Amount] ], )</f>
        <v>0</v>
      </c>
      <c r="P78" s="89">
        <f>IF(Table32[[#This Row],[CODE]]=12, Table32[ [#This Row],[Account Deposit Amount] ]-Table32[ [#This Row],[Account Withdrawl Amount] ], )</f>
        <v>0</v>
      </c>
      <c r="Q78" s="89">
        <f>IF(Table32[[#This Row],[CODE]]=13, Table32[ [#This Row],[Account Deposit Amount] ]-Table32[ [#This Row],[Account Withdrawl Amount] ], )</f>
        <v>0</v>
      </c>
      <c r="R78" s="89">
        <f>IF(Table32[[#This Row],[CODE]]=14, Table32[ [#This Row],[Account Deposit Amount] ]-Table32[ [#This Row],[Account Withdrawl Amount] ], )</f>
        <v>0</v>
      </c>
      <c r="S78" s="89">
        <f>IF(Table32[[#This Row],[CODE]]=15, Table32[ [#This Row],[Account Deposit Amount] ]-Table32[ [#This Row],[Account Withdrawl Amount] ], )</f>
        <v>0</v>
      </c>
      <c r="T78" s="89">
        <f>IF(Table32[[#This Row],[CODE]]=16, Table32[ [#This Row],[Account Deposit Amount] ]-Table32[ [#This Row],[Account Withdrawl Amount] ], )</f>
        <v>0</v>
      </c>
      <c r="U78" s="38">
        <f>IF(Table32[[#This Row],[CODE]]=17, Table32[ [#This Row],[Account Deposit Amount] ]-Table32[ [#This Row],[Account Withdrawl Amount] ], )</f>
        <v>0</v>
      </c>
      <c r="V78" s="38">
        <f>IF(Table32[[#This Row],[CODE]]=17, Table32[ [#This Row],[Account Deposit Amount] ]-Table32[ [#This Row],[Account Withdrawl Amount] ], )</f>
        <v>0</v>
      </c>
    </row>
    <row r="79" spans="1:22" ht="12.6" thickBot="1">
      <c r="A79" s="23"/>
      <c r="B79" s="24"/>
      <c r="C79" s="23"/>
      <c r="D79" s="25"/>
      <c r="E79" s="79"/>
      <c r="F79" s="79"/>
      <c r="G79" s="82">
        <f t="shared" si="4"/>
        <v>99.489999999999782</v>
      </c>
      <c r="H79" s="23"/>
      <c r="I79" s="38">
        <f>IF(Table32[[#This Row],[CODE]]=1, Table32[ [#This Row],[Account Deposit Amount] ]-Table32[ [#This Row],[Account Withdrawl Amount] ], )</f>
        <v>0</v>
      </c>
      <c r="J79" s="88">
        <f>IF(Table32[[#This Row],[CODE]]=2, Table32[ [#This Row],[Account Deposit Amount] ]-Table32[ [#This Row],[Account Withdrawl Amount] ], )</f>
        <v>0</v>
      </c>
      <c r="K79" s="88">
        <f>IF(Table32[[#This Row],[CODE]]=3, Table32[ [#This Row],[Account Deposit Amount] ]-Table32[ [#This Row],[Account Withdrawl Amount] ], )</f>
        <v>0</v>
      </c>
      <c r="L79" s="89">
        <f>IF(Table32[[#This Row],[CODE]]=4, Table32[ [#This Row],[Account Deposit Amount] ]-Table32[ [#This Row],[Account Withdrawl Amount] ], )</f>
        <v>0</v>
      </c>
      <c r="M79" s="89">
        <f>IF(Table32[[#This Row],[CODE]]=5, Table32[ [#This Row],[Account Deposit Amount] ]-Table32[ [#This Row],[Account Withdrawl Amount] ], )</f>
        <v>0</v>
      </c>
      <c r="N79" s="89">
        <f>IF(Table32[[#This Row],[CODE]]=6, Table32[ [#This Row],[Account Deposit Amount] ]-Table32[ [#This Row],[Account Withdrawl Amount] ], )</f>
        <v>0</v>
      </c>
      <c r="O79" s="89">
        <f>IF(Table32[[#This Row],[CODE]]=11, Table32[ [#This Row],[Account Deposit Amount] ]-Table32[ [#This Row],[Account Withdrawl Amount] ], )</f>
        <v>0</v>
      </c>
      <c r="P79" s="89">
        <f>IF(Table32[[#This Row],[CODE]]=12, Table32[ [#This Row],[Account Deposit Amount] ]-Table32[ [#This Row],[Account Withdrawl Amount] ], )</f>
        <v>0</v>
      </c>
      <c r="Q79" s="89">
        <f>IF(Table32[[#This Row],[CODE]]=13, Table32[ [#This Row],[Account Deposit Amount] ]-Table32[ [#This Row],[Account Withdrawl Amount] ], )</f>
        <v>0</v>
      </c>
      <c r="R79" s="89">
        <f>IF(Table32[[#This Row],[CODE]]=14, Table32[ [#This Row],[Account Deposit Amount] ]-Table32[ [#This Row],[Account Withdrawl Amount] ], )</f>
        <v>0</v>
      </c>
      <c r="S79" s="89">
        <f>IF(Table32[[#This Row],[CODE]]=15, Table32[ [#This Row],[Account Deposit Amount] ]-Table32[ [#This Row],[Account Withdrawl Amount] ], )</f>
        <v>0</v>
      </c>
      <c r="T79" s="89">
        <f>IF(Table32[[#This Row],[CODE]]=16, Table32[ [#This Row],[Account Deposit Amount] ]-Table32[ [#This Row],[Account Withdrawl Amount] ], )</f>
        <v>0</v>
      </c>
      <c r="U79" s="38">
        <f>IF(Table32[[#This Row],[CODE]]=17, Table32[ [#This Row],[Account Deposit Amount] ]-Table32[ [#This Row],[Account Withdrawl Amount] ], )</f>
        <v>0</v>
      </c>
      <c r="V79" s="38">
        <f>IF(Table32[[#This Row],[CODE]]=17, Table32[ [#This Row],[Account Deposit Amount] ]-Table32[ [#This Row],[Account Withdrawl Amount] ], )</f>
        <v>0</v>
      </c>
    </row>
    <row r="80" spans="1:22" ht="12.6" thickBot="1">
      <c r="A80" s="23"/>
      <c r="B80" s="24"/>
      <c r="C80" s="23"/>
      <c r="D80" s="25"/>
      <c r="E80" s="79"/>
      <c r="F80" s="79"/>
      <c r="G80" s="82">
        <f t="shared" si="4"/>
        <v>99.489999999999782</v>
      </c>
      <c r="H80" s="23"/>
      <c r="I80" s="38">
        <f>IF(Table32[[#This Row],[CODE]]=1, Table32[ [#This Row],[Account Deposit Amount] ]-Table32[ [#This Row],[Account Withdrawl Amount] ], )</f>
        <v>0</v>
      </c>
      <c r="J80" s="88">
        <f>IF(Table32[[#This Row],[CODE]]=2, Table32[ [#This Row],[Account Deposit Amount] ]-Table32[ [#This Row],[Account Withdrawl Amount] ], )</f>
        <v>0</v>
      </c>
      <c r="K80" s="88">
        <f>IF(Table32[[#This Row],[CODE]]=3, Table32[ [#This Row],[Account Deposit Amount] ]-Table32[ [#This Row],[Account Withdrawl Amount] ], )</f>
        <v>0</v>
      </c>
      <c r="L80" s="89">
        <f>IF(Table32[[#This Row],[CODE]]=4, Table32[ [#This Row],[Account Deposit Amount] ]-Table32[ [#This Row],[Account Withdrawl Amount] ], )</f>
        <v>0</v>
      </c>
      <c r="M80" s="89">
        <f>IF(Table32[[#This Row],[CODE]]=5, Table32[ [#This Row],[Account Deposit Amount] ]-Table32[ [#This Row],[Account Withdrawl Amount] ], )</f>
        <v>0</v>
      </c>
      <c r="N80" s="89">
        <f>IF(Table32[[#This Row],[CODE]]=6, Table32[ [#This Row],[Account Deposit Amount] ]-Table32[ [#This Row],[Account Withdrawl Amount] ], )</f>
        <v>0</v>
      </c>
      <c r="O80" s="89">
        <f>IF(Table32[[#This Row],[CODE]]=11, Table32[ [#This Row],[Account Deposit Amount] ]-Table32[ [#This Row],[Account Withdrawl Amount] ], )</f>
        <v>0</v>
      </c>
      <c r="P80" s="89">
        <f>IF(Table32[[#This Row],[CODE]]=12, Table32[ [#This Row],[Account Deposit Amount] ]-Table32[ [#This Row],[Account Withdrawl Amount] ], )</f>
        <v>0</v>
      </c>
      <c r="Q80" s="89">
        <f>IF(Table32[[#This Row],[CODE]]=13, Table32[ [#This Row],[Account Deposit Amount] ]-Table32[ [#This Row],[Account Withdrawl Amount] ], )</f>
        <v>0</v>
      </c>
      <c r="R80" s="89">
        <f>IF(Table32[[#This Row],[CODE]]=14, Table32[ [#This Row],[Account Deposit Amount] ]-Table32[ [#This Row],[Account Withdrawl Amount] ], )</f>
        <v>0</v>
      </c>
      <c r="S80" s="89">
        <f>IF(Table32[[#This Row],[CODE]]=15, Table32[ [#This Row],[Account Deposit Amount] ]-Table32[ [#This Row],[Account Withdrawl Amount] ], )</f>
        <v>0</v>
      </c>
      <c r="T80" s="89">
        <f>IF(Table32[[#This Row],[CODE]]=16, Table32[ [#This Row],[Account Deposit Amount] ]-Table32[ [#This Row],[Account Withdrawl Amount] ], )</f>
        <v>0</v>
      </c>
      <c r="U80" s="38">
        <f>IF(Table32[[#This Row],[CODE]]=17, Table32[ [#This Row],[Account Deposit Amount] ]-Table32[ [#This Row],[Account Withdrawl Amount] ], )</f>
        <v>0</v>
      </c>
      <c r="V80" s="38">
        <f>IF(Table32[[#This Row],[CODE]]=17, Table32[ [#This Row],[Account Deposit Amount] ]-Table32[ [#This Row],[Account Withdrawl Amount] ], )</f>
        <v>0</v>
      </c>
    </row>
    <row r="81" spans="1:22" ht="12.6" thickBot="1">
      <c r="A81" s="23"/>
      <c r="B81" s="24"/>
      <c r="C81" s="23"/>
      <c r="D81" s="25"/>
      <c r="E81" s="79"/>
      <c r="F81" s="79"/>
      <c r="G81" s="82">
        <f t="shared" si="4"/>
        <v>99.489999999999782</v>
      </c>
      <c r="H81" s="23"/>
      <c r="I81" s="38">
        <f>IF(Table32[[#This Row],[CODE]]=1, Table32[ [#This Row],[Account Deposit Amount] ]-Table32[ [#This Row],[Account Withdrawl Amount] ], )</f>
        <v>0</v>
      </c>
      <c r="J81" s="88">
        <f>IF(Table32[[#This Row],[CODE]]=2, Table32[ [#This Row],[Account Deposit Amount] ]-Table32[ [#This Row],[Account Withdrawl Amount] ], )</f>
        <v>0</v>
      </c>
      <c r="K81" s="88">
        <f>IF(Table32[[#This Row],[CODE]]=3, Table32[ [#This Row],[Account Deposit Amount] ]-Table32[ [#This Row],[Account Withdrawl Amount] ], )</f>
        <v>0</v>
      </c>
      <c r="L81" s="89">
        <f>IF(Table32[[#This Row],[CODE]]=4, Table32[ [#This Row],[Account Deposit Amount] ]-Table32[ [#This Row],[Account Withdrawl Amount] ], )</f>
        <v>0</v>
      </c>
      <c r="M81" s="89">
        <f>IF(Table32[[#This Row],[CODE]]=5, Table32[ [#This Row],[Account Deposit Amount] ]-Table32[ [#This Row],[Account Withdrawl Amount] ], )</f>
        <v>0</v>
      </c>
      <c r="N81" s="89">
        <f>IF(Table32[[#This Row],[CODE]]=6, Table32[ [#This Row],[Account Deposit Amount] ]-Table32[ [#This Row],[Account Withdrawl Amount] ], )</f>
        <v>0</v>
      </c>
      <c r="O81" s="89">
        <f>IF(Table32[[#This Row],[CODE]]=11, Table32[ [#This Row],[Account Deposit Amount] ]-Table32[ [#This Row],[Account Withdrawl Amount] ], )</f>
        <v>0</v>
      </c>
      <c r="P81" s="89">
        <f>IF(Table32[[#This Row],[CODE]]=12, Table32[ [#This Row],[Account Deposit Amount] ]-Table32[ [#This Row],[Account Withdrawl Amount] ], )</f>
        <v>0</v>
      </c>
      <c r="Q81" s="89">
        <f>IF(Table32[[#This Row],[CODE]]=13, Table32[ [#This Row],[Account Deposit Amount] ]-Table32[ [#This Row],[Account Withdrawl Amount] ], )</f>
        <v>0</v>
      </c>
      <c r="R81" s="89">
        <f>IF(Table32[[#This Row],[CODE]]=14, Table32[ [#This Row],[Account Deposit Amount] ]-Table32[ [#This Row],[Account Withdrawl Amount] ], )</f>
        <v>0</v>
      </c>
      <c r="S81" s="89">
        <f>IF(Table32[[#This Row],[CODE]]=15, Table32[ [#This Row],[Account Deposit Amount] ]-Table32[ [#This Row],[Account Withdrawl Amount] ], )</f>
        <v>0</v>
      </c>
      <c r="T81" s="89">
        <f>IF(Table32[[#This Row],[CODE]]=16, Table32[ [#This Row],[Account Deposit Amount] ]-Table32[ [#This Row],[Account Withdrawl Amount] ], )</f>
        <v>0</v>
      </c>
      <c r="U81" s="38">
        <f>IF(Table32[[#This Row],[CODE]]=17, Table32[ [#This Row],[Account Deposit Amount] ]-Table32[ [#This Row],[Account Withdrawl Amount] ], )</f>
        <v>0</v>
      </c>
      <c r="V81" s="38">
        <f>IF(Table32[[#This Row],[CODE]]=17, Table32[ [#This Row],[Account Deposit Amount] ]-Table32[ [#This Row],[Account Withdrawl Amount] ], )</f>
        <v>0</v>
      </c>
    </row>
    <row r="82" spans="1:22" ht="12.6" thickBot="1">
      <c r="A82" s="23"/>
      <c r="B82" s="24"/>
      <c r="C82" s="23"/>
      <c r="D82" s="25"/>
      <c r="E82" s="79"/>
      <c r="F82" s="79"/>
      <c r="G82" s="82">
        <f t="shared" si="4"/>
        <v>99.489999999999782</v>
      </c>
      <c r="H82" s="23"/>
      <c r="I82" s="38">
        <f>IF(Table32[[#This Row],[CODE]]=1, Table32[ [#This Row],[Account Deposit Amount] ]-Table32[ [#This Row],[Account Withdrawl Amount] ], )</f>
        <v>0</v>
      </c>
      <c r="J82" s="88">
        <f>IF(Table32[[#This Row],[CODE]]=2, Table32[ [#This Row],[Account Deposit Amount] ]-Table32[ [#This Row],[Account Withdrawl Amount] ], )</f>
        <v>0</v>
      </c>
      <c r="K82" s="88">
        <f>IF(Table32[[#This Row],[CODE]]=3, Table32[ [#This Row],[Account Deposit Amount] ]-Table32[ [#This Row],[Account Withdrawl Amount] ], )</f>
        <v>0</v>
      </c>
      <c r="L82" s="89">
        <f>IF(Table32[[#This Row],[CODE]]=4, Table32[ [#This Row],[Account Deposit Amount] ]-Table32[ [#This Row],[Account Withdrawl Amount] ], )</f>
        <v>0</v>
      </c>
      <c r="M82" s="89">
        <f>IF(Table32[[#This Row],[CODE]]=5, Table32[ [#This Row],[Account Deposit Amount] ]-Table32[ [#This Row],[Account Withdrawl Amount] ], )</f>
        <v>0</v>
      </c>
      <c r="N82" s="89">
        <f>IF(Table32[[#This Row],[CODE]]=6, Table32[ [#This Row],[Account Deposit Amount] ]-Table32[ [#This Row],[Account Withdrawl Amount] ], )</f>
        <v>0</v>
      </c>
      <c r="O82" s="89">
        <f>IF(Table32[[#This Row],[CODE]]=11, Table32[ [#This Row],[Account Deposit Amount] ]-Table32[ [#This Row],[Account Withdrawl Amount] ], )</f>
        <v>0</v>
      </c>
      <c r="P82" s="89">
        <f>IF(Table32[[#This Row],[CODE]]=12, Table32[ [#This Row],[Account Deposit Amount] ]-Table32[ [#This Row],[Account Withdrawl Amount] ], )</f>
        <v>0</v>
      </c>
      <c r="Q82" s="89">
        <f>IF(Table32[[#This Row],[CODE]]=13, Table32[ [#This Row],[Account Deposit Amount] ]-Table32[ [#This Row],[Account Withdrawl Amount] ], )</f>
        <v>0</v>
      </c>
      <c r="R82" s="89">
        <f>IF(Table32[[#This Row],[CODE]]=14, Table32[ [#This Row],[Account Deposit Amount] ]-Table32[ [#This Row],[Account Withdrawl Amount] ], )</f>
        <v>0</v>
      </c>
      <c r="S82" s="89">
        <f>IF(Table32[[#This Row],[CODE]]=15, Table32[ [#This Row],[Account Deposit Amount] ]-Table32[ [#This Row],[Account Withdrawl Amount] ], )</f>
        <v>0</v>
      </c>
      <c r="T82" s="89">
        <f>IF(Table32[[#This Row],[CODE]]=16, Table32[ [#This Row],[Account Deposit Amount] ]-Table32[ [#This Row],[Account Withdrawl Amount] ], )</f>
        <v>0</v>
      </c>
      <c r="U82" s="38">
        <f>IF(Table32[[#This Row],[CODE]]=17, Table32[ [#This Row],[Account Deposit Amount] ]-Table32[ [#This Row],[Account Withdrawl Amount] ], )</f>
        <v>0</v>
      </c>
      <c r="V82" s="38">
        <f>IF(Table32[[#This Row],[CODE]]=17, Table32[ [#This Row],[Account Deposit Amount] ]-Table32[ [#This Row],[Account Withdrawl Amount] ], )</f>
        <v>0</v>
      </c>
    </row>
    <row r="83" spans="1:22" ht="12.6" thickBot="1">
      <c r="A83" s="23"/>
      <c r="B83" s="24"/>
      <c r="C83" s="23"/>
      <c r="D83" s="25"/>
      <c r="E83" s="79"/>
      <c r="F83" s="79"/>
      <c r="G83" s="82">
        <f t="shared" si="4"/>
        <v>99.489999999999782</v>
      </c>
      <c r="H83" s="23"/>
      <c r="I83" s="38">
        <f>IF(Table32[[#This Row],[CODE]]=1, Table32[ [#This Row],[Account Deposit Amount] ]-Table32[ [#This Row],[Account Withdrawl Amount] ], )</f>
        <v>0</v>
      </c>
      <c r="J83" s="88">
        <f>IF(Table32[[#This Row],[CODE]]=2, Table32[ [#This Row],[Account Deposit Amount] ]-Table32[ [#This Row],[Account Withdrawl Amount] ], )</f>
        <v>0</v>
      </c>
      <c r="K83" s="88">
        <f>IF(Table32[[#This Row],[CODE]]=3, Table32[ [#This Row],[Account Deposit Amount] ]-Table32[ [#This Row],[Account Withdrawl Amount] ], )</f>
        <v>0</v>
      </c>
      <c r="L83" s="89">
        <f>IF(Table32[[#This Row],[CODE]]=4, Table32[ [#This Row],[Account Deposit Amount] ]-Table32[ [#This Row],[Account Withdrawl Amount] ], )</f>
        <v>0</v>
      </c>
      <c r="M83" s="89">
        <f>IF(Table32[[#This Row],[CODE]]=5, Table32[ [#This Row],[Account Deposit Amount] ]-Table32[ [#This Row],[Account Withdrawl Amount] ], )</f>
        <v>0</v>
      </c>
      <c r="N83" s="89">
        <f>IF(Table32[[#This Row],[CODE]]=6, Table32[ [#This Row],[Account Deposit Amount] ]-Table32[ [#This Row],[Account Withdrawl Amount] ], )</f>
        <v>0</v>
      </c>
      <c r="O83" s="89">
        <f>IF(Table32[[#This Row],[CODE]]=11, Table32[ [#This Row],[Account Deposit Amount] ]-Table32[ [#This Row],[Account Withdrawl Amount] ], )</f>
        <v>0</v>
      </c>
      <c r="P83" s="89">
        <f>IF(Table32[[#This Row],[CODE]]=12, Table32[ [#This Row],[Account Deposit Amount] ]-Table32[ [#This Row],[Account Withdrawl Amount] ], )</f>
        <v>0</v>
      </c>
      <c r="Q83" s="89">
        <f>IF(Table32[[#This Row],[CODE]]=13, Table32[ [#This Row],[Account Deposit Amount] ]-Table32[ [#This Row],[Account Withdrawl Amount] ], )</f>
        <v>0</v>
      </c>
      <c r="R83" s="89">
        <f>IF(Table32[[#This Row],[CODE]]=14, Table32[ [#This Row],[Account Deposit Amount] ]-Table32[ [#This Row],[Account Withdrawl Amount] ], )</f>
        <v>0</v>
      </c>
      <c r="S83" s="89">
        <f>IF(Table32[[#This Row],[CODE]]=15, Table32[ [#This Row],[Account Deposit Amount] ]-Table32[ [#This Row],[Account Withdrawl Amount] ], )</f>
        <v>0</v>
      </c>
      <c r="T83" s="89">
        <f>IF(Table32[[#This Row],[CODE]]=16, Table32[ [#This Row],[Account Deposit Amount] ]-Table32[ [#This Row],[Account Withdrawl Amount] ], )</f>
        <v>0</v>
      </c>
      <c r="U83" s="38">
        <f>IF(Table32[[#This Row],[CODE]]=17, Table32[ [#This Row],[Account Deposit Amount] ]-Table32[ [#This Row],[Account Withdrawl Amount] ], )</f>
        <v>0</v>
      </c>
      <c r="V83" s="38">
        <f>IF(Table32[[#This Row],[CODE]]=17, Table32[ [#This Row],[Account Deposit Amount] ]-Table32[ [#This Row],[Account Withdrawl Amount] ], )</f>
        <v>0</v>
      </c>
    </row>
    <row r="84" spans="1:22" ht="12.6" thickBot="1">
      <c r="A84" s="23"/>
      <c r="B84" s="24"/>
      <c r="C84" s="23"/>
      <c r="D84" s="25"/>
      <c r="E84" s="79"/>
      <c r="F84" s="79"/>
      <c r="G84" s="82">
        <f t="shared" si="4"/>
        <v>99.489999999999782</v>
      </c>
      <c r="H84" s="23"/>
      <c r="I84" s="38">
        <f>IF(Table32[[#This Row],[CODE]]=1, Table32[ [#This Row],[Account Deposit Amount] ]-Table32[ [#This Row],[Account Withdrawl Amount] ], )</f>
        <v>0</v>
      </c>
      <c r="J84" s="88">
        <f>IF(Table32[[#This Row],[CODE]]=2, Table32[ [#This Row],[Account Deposit Amount] ]-Table32[ [#This Row],[Account Withdrawl Amount] ], )</f>
        <v>0</v>
      </c>
      <c r="K84" s="88">
        <f>IF(Table32[[#This Row],[CODE]]=3, Table32[ [#This Row],[Account Deposit Amount] ]-Table32[ [#This Row],[Account Withdrawl Amount] ], )</f>
        <v>0</v>
      </c>
      <c r="L84" s="89">
        <f>IF(Table32[[#This Row],[CODE]]=4, Table32[ [#This Row],[Account Deposit Amount] ]-Table32[ [#This Row],[Account Withdrawl Amount] ], )</f>
        <v>0</v>
      </c>
      <c r="M84" s="89">
        <f>IF(Table32[[#This Row],[CODE]]=5, Table32[ [#This Row],[Account Deposit Amount] ]-Table32[ [#This Row],[Account Withdrawl Amount] ], )</f>
        <v>0</v>
      </c>
      <c r="N84" s="89">
        <f>IF(Table32[[#This Row],[CODE]]=6, Table32[ [#This Row],[Account Deposit Amount] ]-Table32[ [#This Row],[Account Withdrawl Amount] ], )</f>
        <v>0</v>
      </c>
      <c r="O84" s="89">
        <f>IF(Table32[[#This Row],[CODE]]=11, Table32[ [#This Row],[Account Deposit Amount] ]-Table32[ [#This Row],[Account Withdrawl Amount] ], )</f>
        <v>0</v>
      </c>
      <c r="P84" s="89">
        <f>IF(Table32[[#This Row],[CODE]]=12, Table32[ [#This Row],[Account Deposit Amount] ]-Table32[ [#This Row],[Account Withdrawl Amount] ], )</f>
        <v>0</v>
      </c>
      <c r="Q84" s="89">
        <f>IF(Table32[[#This Row],[CODE]]=13, Table32[ [#This Row],[Account Deposit Amount] ]-Table32[ [#This Row],[Account Withdrawl Amount] ], )</f>
        <v>0</v>
      </c>
      <c r="R84" s="89">
        <f>IF(Table32[[#This Row],[CODE]]=14, Table32[ [#This Row],[Account Deposit Amount] ]-Table32[ [#This Row],[Account Withdrawl Amount] ], )</f>
        <v>0</v>
      </c>
      <c r="S84" s="89">
        <f>IF(Table32[[#This Row],[CODE]]=15, Table32[ [#This Row],[Account Deposit Amount] ]-Table32[ [#This Row],[Account Withdrawl Amount] ], )</f>
        <v>0</v>
      </c>
      <c r="T84" s="89">
        <f>IF(Table32[[#This Row],[CODE]]=16, Table32[ [#This Row],[Account Deposit Amount] ]-Table32[ [#This Row],[Account Withdrawl Amount] ], )</f>
        <v>0</v>
      </c>
      <c r="U84" s="38">
        <f>IF(Table32[[#This Row],[CODE]]=17, Table32[ [#This Row],[Account Deposit Amount] ]-Table32[ [#This Row],[Account Withdrawl Amount] ], )</f>
        <v>0</v>
      </c>
      <c r="V84" s="38">
        <f>IF(Table32[[#This Row],[CODE]]=17, Table32[ [#This Row],[Account Deposit Amount] ]-Table32[ [#This Row],[Account Withdrawl Amount] ], )</f>
        <v>0</v>
      </c>
    </row>
    <row r="85" spans="1:22" ht="12.6" thickBot="1">
      <c r="A85" s="23"/>
      <c r="B85" s="24"/>
      <c r="C85" s="23"/>
      <c r="D85" s="25"/>
      <c r="E85" s="79"/>
      <c r="F85" s="79"/>
      <c r="G85" s="82">
        <f t="shared" si="4"/>
        <v>99.489999999999782</v>
      </c>
      <c r="H85" s="23"/>
      <c r="I85" s="38">
        <f>IF(Table32[[#This Row],[CODE]]=1, Table32[ [#This Row],[Account Deposit Amount] ]-Table32[ [#This Row],[Account Withdrawl Amount] ], )</f>
        <v>0</v>
      </c>
      <c r="J85" s="88">
        <f>IF(Table32[[#This Row],[CODE]]=2, Table32[ [#This Row],[Account Deposit Amount] ]-Table32[ [#This Row],[Account Withdrawl Amount] ], )</f>
        <v>0</v>
      </c>
      <c r="K85" s="88">
        <f>IF(Table32[[#This Row],[CODE]]=3, Table32[ [#This Row],[Account Deposit Amount] ]-Table32[ [#This Row],[Account Withdrawl Amount] ], )</f>
        <v>0</v>
      </c>
      <c r="L85" s="89">
        <f>IF(Table32[[#This Row],[CODE]]=4, Table32[ [#This Row],[Account Deposit Amount] ]-Table32[ [#This Row],[Account Withdrawl Amount] ], )</f>
        <v>0</v>
      </c>
      <c r="M85" s="89">
        <f>IF(Table32[[#This Row],[CODE]]=5, Table32[ [#This Row],[Account Deposit Amount] ]-Table32[ [#This Row],[Account Withdrawl Amount] ], )</f>
        <v>0</v>
      </c>
      <c r="N85" s="89">
        <f>IF(Table32[[#This Row],[CODE]]=6, Table32[ [#This Row],[Account Deposit Amount] ]-Table32[ [#This Row],[Account Withdrawl Amount] ], )</f>
        <v>0</v>
      </c>
      <c r="O85" s="89">
        <f>IF(Table32[[#This Row],[CODE]]=11, Table32[ [#This Row],[Account Deposit Amount] ]-Table32[ [#This Row],[Account Withdrawl Amount] ], )</f>
        <v>0</v>
      </c>
      <c r="P85" s="89">
        <f>IF(Table32[[#This Row],[CODE]]=12, Table32[ [#This Row],[Account Deposit Amount] ]-Table32[ [#This Row],[Account Withdrawl Amount] ], )</f>
        <v>0</v>
      </c>
      <c r="Q85" s="89">
        <f>IF(Table32[[#This Row],[CODE]]=13, Table32[ [#This Row],[Account Deposit Amount] ]-Table32[ [#This Row],[Account Withdrawl Amount] ], )</f>
        <v>0</v>
      </c>
      <c r="R85" s="89">
        <f>IF(Table32[[#This Row],[CODE]]=14, Table32[ [#This Row],[Account Deposit Amount] ]-Table32[ [#This Row],[Account Withdrawl Amount] ], )</f>
        <v>0</v>
      </c>
      <c r="S85" s="89">
        <f>IF(Table32[[#This Row],[CODE]]=15, Table32[ [#This Row],[Account Deposit Amount] ]-Table32[ [#This Row],[Account Withdrawl Amount] ], )</f>
        <v>0</v>
      </c>
      <c r="T85" s="89">
        <f>IF(Table32[[#This Row],[CODE]]=16, Table32[ [#This Row],[Account Deposit Amount] ]-Table32[ [#This Row],[Account Withdrawl Amount] ], )</f>
        <v>0</v>
      </c>
      <c r="U85" s="38">
        <f>IF(Table32[[#This Row],[CODE]]=17, Table32[ [#This Row],[Account Deposit Amount] ]-Table32[ [#This Row],[Account Withdrawl Amount] ], )</f>
        <v>0</v>
      </c>
      <c r="V85" s="38">
        <f>IF(Table32[[#This Row],[CODE]]=17, Table32[ [#This Row],[Account Deposit Amount] ]-Table32[ [#This Row],[Account Withdrawl Amount] ], )</f>
        <v>0</v>
      </c>
    </row>
    <row r="86" spans="1:22" ht="12.6" thickBot="1">
      <c r="A86" s="23"/>
      <c r="B86" s="24"/>
      <c r="C86" s="23"/>
      <c r="D86" s="25"/>
      <c r="E86" s="79"/>
      <c r="F86" s="79"/>
      <c r="G86" s="82">
        <f t="shared" si="4"/>
        <v>99.489999999999782</v>
      </c>
      <c r="H86" s="23"/>
      <c r="I86" s="38">
        <f>IF(Table32[[#This Row],[CODE]]=1, Table32[ [#This Row],[Account Deposit Amount] ]-Table32[ [#This Row],[Account Withdrawl Amount] ], )</f>
        <v>0</v>
      </c>
      <c r="J86" s="88">
        <f>IF(Table32[[#This Row],[CODE]]=2, Table32[ [#This Row],[Account Deposit Amount] ]-Table32[ [#This Row],[Account Withdrawl Amount] ], )</f>
        <v>0</v>
      </c>
      <c r="K86" s="88">
        <f>IF(Table32[[#This Row],[CODE]]=3, Table32[ [#This Row],[Account Deposit Amount] ]-Table32[ [#This Row],[Account Withdrawl Amount] ], )</f>
        <v>0</v>
      </c>
      <c r="L86" s="89">
        <f>IF(Table32[[#This Row],[CODE]]=4, Table32[ [#This Row],[Account Deposit Amount] ]-Table32[ [#This Row],[Account Withdrawl Amount] ], )</f>
        <v>0</v>
      </c>
      <c r="M86" s="89">
        <f>IF(Table32[[#This Row],[CODE]]=5, Table32[ [#This Row],[Account Deposit Amount] ]-Table32[ [#This Row],[Account Withdrawl Amount] ], )</f>
        <v>0</v>
      </c>
      <c r="N86" s="89">
        <f>IF(Table32[[#This Row],[CODE]]=6, Table32[ [#This Row],[Account Deposit Amount] ]-Table32[ [#This Row],[Account Withdrawl Amount] ], )</f>
        <v>0</v>
      </c>
      <c r="O86" s="89">
        <f>IF(Table32[[#This Row],[CODE]]=11, Table32[ [#This Row],[Account Deposit Amount] ]-Table32[ [#This Row],[Account Withdrawl Amount] ], )</f>
        <v>0</v>
      </c>
      <c r="P86" s="89">
        <f>IF(Table32[[#This Row],[CODE]]=12, Table32[ [#This Row],[Account Deposit Amount] ]-Table32[ [#This Row],[Account Withdrawl Amount] ], )</f>
        <v>0</v>
      </c>
      <c r="Q86" s="89">
        <f>IF(Table32[[#This Row],[CODE]]=13, Table32[ [#This Row],[Account Deposit Amount] ]-Table32[ [#This Row],[Account Withdrawl Amount] ], )</f>
        <v>0</v>
      </c>
      <c r="R86" s="89">
        <f>IF(Table32[[#This Row],[CODE]]=14, Table32[ [#This Row],[Account Deposit Amount] ]-Table32[ [#This Row],[Account Withdrawl Amount] ], )</f>
        <v>0</v>
      </c>
      <c r="S86" s="89">
        <f>IF(Table32[[#This Row],[CODE]]=15, Table32[ [#This Row],[Account Deposit Amount] ]-Table32[ [#This Row],[Account Withdrawl Amount] ], )</f>
        <v>0</v>
      </c>
      <c r="T86" s="89">
        <f>IF(Table32[[#This Row],[CODE]]=16, Table32[ [#This Row],[Account Deposit Amount] ]-Table32[ [#This Row],[Account Withdrawl Amount] ], )</f>
        <v>0</v>
      </c>
      <c r="U86" s="38">
        <f>IF(Table32[[#This Row],[CODE]]=17, Table32[ [#This Row],[Account Deposit Amount] ]-Table32[ [#This Row],[Account Withdrawl Amount] ], )</f>
        <v>0</v>
      </c>
      <c r="V86" s="38">
        <f>IF(Table32[[#This Row],[CODE]]=17, Table32[ [#This Row],[Account Deposit Amount] ]-Table32[ [#This Row],[Account Withdrawl Amount] ], )</f>
        <v>0</v>
      </c>
    </row>
    <row r="87" spans="1:22" ht="12.6" thickBot="1">
      <c r="A87" s="23"/>
      <c r="B87" s="24"/>
      <c r="C87" s="23"/>
      <c r="D87" s="25"/>
      <c r="E87" s="79"/>
      <c r="F87" s="79"/>
      <c r="G87" s="82">
        <f t="shared" ref="G87:G99" si="5">G86+E87-F87</f>
        <v>99.489999999999782</v>
      </c>
      <c r="H87" s="23"/>
      <c r="I87" s="38">
        <f>IF(Table32[[#This Row],[CODE]]=1, Table32[ [#This Row],[Account Deposit Amount] ]-Table32[ [#This Row],[Account Withdrawl Amount] ], )</f>
        <v>0</v>
      </c>
      <c r="J87" s="88">
        <f>IF(Table32[[#This Row],[CODE]]=2, Table32[ [#This Row],[Account Deposit Amount] ]-Table32[ [#This Row],[Account Withdrawl Amount] ], )</f>
        <v>0</v>
      </c>
      <c r="K87" s="88">
        <f>IF(Table32[[#This Row],[CODE]]=3, Table32[ [#This Row],[Account Deposit Amount] ]-Table32[ [#This Row],[Account Withdrawl Amount] ], )</f>
        <v>0</v>
      </c>
      <c r="L87" s="89">
        <f>IF(Table32[[#This Row],[CODE]]=4, Table32[ [#This Row],[Account Deposit Amount] ]-Table32[ [#This Row],[Account Withdrawl Amount] ], )</f>
        <v>0</v>
      </c>
      <c r="M87" s="89">
        <f>IF(Table32[[#This Row],[CODE]]=5, Table32[ [#This Row],[Account Deposit Amount] ]-Table32[ [#This Row],[Account Withdrawl Amount] ], )</f>
        <v>0</v>
      </c>
      <c r="N87" s="89">
        <f>IF(Table32[[#This Row],[CODE]]=6, Table32[ [#This Row],[Account Deposit Amount] ]-Table32[ [#This Row],[Account Withdrawl Amount] ], )</f>
        <v>0</v>
      </c>
      <c r="O87" s="89">
        <f>IF(Table32[[#This Row],[CODE]]=11, Table32[ [#This Row],[Account Deposit Amount] ]-Table32[ [#This Row],[Account Withdrawl Amount] ], )</f>
        <v>0</v>
      </c>
      <c r="P87" s="89">
        <f>IF(Table32[[#This Row],[CODE]]=12, Table32[ [#This Row],[Account Deposit Amount] ]-Table32[ [#This Row],[Account Withdrawl Amount] ], )</f>
        <v>0</v>
      </c>
      <c r="Q87" s="89">
        <f>IF(Table32[[#This Row],[CODE]]=13, Table32[ [#This Row],[Account Deposit Amount] ]-Table32[ [#This Row],[Account Withdrawl Amount] ], )</f>
        <v>0</v>
      </c>
      <c r="R87" s="89">
        <f>IF(Table32[[#This Row],[CODE]]=14, Table32[ [#This Row],[Account Deposit Amount] ]-Table32[ [#This Row],[Account Withdrawl Amount] ], )</f>
        <v>0</v>
      </c>
      <c r="S87" s="89">
        <f>IF(Table32[[#This Row],[CODE]]=15, Table32[ [#This Row],[Account Deposit Amount] ]-Table32[ [#This Row],[Account Withdrawl Amount] ], )</f>
        <v>0</v>
      </c>
      <c r="T87" s="89">
        <f>IF(Table32[[#This Row],[CODE]]=16, Table32[ [#This Row],[Account Deposit Amount] ]-Table32[ [#This Row],[Account Withdrawl Amount] ], )</f>
        <v>0</v>
      </c>
      <c r="U87" s="38">
        <f>IF(Table32[[#This Row],[CODE]]=17, Table32[ [#This Row],[Account Deposit Amount] ]-Table32[ [#This Row],[Account Withdrawl Amount] ], )</f>
        <v>0</v>
      </c>
      <c r="V87" s="38">
        <f>IF(Table32[[#This Row],[CODE]]=17, Table32[ [#This Row],[Account Deposit Amount] ]-Table32[ [#This Row],[Account Withdrawl Amount] ], )</f>
        <v>0</v>
      </c>
    </row>
    <row r="88" spans="1:22" ht="12.6" thickBot="1">
      <c r="A88" s="23"/>
      <c r="B88" s="24"/>
      <c r="C88" s="23"/>
      <c r="D88" s="25"/>
      <c r="E88" s="79"/>
      <c r="F88" s="79"/>
      <c r="G88" s="82">
        <f t="shared" si="5"/>
        <v>99.489999999999782</v>
      </c>
      <c r="H88" s="23"/>
      <c r="I88" s="38">
        <f>IF(Table32[[#This Row],[CODE]]=1, Table32[ [#This Row],[Account Deposit Amount] ]-Table32[ [#This Row],[Account Withdrawl Amount] ], )</f>
        <v>0</v>
      </c>
      <c r="J88" s="88">
        <f>IF(Table32[[#This Row],[CODE]]=2, Table32[ [#This Row],[Account Deposit Amount] ]-Table32[ [#This Row],[Account Withdrawl Amount] ], )</f>
        <v>0</v>
      </c>
      <c r="K88" s="88">
        <f>IF(Table32[[#This Row],[CODE]]=3, Table32[ [#This Row],[Account Deposit Amount] ]-Table32[ [#This Row],[Account Withdrawl Amount] ], )</f>
        <v>0</v>
      </c>
      <c r="L88" s="89">
        <f>IF(Table32[[#This Row],[CODE]]=4, Table32[ [#This Row],[Account Deposit Amount] ]-Table32[ [#This Row],[Account Withdrawl Amount] ], )</f>
        <v>0</v>
      </c>
      <c r="M88" s="89">
        <f>IF(Table32[[#This Row],[CODE]]=5, Table32[ [#This Row],[Account Deposit Amount] ]-Table32[ [#This Row],[Account Withdrawl Amount] ], )</f>
        <v>0</v>
      </c>
      <c r="N88" s="89">
        <f>IF(Table32[[#This Row],[CODE]]=6, Table32[ [#This Row],[Account Deposit Amount] ]-Table32[ [#This Row],[Account Withdrawl Amount] ], )</f>
        <v>0</v>
      </c>
      <c r="O88" s="89">
        <f>IF(Table32[[#This Row],[CODE]]=11, Table32[ [#This Row],[Account Deposit Amount] ]-Table32[ [#This Row],[Account Withdrawl Amount] ], )</f>
        <v>0</v>
      </c>
      <c r="P88" s="89">
        <f>IF(Table32[[#This Row],[CODE]]=12, Table32[ [#This Row],[Account Deposit Amount] ]-Table32[ [#This Row],[Account Withdrawl Amount] ], )</f>
        <v>0</v>
      </c>
      <c r="Q88" s="89">
        <f>IF(Table32[[#This Row],[CODE]]=13, Table32[ [#This Row],[Account Deposit Amount] ]-Table32[ [#This Row],[Account Withdrawl Amount] ], )</f>
        <v>0</v>
      </c>
      <c r="R88" s="89">
        <f>IF(Table32[[#This Row],[CODE]]=14, Table32[ [#This Row],[Account Deposit Amount] ]-Table32[ [#This Row],[Account Withdrawl Amount] ], )</f>
        <v>0</v>
      </c>
      <c r="S88" s="89">
        <f>IF(Table32[[#This Row],[CODE]]=15, Table32[ [#This Row],[Account Deposit Amount] ]-Table32[ [#This Row],[Account Withdrawl Amount] ], )</f>
        <v>0</v>
      </c>
      <c r="T88" s="89">
        <f>IF(Table32[[#This Row],[CODE]]=16, Table32[ [#This Row],[Account Deposit Amount] ]-Table32[ [#This Row],[Account Withdrawl Amount] ], )</f>
        <v>0</v>
      </c>
      <c r="U88" s="38">
        <f>IF(Table32[[#This Row],[CODE]]=17, Table32[ [#This Row],[Account Deposit Amount] ]-Table32[ [#This Row],[Account Withdrawl Amount] ], )</f>
        <v>0</v>
      </c>
      <c r="V88" s="38">
        <f>IF(Table32[[#This Row],[CODE]]=17, Table32[ [#This Row],[Account Deposit Amount] ]-Table32[ [#This Row],[Account Withdrawl Amount] ], )</f>
        <v>0</v>
      </c>
    </row>
    <row r="89" spans="1:22" ht="12.6" thickBot="1">
      <c r="A89" s="23"/>
      <c r="B89" s="24"/>
      <c r="C89" s="23"/>
      <c r="D89" s="25"/>
      <c r="E89" s="79"/>
      <c r="F89" s="79"/>
      <c r="G89" s="82">
        <f t="shared" si="5"/>
        <v>99.489999999999782</v>
      </c>
      <c r="H89" s="23"/>
      <c r="I89" s="38">
        <f>IF(Table32[[#This Row],[CODE]]=1, Table32[ [#This Row],[Account Deposit Amount] ]-Table32[ [#This Row],[Account Withdrawl Amount] ], )</f>
        <v>0</v>
      </c>
      <c r="J89" s="88">
        <f>IF(Table32[[#This Row],[CODE]]=2, Table32[ [#This Row],[Account Deposit Amount] ]-Table32[ [#This Row],[Account Withdrawl Amount] ], )</f>
        <v>0</v>
      </c>
      <c r="K89" s="88">
        <f>IF(Table32[[#This Row],[CODE]]=3, Table32[ [#This Row],[Account Deposit Amount] ]-Table32[ [#This Row],[Account Withdrawl Amount] ], )</f>
        <v>0</v>
      </c>
      <c r="L89" s="89">
        <f>IF(Table32[[#This Row],[CODE]]=4, Table32[ [#This Row],[Account Deposit Amount] ]-Table32[ [#This Row],[Account Withdrawl Amount] ], )</f>
        <v>0</v>
      </c>
      <c r="M89" s="89">
        <f>IF(Table32[[#This Row],[CODE]]=5, Table32[ [#This Row],[Account Deposit Amount] ]-Table32[ [#This Row],[Account Withdrawl Amount] ], )</f>
        <v>0</v>
      </c>
      <c r="N89" s="89">
        <f>IF(Table32[[#This Row],[CODE]]=6, Table32[ [#This Row],[Account Deposit Amount] ]-Table32[ [#This Row],[Account Withdrawl Amount] ], )</f>
        <v>0</v>
      </c>
      <c r="O89" s="89">
        <f>IF(Table32[[#This Row],[CODE]]=11, Table32[ [#This Row],[Account Deposit Amount] ]-Table32[ [#This Row],[Account Withdrawl Amount] ], )</f>
        <v>0</v>
      </c>
      <c r="P89" s="89">
        <f>IF(Table32[[#This Row],[CODE]]=12, Table32[ [#This Row],[Account Deposit Amount] ]-Table32[ [#This Row],[Account Withdrawl Amount] ], )</f>
        <v>0</v>
      </c>
      <c r="Q89" s="89">
        <f>IF(Table32[[#This Row],[CODE]]=13, Table32[ [#This Row],[Account Deposit Amount] ]-Table32[ [#This Row],[Account Withdrawl Amount] ], )</f>
        <v>0</v>
      </c>
      <c r="R89" s="89">
        <f>IF(Table32[[#This Row],[CODE]]=14, Table32[ [#This Row],[Account Deposit Amount] ]-Table32[ [#This Row],[Account Withdrawl Amount] ], )</f>
        <v>0</v>
      </c>
      <c r="S89" s="89">
        <f>IF(Table32[[#This Row],[CODE]]=15, Table32[ [#This Row],[Account Deposit Amount] ]-Table32[ [#This Row],[Account Withdrawl Amount] ], )</f>
        <v>0</v>
      </c>
      <c r="T89" s="89">
        <f>IF(Table32[[#This Row],[CODE]]=16, Table32[ [#This Row],[Account Deposit Amount] ]-Table32[ [#This Row],[Account Withdrawl Amount] ], )</f>
        <v>0</v>
      </c>
      <c r="U89" s="38">
        <f>IF(Table32[[#This Row],[CODE]]=17, Table32[ [#This Row],[Account Deposit Amount] ]-Table32[ [#This Row],[Account Withdrawl Amount] ], )</f>
        <v>0</v>
      </c>
      <c r="V89" s="38">
        <f>IF(Table32[[#This Row],[CODE]]=17, Table32[ [#This Row],[Account Deposit Amount] ]-Table32[ [#This Row],[Account Withdrawl Amount] ], )</f>
        <v>0</v>
      </c>
    </row>
    <row r="90" spans="1:22" ht="12.6" thickBot="1">
      <c r="A90" s="23"/>
      <c r="B90" s="24"/>
      <c r="C90" s="23"/>
      <c r="D90" s="25"/>
      <c r="E90" s="79"/>
      <c r="F90" s="79"/>
      <c r="G90" s="82">
        <f t="shared" si="5"/>
        <v>99.489999999999782</v>
      </c>
      <c r="H90" s="23"/>
      <c r="I90" s="38">
        <f>IF(Table32[[#This Row],[CODE]]=1, Table32[ [#This Row],[Account Deposit Amount] ]-Table32[ [#This Row],[Account Withdrawl Amount] ], )</f>
        <v>0</v>
      </c>
      <c r="J90" s="88">
        <f>IF(Table32[[#This Row],[CODE]]=2, Table32[ [#This Row],[Account Deposit Amount] ]-Table32[ [#This Row],[Account Withdrawl Amount] ], )</f>
        <v>0</v>
      </c>
      <c r="K90" s="88">
        <f>IF(Table32[[#This Row],[CODE]]=3, Table32[ [#This Row],[Account Deposit Amount] ]-Table32[ [#This Row],[Account Withdrawl Amount] ], )</f>
        <v>0</v>
      </c>
      <c r="L90" s="89">
        <f>IF(Table32[[#This Row],[CODE]]=4, Table32[ [#This Row],[Account Deposit Amount] ]-Table32[ [#This Row],[Account Withdrawl Amount] ], )</f>
        <v>0</v>
      </c>
      <c r="M90" s="89">
        <f>IF(Table32[[#This Row],[CODE]]=5, Table32[ [#This Row],[Account Deposit Amount] ]-Table32[ [#This Row],[Account Withdrawl Amount] ], )</f>
        <v>0</v>
      </c>
      <c r="N90" s="89">
        <f>IF(Table32[[#This Row],[CODE]]=6, Table32[ [#This Row],[Account Deposit Amount] ]-Table32[ [#This Row],[Account Withdrawl Amount] ], )</f>
        <v>0</v>
      </c>
      <c r="O90" s="89">
        <f>IF(Table32[[#This Row],[CODE]]=11, Table32[ [#This Row],[Account Deposit Amount] ]-Table32[ [#This Row],[Account Withdrawl Amount] ], )</f>
        <v>0</v>
      </c>
      <c r="P90" s="89">
        <f>IF(Table32[[#This Row],[CODE]]=12, Table32[ [#This Row],[Account Deposit Amount] ]-Table32[ [#This Row],[Account Withdrawl Amount] ], )</f>
        <v>0</v>
      </c>
      <c r="Q90" s="89">
        <f>IF(Table32[[#This Row],[CODE]]=13, Table32[ [#This Row],[Account Deposit Amount] ]-Table32[ [#This Row],[Account Withdrawl Amount] ], )</f>
        <v>0</v>
      </c>
      <c r="R90" s="89">
        <f>IF(Table32[[#This Row],[CODE]]=14, Table32[ [#This Row],[Account Deposit Amount] ]-Table32[ [#This Row],[Account Withdrawl Amount] ], )</f>
        <v>0</v>
      </c>
      <c r="S90" s="89">
        <f>IF(Table32[[#This Row],[CODE]]=15, Table32[ [#This Row],[Account Deposit Amount] ]-Table32[ [#This Row],[Account Withdrawl Amount] ], )</f>
        <v>0</v>
      </c>
      <c r="T90" s="89">
        <f>IF(Table32[[#This Row],[CODE]]=16, Table32[ [#This Row],[Account Deposit Amount] ]-Table32[ [#This Row],[Account Withdrawl Amount] ], )</f>
        <v>0</v>
      </c>
      <c r="U90" s="38">
        <f>IF(Table32[[#This Row],[CODE]]=17, Table32[ [#This Row],[Account Deposit Amount] ]-Table32[ [#This Row],[Account Withdrawl Amount] ], )</f>
        <v>0</v>
      </c>
      <c r="V90" s="38">
        <f>IF(Table32[[#This Row],[CODE]]=17, Table32[ [#This Row],[Account Deposit Amount] ]-Table32[ [#This Row],[Account Withdrawl Amount] ], )</f>
        <v>0</v>
      </c>
    </row>
    <row r="91" spans="1:22" ht="12.6" thickBot="1">
      <c r="A91" s="23"/>
      <c r="B91" s="24"/>
      <c r="C91" s="23"/>
      <c r="D91" s="25"/>
      <c r="E91" s="79"/>
      <c r="F91" s="79"/>
      <c r="G91" s="82">
        <f t="shared" si="5"/>
        <v>99.489999999999782</v>
      </c>
      <c r="H91" s="23"/>
      <c r="I91" s="38">
        <f>IF(Table32[[#This Row],[CODE]]=1, Table32[ [#This Row],[Account Deposit Amount] ]-Table32[ [#This Row],[Account Withdrawl Amount] ], )</f>
        <v>0</v>
      </c>
      <c r="J91" s="88">
        <f>IF(Table32[[#This Row],[CODE]]=2, Table32[ [#This Row],[Account Deposit Amount] ]-Table32[ [#This Row],[Account Withdrawl Amount] ], )</f>
        <v>0</v>
      </c>
      <c r="K91" s="88">
        <f>IF(Table32[[#This Row],[CODE]]=3, Table32[ [#This Row],[Account Deposit Amount] ]-Table32[ [#This Row],[Account Withdrawl Amount] ], )</f>
        <v>0</v>
      </c>
      <c r="L91" s="89">
        <f>IF(Table32[[#This Row],[CODE]]=4, Table32[ [#This Row],[Account Deposit Amount] ]-Table32[ [#This Row],[Account Withdrawl Amount] ], )</f>
        <v>0</v>
      </c>
      <c r="M91" s="89">
        <f>IF(Table32[[#This Row],[CODE]]=5, Table32[ [#This Row],[Account Deposit Amount] ]-Table32[ [#This Row],[Account Withdrawl Amount] ], )</f>
        <v>0</v>
      </c>
      <c r="N91" s="89">
        <f>IF(Table32[[#This Row],[CODE]]=6, Table32[ [#This Row],[Account Deposit Amount] ]-Table32[ [#This Row],[Account Withdrawl Amount] ], )</f>
        <v>0</v>
      </c>
      <c r="O91" s="89">
        <f>IF(Table32[[#This Row],[CODE]]=11, Table32[ [#This Row],[Account Deposit Amount] ]-Table32[ [#This Row],[Account Withdrawl Amount] ], )</f>
        <v>0</v>
      </c>
      <c r="P91" s="89">
        <f>IF(Table32[[#This Row],[CODE]]=12, Table32[ [#This Row],[Account Deposit Amount] ]-Table32[ [#This Row],[Account Withdrawl Amount] ], )</f>
        <v>0</v>
      </c>
      <c r="Q91" s="89">
        <f>IF(Table32[[#This Row],[CODE]]=13, Table32[ [#This Row],[Account Deposit Amount] ]-Table32[ [#This Row],[Account Withdrawl Amount] ], )</f>
        <v>0</v>
      </c>
      <c r="R91" s="89">
        <f>IF(Table32[[#This Row],[CODE]]=14, Table32[ [#This Row],[Account Deposit Amount] ]-Table32[ [#This Row],[Account Withdrawl Amount] ], )</f>
        <v>0</v>
      </c>
      <c r="S91" s="89">
        <f>IF(Table32[[#This Row],[CODE]]=15, Table32[ [#This Row],[Account Deposit Amount] ]-Table32[ [#This Row],[Account Withdrawl Amount] ], )</f>
        <v>0</v>
      </c>
      <c r="T91" s="89">
        <f>IF(Table32[[#This Row],[CODE]]=16, Table32[ [#This Row],[Account Deposit Amount] ]-Table32[ [#This Row],[Account Withdrawl Amount] ], )</f>
        <v>0</v>
      </c>
      <c r="U91" s="38">
        <f>IF(Table32[[#This Row],[CODE]]=17, Table32[ [#This Row],[Account Deposit Amount] ]-Table32[ [#This Row],[Account Withdrawl Amount] ], )</f>
        <v>0</v>
      </c>
      <c r="V91" s="38">
        <f>IF(Table32[[#This Row],[CODE]]=17, Table32[ [#This Row],[Account Deposit Amount] ]-Table32[ [#This Row],[Account Withdrawl Amount] ], )</f>
        <v>0</v>
      </c>
    </row>
    <row r="92" spans="1:22" ht="12.6" thickBot="1">
      <c r="A92" s="23"/>
      <c r="B92" s="24"/>
      <c r="C92" s="23"/>
      <c r="D92" s="25"/>
      <c r="E92" s="79"/>
      <c r="F92" s="79"/>
      <c r="G92" s="82">
        <f t="shared" si="5"/>
        <v>99.489999999999782</v>
      </c>
      <c r="H92" s="23"/>
      <c r="I92" s="38">
        <f>IF(Table32[[#This Row],[CODE]]=1, Table32[ [#This Row],[Account Deposit Amount] ]-Table32[ [#This Row],[Account Withdrawl Amount] ], )</f>
        <v>0</v>
      </c>
      <c r="J92" s="88">
        <f>IF(Table32[[#This Row],[CODE]]=2, Table32[ [#This Row],[Account Deposit Amount] ]-Table32[ [#This Row],[Account Withdrawl Amount] ], )</f>
        <v>0</v>
      </c>
      <c r="K92" s="88">
        <f>IF(Table32[[#This Row],[CODE]]=3, Table32[ [#This Row],[Account Deposit Amount] ]-Table32[ [#This Row],[Account Withdrawl Amount] ], )</f>
        <v>0</v>
      </c>
      <c r="L92" s="89">
        <f>IF(Table32[[#This Row],[CODE]]=4, Table32[ [#This Row],[Account Deposit Amount] ]-Table32[ [#This Row],[Account Withdrawl Amount] ], )</f>
        <v>0</v>
      </c>
      <c r="M92" s="89">
        <f>IF(Table32[[#This Row],[CODE]]=5, Table32[ [#This Row],[Account Deposit Amount] ]-Table32[ [#This Row],[Account Withdrawl Amount] ], )</f>
        <v>0</v>
      </c>
      <c r="N92" s="89">
        <f>IF(Table32[[#This Row],[CODE]]=6, Table32[ [#This Row],[Account Deposit Amount] ]-Table32[ [#This Row],[Account Withdrawl Amount] ], )</f>
        <v>0</v>
      </c>
      <c r="O92" s="89">
        <f>IF(Table32[[#This Row],[CODE]]=11, Table32[ [#This Row],[Account Deposit Amount] ]-Table32[ [#This Row],[Account Withdrawl Amount] ], )</f>
        <v>0</v>
      </c>
      <c r="P92" s="89">
        <f>IF(Table32[[#This Row],[CODE]]=12, Table32[ [#This Row],[Account Deposit Amount] ]-Table32[ [#This Row],[Account Withdrawl Amount] ], )</f>
        <v>0</v>
      </c>
      <c r="Q92" s="89">
        <f>IF(Table32[[#This Row],[CODE]]=13, Table32[ [#This Row],[Account Deposit Amount] ]-Table32[ [#This Row],[Account Withdrawl Amount] ], )</f>
        <v>0</v>
      </c>
      <c r="R92" s="89">
        <f>IF(Table32[[#This Row],[CODE]]=14, Table32[ [#This Row],[Account Deposit Amount] ]-Table32[ [#This Row],[Account Withdrawl Amount] ], )</f>
        <v>0</v>
      </c>
      <c r="S92" s="89">
        <f>IF(Table32[[#This Row],[CODE]]=15, Table32[ [#This Row],[Account Deposit Amount] ]-Table32[ [#This Row],[Account Withdrawl Amount] ], )</f>
        <v>0</v>
      </c>
      <c r="T92" s="89">
        <f>IF(Table32[[#This Row],[CODE]]=16, Table32[ [#This Row],[Account Deposit Amount] ]-Table32[ [#This Row],[Account Withdrawl Amount] ], )</f>
        <v>0</v>
      </c>
      <c r="U92" s="38">
        <f>IF(Table32[[#This Row],[CODE]]=17, Table32[ [#This Row],[Account Deposit Amount] ]-Table32[ [#This Row],[Account Withdrawl Amount] ], )</f>
        <v>0</v>
      </c>
      <c r="V92" s="38">
        <f>IF(Table32[[#This Row],[CODE]]=17, Table32[ [#This Row],[Account Deposit Amount] ]-Table32[ [#This Row],[Account Withdrawl Amount] ], )</f>
        <v>0</v>
      </c>
    </row>
    <row r="93" spans="1:22" ht="12.6" thickBot="1">
      <c r="A93" s="23"/>
      <c r="B93" s="24"/>
      <c r="C93" s="23"/>
      <c r="D93" s="25"/>
      <c r="E93" s="79"/>
      <c r="F93" s="79"/>
      <c r="G93" s="82">
        <f t="shared" si="5"/>
        <v>99.489999999999782</v>
      </c>
      <c r="H93" s="23"/>
      <c r="I93" s="38">
        <f>IF(Table32[[#This Row],[CODE]]=1, Table32[ [#This Row],[Account Deposit Amount] ]-Table32[ [#This Row],[Account Withdrawl Amount] ], )</f>
        <v>0</v>
      </c>
      <c r="J93" s="88">
        <f>IF(Table32[[#This Row],[CODE]]=2, Table32[ [#This Row],[Account Deposit Amount] ]-Table32[ [#This Row],[Account Withdrawl Amount] ], )</f>
        <v>0</v>
      </c>
      <c r="K93" s="88">
        <f>IF(Table32[[#This Row],[CODE]]=3, Table32[ [#This Row],[Account Deposit Amount] ]-Table32[ [#This Row],[Account Withdrawl Amount] ], )</f>
        <v>0</v>
      </c>
      <c r="L93" s="89">
        <f>IF(Table32[[#This Row],[CODE]]=4, Table32[ [#This Row],[Account Deposit Amount] ]-Table32[ [#This Row],[Account Withdrawl Amount] ], )</f>
        <v>0</v>
      </c>
      <c r="M93" s="89">
        <f>IF(Table32[[#This Row],[CODE]]=5, Table32[ [#This Row],[Account Deposit Amount] ]-Table32[ [#This Row],[Account Withdrawl Amount] ], )</f>
        <v>0</v>
      </c>
      <c r="N93" s="89">
        <f>IF(Table32[[#This Row],[CODE]]=6, Table32[ [#This Row],[Account Deposit Amount] ]-Table32[ [#This Row],[Account Withdrawl Amount] ], )</f>
        <v>0</v>
      </c>
      <c r="O93" s="89">
        <f>IF(Table32[[#This Row],[CODE]]=11, Table32[ [#This Row],[Account Deposit Amount] ]-Table32[ [#This Row],[Account Withdrawl Amount] ], )</f>
        <v>0</v>
      </c>
      <c r="P93" s="89">
        <f>IF(Table32[[#This Row],[CODE]]=12, Table32[ [#This Row],[Account Deposit Amount] ]-Table32[ [#This Row],[Account Withdrawl Amount] ], )</f>
        <v>0</v>
      </c>
      <c r="Q93" s="89">
        <f>IF(Table32[[#This Row],[CODE]]=13, Table32[ [#This Row],[Account Deposit Amount] ]-Table32[ [#This Row],[Account Withdrawl Amount] ], )</f>
        <v>0</v>
      </c>
      <c r="R93" s="89">
        <f>IF(Table32[[#This Row],[CODE]]=14, Table32[ [#This Row],[Account Deposit Amount] ]-Table32[ [#This Row],[Account Withdrawl Amount] ], )</f>
        <v>0</v>
      </c>
      <c r="S93" s="89">
        <f>IF(Table32[[#This Row],[CODE]]=15, Table32[ [#This Row],[Account Deposit Amount] ]-Table32[ [#This Row],[Account Withdrawl Amount] ], )</f>
        <v>0</v>
      </c>
      <c r="T93" s="89">
        <f>IF(Table32[[#This Row],[CODE]]=16, Table32[ [#This Row],[Account Deposit Amount] ]-Table32[ [#This Row],[Account Withdrawl Amount] ], )</f>
        <v>0</v>
      </c>
      <c r="U93" s="38">
        <f>IF(Table32[[#This Row],[CODE]]=17, Table32[ [#This Row],[Account Deposit Amount] ]-Table32[ [#This Row],[Account Withdrawl Amount] ], )</f>
        <v>0</v>
      </c>
      <c r="V93" s="38">
        <f>IF(Table32[[#This Row],[CODE]]=17, Table32[ [#This Row],[Account Deposit Amount] ]-Table32[ [#This Row],[Account Withdrawl Amount] ], )</f>
        <v>0</v>
      </c>
    </row>
    <row r="94" spans="1:22" ht="12.6" thickBot="1">
      <c r="A94" s="23"/>
      <c r="B94" s="24"/>
      <c r="C94" s="23"/>
      <c r="D94" s="25"/>
      <c r="E94" s="79"/>
      <c r="F94" s="79"/>
      <c r="G94" s="82">
        <f t="shared" si="5"/>
        <v>99.489999999999782</v>
      </c>
      <c r="H94" s="23"/>
      <c r="I94" s="38">
        <f>IF(Table32[[#This Row],[CODE]]=1, Table32[ [#This Row],[Account Deposit Amount] ]-Table32[ [#This Row],[Account Withdrawl Amount] ], )</f>
        <v>0</v>
      </c>
      <c r="J94" s="88">
        <f>IF(Table32[[#This Row],[CODE]]=2, Table32[ [#This Row],[Account Deposit Amount] ]-Table32[ [#This Row],[Account Withdrawl Amount] ], )</f>
        <v>0</v>
      </c>
      <c r="K94" s="88">
        <f>IF(Table32[[#This Row],[CODE]]=3, Table32[ [#This Row],[Account Deposit Amount] ]-Table32[ [#This Row],[Account Withdrawl Amount] ], )</f>
        <v>0</v>
      </c>
      <c r="L94" s="89">
        <f>IF(Table32[[#This Row],[CODE]]=4, Table32[ [#This Row],[Account Deposit Amount] ]-Table32[ [#This Row],[Account Withdrawl Amount] ], )</f>
        <v>0</v>
      </c>
      <c r="M94" s="89">
        <f>IF(Table32[[#This Row],[CODE]]=5, Table32[ [#This Row],[Account Deposit Amount] ]-Table32[ [#This Row],[Account Withdrawl Amount] ], )</f>
        <v>0</v>
      </c>
      <c r="N94" s="89">
        <f>IF(Table32[[#This Row],[CODE]]=6, Table32[ [#This Row],[Account Deposit Amount] ]-Table32[ [#This Row],[Account Withdrawl Amount] ], )</f>
        <v>0</v>
      </c>
      <c r="O94" s="89">
        <f>IF(Table32[[#This Row],[CODE]]=11, Table32[ [#This Row],[Account Deposit Amount] ]-Table32[ [#This Row],[Account Withdrawl Amount] ], )</f>
        <v>0</v>
      </c>
      <c r="P94" s="89">
        <f>IF(Table32[[#This Row],[CODE]]=12, Table32[ [#This Row],[Account Deposit Amount] ]-Table32[ [#This Row],[Account Withdrawl Amount] ], )</f>
        <v>0</v>
      </c>
      <c r="Q94" s="89">
        <f>IF(Table32[[#This Row],[CODE]]=13, Table32[ [#This Row],[Account Deposit Amount] ]-Table32[ [#This Row],[Account Withdrawl Amount] ], )</f>
        <v>0</v>
      </c>
      <c r="R94" s="89">
        <f>IF(Table32[[#This Row],[CODE]]=14, Table32[ [#This Row],[Account Deposit Amount] ]-Table32[ [#This Row],[Account Withdrawl Amount] ], )</f>
        <v>0</v>
      </c>
      <c r="S94" s="89">
        <f>IF(Table32[[#This Row],[CODE]]=15, Table32[ [#This Row],[Account Deposit Amount] ]-Table32[ [#This Row],[Account Withdrawl Amount] ], )</f>
        <v>0</v>
      </c>
      <c r="T94" s="89">
        <f>IF(Table32[[#This Row],[CODE]]=16, Table32[ [#This Row],[Account Deposit Amount] ]-Table32[ [#This Row],[Account Withdrawl Amount] ], )</f>
        <v>0</v>
      </c>
      <c r="U94" s="38">
        <f>IF(Table32[[#This Row],[CODE]]=17, Table32[ [#This Row],[Account Deposit Amount] ]-Table32[ [#This Row],[Account Withdrawl Amount] ], )</f>
        <v>0</v>
      </c>
      <c r="V94" s="38">
        <f>IF(Table32[[#This Row],[CODE]]=17, Table32[ [#This Row],[Account Deposit Amount] ]-Table32[ [#This Row],[Account Withdrawl Amount] ], )</f>
        <v>0</v>
      </c>
    </row>
    <row r="95" spans="1:22" ht="12.6" thickBot="1">
      <c r="A95" s="23"/>
      <c r="B95" s="24"/>
      <c r="C95" s="23"/>
      <c r="D95" s="25"/>
      <c r="E95" s="79"/>
      <c r="F95" s="79"/>
      <c r="G95" s="82">
        <f t="shared" si="5"/>
        <v>99.489999999999782</v>
      </c>
      <c r="H95" s="23"/>
      <c r="I95" s="38">
        <f>IF(Table32[[#This Row],[CODE]]=1, Table32[ [#This Row],[Account Deposit Amount] ]-Table32[ [#This Row],[Account Withdrawl Amount] ], )</f>
        <v>0</v>
      </c>
      <c r="J95" s="88">
        <f>IF(Table32[[#This Row],[CODE]]=2, Table32[ [#This Row],[Account Deposit Amount] ]-Table32[ [#This Row],[Account Withdrawl Amount] ], )</f>
        <v>0</v>
      </c>
      <c r="K95" s="88">
        <f>IF(Table32[[#This Row],[CODE]]=3, Table32[ [#This Row],[Account Deposit Amount] ]-Table32[ [#This Row],[Account Withdrawl Amount] ], )</f>
        <v>0</v>
      </c>
      <c r="L95" s="89">
        <f>IF(Table32[[#This Row],[CODE]]=4, Table32[ [#This Row],[Account Deposit Amount] ]-Table32[ [#This Row],[Account Withdrawl Amount] ], )</f>
        <v>0</v>
      </c>
      <c r="M95" s="89">
        <f>IF(Table32[[#This Row],[CODE]]=5, Table32[ [#This Row],[Account Deposit Amount] ]-Table32[ [#This Row],[Account Withdrawl Amount] ], )</f>
        <v>0</v>
      </c>
      <c r="N95" s="89">
        <f>IF(Table32[[#This Row],[CODE]]=6, Table32[ [#This Row],[Account Deposit Amount] ]-Table32[ [#This Row],[Account Withdrawl Amount] ], )</f>
        <v>0</v>
      </c>
      <c r="O95" s="89">
        <f>IF(Table32[[#This Row],[CODE]]=11, Table32[ [#This Row],[Account Deposit Amount] ]-Table32[ [#This Row],[Account Withdrawl Amount] ], )</f>
        <v>0</v>
      </c>
      <c r="P95" s="89">
        <f>IF(Table32[[#This Row],[CODE]]=12, Table32[ [#This Row],[Account Deposit Amount] ]-Table32[ [#This Row],[Account Withdrawl Amount] ], )</f>
        <v>0</v>
      </c>
      <c r="Q95" s="89">
        <f>IF(Table32[[#This Row],[CODE]]=13, Table32[ [#This Row],[Account Deposit Amount] ]-Table32[ [#This Row],[Account Withdrawl Amount] ], )</f>
        <v>0</v>
      </c>
      <c r="R95" s="89">
        <f>IF(Table32[[#This Row],[CODE]]=14, Table32[ [#This Row],[Account Deposit Amount] ]-Table32[ [#This Row],[Account Withdrawl Amount] ], )</f>
        <v>0</v>
      </c>
      <c r="S95" s="89">
        <f>IF(Table32[[#This Row],[CODE]]=15, Table32[ [#This Row],[Account Deposit Amount] ]-Table32[ [#This Row],[Account Withdrawl Amount] ], )</f>
        <v>0</v>
      </c>
      <c r="T95" s="89">
        <f>IF(Table32[[#This Row],[CODE]]=16, Table32[ [#This Row],[Account Deposit Amount] ]-Table32[ [#This Row],[Account Withdrawl Amount] ], )</f>
        <v>0</v>
      </c>
      <c r="U95" s="38">
        <f>IF(Table32[[#This Row],[CODE]]=17, Table32[ [#This Row],[Account Deposit Amount] ]-Table32[ [#This Row],[Account Withdrawl Amount] ], )</f>
        <v>0</v>
      </c>
      <c r="V95" s="38">
        <f>IF(Table32[[#This Row],[CODE]]=17, Table32[ [#This Row],[Account Deposit Amount] ]-Table32[ [#This Row],[Account Withdrawl Amount] ], )</f>
        <v>0</v>
      </c>
    </row>
    <row r="96" spans="1:22" ht="12.6" thickBot="1">
      <c r="A96" s="23"/>
      <c r="B96" s="24"/>
      <c r="C96" s="23"/>
      <c r="D96" s="25"/>
      <c r="E96" s="79"/>
      <c r="F96" s="79"/>
      <c r="G96" s="82">
        <f t="shared" si="5"/>
        <v>99.489999999999782</v>
      </c>
      <c r="H96" s="23"/>
      <c r="I96" s="38">
        <f>IF(Table32[[#This Row],[CODE]]=1, Table32[ [#This Row],[Account Deposit Amount] ]-Table32[ [#This Row],[Account Withdrawl Amount] ], )</f>
        <v>0</v>
      </c>
      <c r="J96" s="88">
        <f>IF(Table32[[#This Row],[CODE]]=2, Table32[ [#This Row],[Account Deposit Amount] ]-Table32[ [#This Row],[Account Withdrawl Amount] ], )</f>
        <v>0</v>
      </c>
      <c r="K96" s="88">
        <f>IF(Table32[[#This Row],[CODE]]=3, Table32[ [#This Row],[Account Deposit Amount] ]-Table32[ [#This Row],[Account Withdrawl Amount] ], )</f>
        <v>0</v>
      </c>
      <c r="L96" s="89">
        <f>IF(Table32[[#This Row],[CODE]]=4, Table32[ [#This Row],[Account Deposit Amount] ]-Table32[ [#This Row],[Account Withdrawl Amount] ], )</f>
        <v>0</v>
      </c>
      <c r="M96" s="89">
        <f>IF(Table32[[#This Row],[CODE]]=5, Table32[ [#This Row],[Account Deposit Amount] ]-Table32[ [#This Row],[Account Withdrawl Amount] ], )</f>
        <v>0</v>
      </c>
      <c r="N96" s="89">
        <f>IF(Table32[[#This Row],[CODE]]=6, Table32[ [#This Row],[Account Deposit Amount] ]-Table32[ [#This Row],[Account Withdrawl Amount] ], )</f>
        <v>0</v>
      </c>
      <c r="O96" s="89">
        <f>IF(Table32[[#This Row],[CODE]]=11, Table32[ [#This Row],[Account Deposit Amount] ]-Table32[ [#This Row],[Account Withdrawl Amount] ], )</f>
        <v>0</v>
      </c>
      <c r="P96" s="89">
        <f>IF(Table32[[#This Row],[CODE]]=12, Table32[ [#This Row],[Account Deposit Amount] ]-Table32[ [#This Row],[Account Withdrawl Amount] ], )</f>
        <v>0</v>
      </c>
      <c r="Q96" s="89">
        <f>IF(Table32[[#This Row],[CODE]]=13, Table32[ [#This Row],[Account Deposit Amount] ]-Table32[ [#This Row],[Account Withdrawl Amount] ], )</f>
        <v>0</v>
      </c>
      <c r="R96" s="89">
        <f>IF(Table32[[#This Row],[CODE]]=14, Table32[ [#This Row],[Account Deposit Amount] ]-Table32[ [#This Row],[Account Withdrawl Amount] ], )</f>
        <v>0</v>
      </c>
      <c r="S96" s="89">
        <f>IF(Table32[[#This Row],[CODE]]=15, Table32[ [#This Row],[Account Deposit Amount] ]-Table32[ [#This Row],[Account Withdrawl Amount] ], )</f>
        <v>0</v>
      </c>
      <c r="T96" s="89">
        <f>IF(Table32[[#This Row],[CODE]]=16, Table32[ [#This Row],[Account Deposit Amount] ]-Table32[ [#This Row],[Account Withdrawl Amount] ], )</f>
        <v>0</v>
      </c>
      <c r="U96" s="38">
        <f>IF(Table32[[#This Row],[CODE]]=17, Table32[ [#This Row],[Account Deposit Amount] ]-Table32[ [#This Row],[Account Withdrawl Amount] ], )</f>
        <v>0</v>
      </c>
      <c r="V96" s="38">
        <f>IF(Table32[[#This Row],[CODE]]=17, Table32[ [#This Row],[Account Deposit Amount] ]-Table32[ [#This Row],[Account Withdrawl Amount] ], )</f>
        <v>0</v>
      </c>
    </row>
    <row r="97" spans="1:22" ht="12.6" thickBot="1">
      <c r="A97" s="23"/>
      <c r="B97" s="24"/>
      <c r="C97" s="23"/>
      <c r="D97" s="25"/>
      <c r="E97" s="79"/>
      <c r="F97" s="79"/>
      <c r="G97" s="82">
        <f t="shared" si="5"/>
        <v>99.489999999999782</v>
      </c>
      <c r="H97" s="23"/>
      <c r="I97" s="38">
        <f>IF(Table32[[#This Row],[CODE]]=1, Table32[ [#This Row],[Account Deposit Amount] ]-Table32[ [#This Row],[Account Withdrawl Amount] ], )</f>
        <v>0</v>
      </c>
      <c r="J97" s="88">
        <f>IF(Table32[[#This Row],[CODE]]=2, Table32[ [#This Row],[Account Deposit Amount] ]-Table32[ [#This Row],[Account Withdrawl Amount] ], )</f>
        <v>0</v>
      </c>
      <c r="K97" s="88">
        <f>IF(Table32[[#This Row],[CODE]]=3, Table32[ [#This Row],[Account Deposit Amount] ]-Table32[ [#This Row],[Account Withdrawl Amount] ], )</f>
        <v>0</v>
      </c>
      <c r="L97" s="89">
        <f>IF(Table32[[#This Row],[CODE]]=4, Table32[ [#This Row],[Account Deposit Amount] ]-Table32[ [#This Row],[Account Withdrawl Amount] ], )</f>
        <v>0</v>
      </c>
      <c r="M97" s="89">
        <f>IF(Table32[[#This Row],[CODE]]=5, Table32[ [#This Row],[Account Deposit Amount] ]-Table32[ [#This Row],[Account Withdrawl Amount] ], )</f>
        <v>0</v>
      </c>
      <c r="N97" s="89">
        <f>IF(Table32[[#This Row],[CODE]]=6, Table32[ [#This Row],[Account Deposit Amount] ]-Table32[ [#This Row],[Account Withdrawl Amount] ], )</f>
        <v>0</v>
      </c>
      <c r="O97" s="89">
        <f>IF(Table32[[#This Row],[CODE]]=11, Table32[ [#This Row],[Account Deposit Amount] ]-Table32[ [#This Row],[Account Withdrawl Amount] ], )</f>
        <v>0</v>
      </c>
      <c r="P97" s="89">
        <f>IF(Table32[[#This Row],[CODE]]=12, Table32[ [#This Row],[Account Deposit Amount] ]-Table32[ [#This Row],[Account Withdrawl Amount] ], )</f>
        <v>0</v>
      </c>
      <c r="Q97" s="89">
        <f>IF(Table32[[#This Row],[CODE]]=13, Table32[ [#This Row],[Account Deposit Amount] ]-Table32[ [#This Row],[Account Withdrawl Amount] ], )</f>
        <v>0</v>
      </c>
      <c r="R97" s="89">
        <f>IF(Table32[[#This Row],[CODE]]=14, Table32[ [#This Row],[Account Deposit Amount] ]-Table32[ [#This Row],[Account Withdrawl Amount] ], )</f>
        <v>0</v>
      </c>
      <c r="S97" s="89">
        <f>IF(Table32[[#This Row],[CODE]]=15, Table32[ [#This Row],[Account Deposit Amount] ]-Table32[ [#This Row],[Account Withdrawl Amount] ], )</f>
        <v>0</v>
      </c>
      <c r="T97" s="89">
        <f>IF(Table32[[#This Row],[CODE]]=16, Table32[ [#This Row],[Account Deposit Amount] ]-Table32[ [#This Row],[Account Withdrawl Amount] ], )</f>
        <v>0</v>
      </c>
      <c r="U97" s="38">
        <f>IF(Table32[[#This Row],[CODE]]=17, Table32[ [#This Row],[Account Deposit Amount] ]-Table32[ [#This Row],[Account Withdrawl Amount] ], )</f>
        <v>0</v>
      </c>
      <c r="V97" s="38">
        <f>IF(Table32[[#This Row],[CODE]]=17, Table32[ [#This Row],[Account Deposit Amount] ]-Table32[ [#This Row],[Account Withdrawl Amount] ], )</f>
        <v>0</v>
      </c>
    </row>
    <row r="98" spans="1:22" ht="12.6" thickBot="1">
      <c r="A98" s="23"/>
      <c r="B98" s="24"/>
      <c r="C98" s="23"/>
      <c r="D98" s="25"/>
      <c r="E98" s="79"/>
      <c r="F98" s="79"/>
      <c r="G98" s="82">
        <f t="shared" si="5"/>
        <v>99.489999999999782</v>
      </c>
      <c r="H98" s="23"/>
      <c r="I98" s="38">
        <f>IF(Table32[[#This Row],[CODE]]=1, Table32[ [#This Row],[Account Deposit Amount] ]-Table32[ [#This Row],[Account Withdrawl Amount] ], )</f>
        <v>0</v>
      </c>
      <c r="J98" s="88">
        <f>IF(Table32[[#This Row],[CODE]]=2, Table32[ [#This Row],[Account Deposit Amount] ]-Table32[ [#This Row],[Account Withdrawl Amount] ], )</f>
        <v>0</v>
      </c>
      <c r="K98" s="88">
        <f>IF(Table32[[#This Row],[CODE]]=3, Table32[ [#This Row],[Account Deposit Amount] ]-Table32[ [#This Row],[Account Withdrawl Amount] ], )</f>
        <v>0</v>
      </c>
      <c r="L98" s="89">
        <f>IF(Table32[[#This Row],[CODE]]=4, Table32[ [#This Row],[Account Deposit Amount] ]-Table32[ [#This Row],[Account Withdrawl Amount] ], )</f>
        <v>0</v>
      </c>
      <c r="M98" s="89">
        <f>IF(Table32[[#This Row],[CODE]]=5, Table32[ [#This Row],[Account Deposit Amount] ]-Table32[ [#This Row],[Account Withdrawl Amount] ], )</f>
        <v>0</v>
      </c>
      <c r="N98" s="89">
        <f>IF(Table32[[#This Row],[CODE]]=6, Table32[ [#This Row],[Account Deposit Amount] ]-Table32[ [#This Row],[Account Withdrawl Amount] ], )</f>
        <v>0</v>
      </c>
      <c r="O98" s="89">
        <f>IF(Table32[[#This Row],[CODE]]=11, Table32[ [#This Row],[Account Deposit Amount] ]-Table32[ [#This Row],[Account Withdrawl Amount] ], )</f>
        <v>0</v>
      </c>
      <c r="P98" s="89">
        <f>IF(Table32[[#This Row],[CODE]]=12, Table32[ [#This Row],[Account Deposit Amount] ]-Table32[ [#This Row],[Account Withdrawl Amount] ], )</f>
        <v>0</v>
      </c>
      <c r="Q98" s="89">
        <f>IF(Table32[[#This Row],[CODE]]=13, Table32[ [#This Row],[Account Deposit Amount] ]-Table32[ [#This Row],[Account Withdrawl Amount] ], )</f>
        <v>0</v>
      </c>
      <c r="R98" s="89">
        <f>IF(Table32[[#This Row],[CODE]]=14, Table32[ [#This Row],[Account Deposit Amount] ]-Table32[ [#This Row],[Account Withdrawl Amount] ], )</f>
        <v>0</v>
      </c>
      <c r="S98" s="89">
        <f>IF(Table32[[#This Row],[CODE]]=15, Table32[ [#This Row],[Account Deposit Amount] ]-Table32[ [#This Row],[Account Withdrawl Amount] ], )</f>
        <v>0</v>
      </c>
      <c r="T98" s="89">
        <f>IF(Table32[[#This Row],[CODE]]=16, Table32[ [#This Row],[Account Deposit Amount] ]-Table32[ [#This Row],[Account Withdrawl Amount] ], )</f>
        <v>0</v>
      </c>
      <c r="U98" s="38">
        <f>IF(Table32[[#This Row],[CODE]]=17, Table32[ [#This Row],[Account Deposit Amount] ]-Table32[ [#This Row],[Account Withdrawl Amount] ], )</f>
        <v>0</v>
      </c>
      <c r="V98" s="38">
        <f>IF(Table32[[#This Row],[CODE]]=17, Table32[ [#This Row],[Account Deposit Amount] ]-Table32[ [#This Row],[Account Withdrawl Amount] ], )</f>
        <v>0</v>
      </c>
    </row>
    <row r="99" spans="1:22" ht="12.6" thickBot="1">
      <c r="A99" s="23"/>
      <c r="B99" s="24"/>
      <c r="C99" s="23"/>
      <c r="D99" s="25"/>
      <c r="E99" s="79"/>
      <c r="F99" s="79"/>
      <c r="G99" s="82">
        <f t="shared" si="5"/>
        <v>99.489999999999782</v>
      </c>
      <c r="H99" s="23"/>
      <c r="I99" s="38">
        <f>IF(Table32[[#This Row],[CODE]]=1, Table32[ [#This Row],[Account Deposit Amount] ]-Table32[ [#This Row],[Account Withdrawl Amount] ], )</f>
        <v>0</v>
      </c>
      <c r="J99" s="88">
        <f>IF(Table32[[#This Row],[CODE]]=2, Table32[ [#This Row],[Account Deposit Amount] ]-Table32[ [#This Row],[Account Withdrawl Amount] ], )</f>
        <v>0</v>
      </c>
      <c r="K99" s="88">
        <f>IF(Table32[[#This Row],[CODE]]=3, Table32[ [#This Row],[Account Deposit Amount] ]-Table32[ [#This Row],[Account Withdrawl Amount] ], )</f>
        <v>0</v>
      </c>
      <c r="L99" s="89">
        <f>IF(Table32[[#This Row],[CODE]]=4, Table32[ [#This Row],[Account Deposit Amount] ]-Table32[ [#This Row],[Account Withdrawl Amount] ], )</f>
        <v>0</v>
      </c>
      <c r="M99" s="89">
        <f>IF(Table32[[#This Row],[CODE]]=5, Table32[ [#This Row],[Account Deposit Amount] ]-Table32[ [#This Row],[Account Withdrawl Amount] ], )</f>
        <v>0</v>
      </c>
      <c r="N99" s="89">
        <f>IF(Table32[[#This Row],[CODE]]=6, Table32[ [#This Row],[Account Deposit Amount] ]-Table32[ [#This Row],[Account Withdrawl Amount] ], )</f>
        <v>0</v>
      </c>
      <c r="O99" s="89">
        <f>IF(Table32[[#This Row],[CODE]]=11, Table32[ [#This Row],[Account Deposit Amount] ]-Table32[ [#This Row],[Account Withdrawl Amount] ], )</f>
        <v>0</v>
      </c>
      <c r="P99" s="89">
        <f>IF(Table32[[#This Row],[CODE]]=12, Table32[ [#This Row],[Account Deposit Amount] ]-Table32[ [#This Row],[Account Withdrawl Amount] ], )</f>
        <v>0</v>
      </c>
      <c r="Q99" s="89">
        <f>IF(Table32[[#This Row],[CODE]]=13, Table32[ [#This Row],[Account Deposit Amount] ]-Table32[ [#This Row],[Account Withdrawl Amount] ], )</f>
        <v>0</v>
      </c>
      <c r="R99" s="89">
        <f>IF(Table32[[#This Row],[CODE]]=14, Table32[ [#This Row],[Account Deposit Amount] ]-Table32[ [#This Row],[Account Withdrawl Amount] ], )</f>
        <v>0</v>
      </c>
      <c r="S99" s="89">
        <f>IF(Table32[[#This Row],[CODE]]=15, Table32[ [#This Row],[Account Deposit Amount] ]-Table32[ [#This Row],[Account Withdrawl Amount] ], )</f>
        <v>0</v>
      </c>
      <c r="T99" s="89">
        <f>IF(Table32[[#This Row],[CODE]]=16, Table32[ [#This Row],[Account Deposit Amount] ]-Table32[ [#This Row],[Account Withdrawl Amount] ], )</f>
        <v>0</v>
      </c>
      <c r="U99" s="38">
        <f>IF(Table32[[#This Row],[CODE]]=17, Table32[ [#This Row],[Account Deposit Amount] ]-Table32[ [#This Row],[Account Withdrawl Amount] ], )</f>
        <v>0</v>
      </c>
      <c r="V99" s="38">
        <f>IF(Table32[[#This Row],[CODE]]=17, Table32[ [#This Row],[Account Deposit Amount] ]-Table32[ [#This Row],[Account Withdrawl Amount] ], )</f>
        <v>0</v>
      </c>
    </row>
  </sheetData>
  <mergeCells count="4">
    <mergeCell ref="I1:L1"/>
    <mergeCell ref="M1:N1"/>
    <mergeCell ref="O1:S1"/>
    <mergeCell ref="T1:V1"/>
  </mergeCells>
  <pageMargins left="0.7" right="0.7" top="0.75" bottom="0.75" header="0.3" footer="0.3"/>
  <pageSetup orientation="portrait" r:id="rId1"/>
  <legacyDrawing r:id="rId2"/>
  <tableParts count="3">
    <tablePart r:id="rId3"/>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BCD5C-9328-48A9-9091-8546E1BA591A}">
  <dimension ref="A1:AA273"/>
  <sheetViews>
    <sheetView topLeftCell="A3" workbookViewId="0">
      <selection activeCell="J4" sqref="J4"/>
    </sheetView>
  </sheetViews>
  <sheetFormatPr defaultColWidth="9.109375" defaultRowHeight="12"/>
  <cols>
    <col min="1" max="1" width="9.109375" style="21"/>
    <col min="2" max="2" width="10.109375" style="27" bestFit="1" customWidth="1"/>
    <col min="3" max="4" width="23.44140625" style="21" customWidth="1"/>
    <col min="5" max="6" width="10.88671875" style="28" customWidth="1"/>
    <col min="7" max="7" width="13.5546875" style="4" customWidth="1"/>
    <col min="8" max="8" width="9.109375" style="21"/>
    <col min="9" max="9" width="9.109375" style="38"/>
    <col min="10" max="11" width="9.109375" style="39"/>
    <col min="12" max="21" width="9.109375" style="38"/>
    <col min="22" max="22" width="9.109375" style="4"/>
    <col min="23" max="16384" width="9.109375" style="21"/>
  </cols>
  <sheetData>
    <row r="1" spans="1:27" s="4" customFormat="1" ht="15.75" customHeight="1" thickBot="1">
      <c r="A1" s="16"/>
      <c r="B1" s="2"/>
      <c r="C1" s="1"/>
      <c r="D1" s="1"/>
      <c r="E1" s="29"/>
      <c r="F1" s="30"/>
      <c r="G1" s="3" t="s">
        <v>180</v>
      </c>
      <c r="H1" s="3"/>
      <c r="I1" s="338" t="s">
        <v>49</v>
      </c>
      <c r="J1" s="339"/>
      <c r="K1" s="339"/>
      <c r="L1" s="339"/>
      <c r="M1" s="340">
        <f>SUM(I2:N2)</f>
        <v>345.92</v>
      </c>
      <c r="N1" s="340"/>
      <c r="O1" s="344" t="s">
        <v>50</v>
      </c>
      <c r="P1" s="344"/>
      <c r="Q1" s="344"/>
      <c r="R1" s="344"/>
      <c r="S1" s="344"/>
      <c r="T1" s="344"/>
      <c r="U1" s="342" t="e">
        <f>SUM(O2:V2)</f>
        <v>#VALUE!</v>
      </c>
      <c r="V1" s="343"/>
      <c r="W1" s="1"/>
      <c r="X1" s="1"/>
      <c r="Y1" s="1"/>
      <c r="Z1" s="1"/>
      <c r="AA1" s="1"/>
    </row>
    <row r="2" spans="1:27" s="4" customFormat="1" ht="12.6" thickBot="1">
      <c r="A2" s="1"/>
      <c r="B2" s="2"/>
      <c r="C2" s="1"/>
      <c r="D2" s="1" t="s">
        <v>51</v>
      </c>
      <c r="E2" s="5">
        <f>SUM(E4:E942)</f>
        <v>345.92</v>
      </c>
      <c r="F2" s="5">
        <f>SUM(F4:F942)</f>
        <v>2703.25</v>
      </c>
      <c r="G2" s="6">
        <f>G4+E2-F2</f>
        <v>19416.929999999997</v>
      </c>
      <c r="H2" s="81"/>
      <c r="I2" s="7">
        <f t="shared" ref="I2:T2" si="0">SUM(I4:I942)</f>
        <v>0</v>
      </c>
      <c r="J2" s="8">
        <f t="shared" si="0"/>
        <v>0</v>
      </c>
      <c r="K2" s="8">
        <f t="shared" si="0"/>
        <v>0</v>
      </c>
      <c r="L2" s="7">
        <f t="shared" si="0"/>
        <v>7.94</v>
      </c>
      <c r="M2" s="7">
        <f t="shared" si="0"/>
        <v>0</v>
      </c>
      <c r="N2" s="7">
        <f t="shared" si="0"/>
        <v>337.98</v>
      </c>
      <c r="O2" s="9">
        <f t="shared" si="0"/>
        <v>0</v>
      </c>
      <c r="P2" s="9">
        <f t="shared" si="0"/>
        <v>-215.62</v>
      </c>
      <c r="Q2" s="9">
        <f t="shared" si="0"/>
        <v>-1726.8700000000001</v>
      </c>
      <c r="R2" s="9">
        <f t="shared" si="0"/>
        <v>-404.83</v>
      </c>
      <c r="S2" s="9">
        <f t="shared" si="0"/>
        <v>-355.93</v>
      </c>
      <c r="T2" s="9">
        <f t="shared" si="0"/>
        <v>0</v>
      </c>
      <c r="U2" s="9" t="e">
        <f t="shared" ref="U2:V2" si="1">SUM(U4:U1006)</f>
        <v>#VALUE!</v>
      </c>
      <c r="V2" s="9" t="e">
        <f t="shared" si="1"/>
        <v>#VALUE!</v>
      </c>
      <c r="W2" s="1"/>
      <c r="X2" s="1"/>
      <c r="Y2" s="1"/>
      <c r="Z2" s="1"/>
      <c r="AA2" s="1"/>
    </row>
    <row r="3" spans="1:27" s="15" customFormat="1" ht="52.2"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6" t="s">
        <v>198</v>
      </c>
      <c r="W3" s="14"/>
      <c r="X3" s="14"/>
      <c r="Y3" s="14"/>
      <c r="Z3" s="14"/>
      <c r="AA3" s="14"/>
    </row>
    <row r="4" spans="1:27" s="23" customFormat="1" ht="12.6" thickBot="1">
      <c r="A4" s="101"/>
      <c r="B4" s="102">
        <v>44682</v>
      </c>
      <c r="C4" s="103" t="s">
        <v>237</v>
      </c>
      <c r="D4" s="101"/>
      <c r="E4" s="104"/>
      <c r="F4" s="105"/>
      <c r="G4" s="44">
        <f>May!G2</f>
        <v>21774.26</v>
      </c>
      <c r="H4" s="106"/>
      <c r="I4" s="17">
        <f>IF(Table38[[#This Row],[CODE]]=1, Table38[ [#This Row],[Account Deposit Amount] ]-Table38[ [#This Row],[Account Withdrawl Amount] ], )</f>
        <v>0</v>
      </c>
      <c r="J4" s="17">
        <f>IF(Table38[[#This Row],[(1)
Fall Product Money]]=1, Table38[ [#This Row],[Account Withdrawl Amount] ]-Table38[ [#This Row],[Total Troop Account] ], )</f>
        <v>0</v>
      </c>
      <c r="K4" s="17">
        <f>IF(Table38[[#This Row],[(2)
Cookie Money]]=1, Table38[ [#This Row],[Total Troop Account] ]-Table38[ [#This Row],[CODE] ], )</f>
        <v>0</v>
      </c>
      <c r="L4" s="18">
        <f>IF(Table37[[#This Row],[CODE]]=4, Table37[ [#This Row],[Account Deposit Amount] ]-Table37[ [#This Row],[Account Withdrawl Amount] ], )</f>
        <v>0</v>
      </c>
      <c r="M4" s="18">
        <f>IF(Table37[[#This Row],[CODE]]=5, Table37[ [#This Row],[Account Deposit Amount] ]-Table37[ [#This Row],[Account Withdrawl Amount] ], )</f>
        <v>0</v>
      </c>
      <c r="N4" s="18">
        <f>IF(Table37[[#This Row],[CODE]]=6, Table37[ [#This Row],[Account Deposit Amount] ]-Table37[ [#This Row],[Account Withdrawl Amount] ], )</f>
        <v>0</v>
      </c>
      <c r="O4" s="18">
        <f>IF(Table37[[#This Row],[CODE]]=11, Table37[ [#This Row],[Account Deposit Amount] ]-Table37[ [#This Row],[Account Withdrawl Amount] ], )</f>
        <v>0</v>
      </c>
      <c r="P4" s="18">
        <f>IF(Table37[[#This Row],[CODE]]=12, Table37[ [#This Row],[Account Deposit Amount] ]-Table37[ [#This Row],[Account Withdrawl Amount] ], )</f>
        <v>0</v>
      </c>
      <c r="Q4" s="18">
        <f>IF(Table37[[#This Row],[CODE]]=13, Table37[ [#This Row],[Account Deposit Amount] ]-Table37[ [#This Row],[Account Withdrawl Amount] ], )</f>
        <v>0</v>
      </c>
      <c r="R4" s="18">
        <f>IF(Table37[[#This Row],[CODE]]=14, Table37[ [#This Row],[Account Deposit Amount] ]-Table37[ [#This Row],[Account Withdrawl Amount] ], )</f>
        <v>0</v>
      </c>
      <c r="S4" s="18">
        <f>IF(Table37[[#This Row],[CODE]]=15, Table37[ [#This Row],[Account Deposit Amount] ]-Table37[ [#This Row],[Account Withdrawl Amount] ], )</f>
        <v>0</v>
      </c>
      <c r="T4" s="18">
        <f>IF(Table37[[#This Row],[CODE]]=16, Table37[ [#This Row],[Account Deposit Amount] ]-Table37[ [#This Row],[Account Withdrawl Amount] ], )</f>
        <v>0</v>
      </c>
      <c r="U4" s="17">
        <f>IF(Table37[[#This Row],[CODE]]=17, Table37[ [#This Row],[Account Deposit Amount] ]-Table37[ [#This Row],[Account Withdrawl Amount] ], )</f>
        <v>0</v>
      </c>
      <c r="V4" s="19">
        <f>IF(Table37[[#This Row],[CODE]]=18, Table37[ [#This Row],[Account Deposit Amount] ]-Table37[ [#This Row],[Account Withdrawl Amount] ], )</f>
        <v>0</v>
      </c>
      <c r="W4" s="22"/>
      <c r="X4" s="22"/>
      <c r="Y4" s="22"/>
      <c r="Z4" s="22"/>
      <c r="AA4" s="22"/>
    </row>
    <row r="5" spans="1:27" ht="12.6" thickBot="1">
      <c r="A5" s="23"/>
      <c r="B5" s="24"/>
      <c r="C5" s="23"/>
      <c r="D5" s="25"/>
      <c r="E5" s="26"/>
      <c r="F5" s="26"/>
      <c r="G5" s="37">
        <f>G4+E5-F5</f>
        <v>21774.26</v>
      </c>
      <c r="H5" s="153"/>
      <c r="I5" s="17">
        <f>IF(Table38[[#This Row],[CODE]]=1, Table38[ [#This Row],[Account Deposit Amount] ]-Table38[ [#This Row],[Account Withdrawl Amount] ], )</f>
        <v>0</v>
      </c>
      <c r="J5" s="18">
        <f>IF(Table38[[#This Row],[CODE]]=2, Table38[ [#This Row],[Account Deposit Amount] ]-Table38[ [#This Row],[Account Withdrawl Amount] ], )</f>
        <v>0</v>
      </c>
      <c r="K5" s="18">
        <f>IF(Table38[[#This Row],[CODE]]=3, Table38[ [#This Row],[Account Deposit Amount] ]-Table38[ [#This Row],[Account Withdrawl Amount] ], )</f>
        <v>0</v>
      </c>
      <c r="L5" s="18">
        <f>IF(Table38[[#This Row],[CODE]]=4, Table38[ [#This Row],[Account Deposit Amount] ]-Table38[ [#This Row],[Account Withdrawl Amount] ], )</f>
        <v>0</v>
      </c>
      <c r="M5" s="18">
        <f>IF(Table38[[#This Row],[CODE]]=5, Table38[ [#This Row],[Account Deposit Amount] ]-Table38[ [#This Row],[Account Withdrawl Amount] ], )</f>
        <v>0</v>
      </c>
      <c r="N5" s="18">
        <f>IF(Table38[[#This Row],[CODE]]=6, Table38[ [#This Row],[Account Deposit Amount] ]-Table38[ [#This Row],[Account Withdrawl Amount] ], )</f>
        <v>0</v>
      </c>
      <c r="O5" s="18">
        <f>IF(Table38[[#This Row],[CODE]]=11, Table38[ [#This Row],[Account Deposit Amount] ]-Table38[ [#This Row],[Account Withdrawl Amount] ], )</f>
        <v>0</v>
      </c>
      <c r="P5" s="18">
        <f>IF(Table38[[#This Row],[CODE]]=12, Table38[ [#This Row],[Account Deposit Amount] ]-Table38[ [#This Row],[Account Withdrawl Amount] ], )</f>
        <v>0</v>
      </c>
      <c r="Q5" s="18">
        <f>IF(Table38[[#This Row],[CODE]]=13, Table38[ [#This Row],[Account Deposit Amount] ]-Table38[ [#This Row],[Account Withdrawl Amount] ], )</f>
        <v>0</v>
      </c>
      <c r="R5" s="18">
        <f>IF(Table38[[#This Row],[CODE]]=14, Table38[ [#This Row],[Account Deposit Amount] ]-Table38[ [#This Row],[Account Withdrawl Amount] ], )</f>
        <v>0</v>
      </c>
      <c r="S5" s="18">
        <f>IF(Table38[[#This Row],[CODE]]=15, Table38[ [#This Row],[Account Deposit Amount] ]-Table38[ [#This Row],[Account Withdrawl Amount] ], )</f>
        <v>0</v>
      </c>
      <c r="T5" s="18">
        <f>IF(Table38[[#This Row],[CODE]]=16, Table38[ [#This Row],[Account Deposit Amount] ]-Table38[ [#This Row],[Account Withdrawl Amount] ], )</f>
        <v>0</v>
      </c>
      <c r="U5" s="17">
        <f>IF(Table38[[#This Row],[CODE]]=17, Table38[ [#This Row],[Account Deposit Amount] ]-Table38[ [#This Row],[Account Withdrawl Amount] ], )</f>
        <v>0</v>
      </c>
      <c r="V5" s="19">
        <f>IF(Table37[[#This Row],[CODE]]=18, Table37[ [#This Row],[Account Deposit Amount] ]-Table37[ [#This Row],[Account Withdrawl Amount] ], )</f>
        <v>0</v>
      </c>
      <c r="W5" s="20"/>
      <c r="X5" s="20"/>
      <c r="Y5" s="20"/>
      <c r="Z5" s="20"/>
      <c r="AA5" s="20"/>
    </row>
    <row r="6" spans="1:27" ht="16.2" thickBot="1">
      <c r="A6" s="113" t="s">
        <v>238</v>
      </c>
      <c r="B6" s="114">
        <v>44713</v>
      </c>
      <c r="C6" s="115" t="s">
        <v>239</v>
      </c>
      <c r="D6" s="115" t="s">
        <v>240</v>
      </c>
      <c r="E6" s="116">
        <v>40</v>
      </c>
      <c r="F6" s="117"/>
      <c r="G6" s="82">
        <f>G5+E6-F6</f>
        <v>21814.26</v>
      </c>
      <c r="H6" s="115">
        <v>6</v>
      </c>
      <c r="I6" s="17">
        <f>IF(Table38[[#This Row],[CODE]]=1, Table38[ [#This Row],[Account Deposit Amount] ]-Table38[ [#This Row],[Account Withdrawl Amount] ], )</f>
        <v>0</v>
      </c>
      <c r="J6" s="18">
        <f>IF(Table38[[#This Row],[CODE]]=2, Table38[ [#This Row],[Account Deposit Amount] ]-Table38[ [#This Row],[Account Withdrawl Amount] ], )</f>
        <v>0</v>
      </c>
      <c r="K6" s="18">
        <f>IF(Table38[[#This Row],[CODE]]=3, Table38[ [#This Row],[Account Deposit Amount] ]-Table38[ [#This Row],[Account Withdrawl Amount] ], )</f>
        <v>0</v>
      </c>
      <c r="L6" s="18">
        <f>IF(Table38[[#This Row],[CODE]]=4, Table38[ [#This Row],[Account Deposit Amount] ]-Table38[ [#This Row],[Account Withdrawl Amount] ], )</f>
        <v>0</v>
      </c>
      <c r="M6" s="18">
        <f>IF(Table38[[#This Row],[CODE]]=5, Table38[ [#This Row],[Account Deposit Amount] ]-Table38[ [#This Row],[Account Withdrawl Amount] ], )</f>
        <v>0</v>
      </c>
      <c r="N6" s="18">
        <f>IF(Table38[[#This Row],[CODE]]=6, Table38[ [#This Row],[Account Deposit Amount] ]-Table38[ [#This Row],[Account Withdrawl Amount] ], )</f>
        <v>40</v>
      </c>
      <c r="O6" s="18">
        <f>IF(Table38[[#This Row],[CODE]]=11, Table38[ [#This Row],[Account Deposit Amount] ]-Table38[ [#This Row],[Account Withdrawl Amount] ], )</f>
        <v>0</v>
      </c>
      <c r="P6" s="18">
        <f>IF(Table38[[#This Row],[CODE]]=12, Table38[ [#This Row],[Account Deposit Amount] ]-Table38[ [#This Row],[Account Withdrawl Amount] ], )</f>
        <v>0</v>
      </c>
      <c r="Q6" s="18">
        <f>IF(Table38[[#This Row],[CODE]]=13, Table38[ [#This Row],[Account Deposit Amount] ]-Table38[ [#This Row],[Account Withdrawl Amount] ], )</f>
        <v>0</v>
      </c>
      <c r="R6" s="18">
        <f>IF(Table38[[#This Row],[CODE]]=14, Table38[ [#This Row],[Account Deposit Amount] ]-Table38[ [#This Row],[Account Withdrawl Amount] ], )</f>
        <v>0</v>
      </c>
      <c r="S6" s="18">
        <f>IF(Table38[[#This Row],[CODE]]=15, Table38[ [#This Row],[Account Deposit Amount] ]-Table38[ [#This Row],[Account Withdrawl Amount] ], )</f>
        <v>0</v>
      </c>
      <c r="T6" s="18">
        <f>IF(Table38[[#This Row],[CODE]]=16, Table38[ [#This Row],[Account Deposit Amount] ]-Table38[ [#This Row],[Account Withdrawl Amount] ], )</f>
        <v>0</v>
      </c>
      <c r="U6" s="17">
        <f>IF(Table38[[#This Row],[CODE]]=17, Table38[ [#This Row],[Account Deposit Amount] ]-Table38[ [#This Row],[Account Withdrawl Amount] ], )</f>
        <v>0</v>
      </c>
      <c r="V6" s="19">
        <f>IF(Table37[[#This Row],[CODE]]=18, Table37[ [#This Row],[Account Deposit Amount] ]-Table37[ [#This Row],[Account Withdrawl Amount] ], )</f>
        <v>0</v>
      </c>
    </row>
    <row r="7" spans="1:27" ht="15" thickBot="1">
      <c r="A7" s="118" t="s">
        <v>241</v>
      </c>
      <c r="B7" s="114">
        <v>44713</v>
      </c>
      <c r="C7" s="115" t="s">
        <v>242</v>
      </c>
      <c r="D7" s="110"/>
      <c r="E7" s="116"/>
      <c r="F7" s="116">
        <v>3.36</v>
      </c>
      <c r="G7" s="82">
        <f t="shared" ref="G7:G39" si="2">G6+E7-F7</f>
        <v>21810.899999999998</v>
      </c>
      <c r="H7" s="108">
        <v>13</v>
      </c>
      <c r="I7" s="17">
        <f>IF(Table38[[#This Row],[CODE]]=1, Table38[ [#This Row],[Account Deposit Amount] ]-Table38[ [#This Row],[Account Withdrawl Amount] ], )</f>
        <v>0</v>
      </c>
      <c r="J7" s="18">
        <f>IF(Table38[[#This Row],[CODE]]=2, Table38[ [#This Row],[Account Deposit Amount] ]-Table38[ [#This Row],[Account Withdrawl Amount] ], )</f>
        <v>0</v>
      </c>
      <c r="K7" s="18">
        <f>IF(Table38[[#This Row],[CODE]]=3, Table38[ [#This Row],[Account Deposit Amount] ]-Table38[ [#This Row],[Account Withdrawl Amount] ], )</f>
        <v>0</v>
      </c>
      <c r="L7" s="18">
        <f>IF(Table38[[#This Row],[CODE]]=4, Table38[ [#This Row],[Account Deposit Amount] ]-Table38[ [#This Row],[Account Withdrawl Amount] ], )</f>
        <v>0</v>
      </c>
      <c r="M7" s="18">
        <f>IF(Table38[[#This Row],[CODE]]=5, Table38[ [#This Row],[Account Deposit Amount] ]-Table38[ [#This Row],[Account Withdrawl Amount] ], )</f>
        <v>0</v>
      </c>
      <c r="N7" s="18">
        <f>IF(Table38[[#This Row],[CODE]]=6, Table38[ [#This Row],[Account Deposit Amount] ]-Table38[ [#This Row],[Account Withdrawl Amount] ], )</f>
        <v>0</v>
      </c>
      <c r="O7" s="18">
        <f>IF(Table38[[#This Row],[CODE]]=11, Table38[ [#This Row],[Account Deposit Amount] ]-Table38[ [#This Row],[Account Withdrawl Amount] ], )</f>
        <v>0</v>
      </c>
      <c r="P7" s="18">
        <f>IF(Table38[[#This Row],[CODE]]=12, Table38[ [#This Row],[Account Deposit Amount] ]-Table38[ [#This Row],[Account Withdrawl Amount] ], )</f>
        <v>0</v>
      </c>
      <c r="Q7" s="18">
        <f>IF(Table38[[#This Row],[CODE]]=13, Table38[ [#This Row],[Account Deposit Amount] ]-Table38[ [#This Row],[Account Withdrawl Amount] ], )</f>
        <v>-3.36</v>
      </c>
      <c r="R7" s="18">
        <f>IF(Table38[[#This Row],[CODE]]=14, Table38[ [#This Row],[Account Deposit Amount] ]-Table38[ [#This Row],[Account Withdrawl Amount] ], )</f>
        <v>0</v>
      </c>
      <c r="S7" s="18">
        <f>IF(Table38[[#This Row],[CODE]]=15, Table38[ [#This Row],[Account Deposit Amount] ]-Table38[ [#This Row],[Account Withdrawl Amount] ], )</f>
        <v>0</v>
      </c>
      <c r="T7" s="18">
        <f>IF(Table38[[#This Row],[CODE]]=16, Table38[ [#This Row],[Account Deposit Amount] ]-Table38[ [#This Row],[Account Withdrawl Amount] ], )</f>
        <v>0</v>
      </c>
      <c r="U7" s="17">
        <f>IF(Table38[[#This Row],[CODE]]=17, Table38[ [#This Row],[Account Deposit Amount] ]-Table38[ [#This Row],[Account Withdrawl Amount] ], )</f>
        <v>0</v>
      </c>
      <c r="V7" s="19">
        <f>IF(Table37[[#This Row],[CODE]]=18, Table37[ [#This Row],[Account Deposit Amount] ]-Table37[ [#This Row],[Account Withdrawl Amount] ], )</f>
        <v>0</v>
      </c>
    </row>
    <row r="8" spans="1:27" ht="15" thickBot="1">
      <c r="A8" s="118" t="s">
        <v>241</v>
      </c>
      <c r="B8" s="114">
        <v>44713</v>
      </c>
      <c r="C8" s="115" t="s">
        <v>243</v>
      </c>
      <c r="D8" s="110"/>
      <c r="E8" s="116"/>
      <c r="F8" s="116">
        <v>23.23</v>
      </c>
      <c r="G8" s="82">
        <f t="shared" si="2"/>
        <v>21787.67</v>
      </c>
      <c r="H8" s="108">
        <v>13</v>
      </c>
      <c r="I8" s="17">
        <f>IF(Table38[[#This Row],[CODE]]=1, Table38[ [#This Row],[Account Deposit Amount] ]-Table38[ [#This Row],[Account Withdrawl Amount] ], )</f>
        <v>0</v>
      </c>
      <c r="J8" s="18">
        <f>IF(Table38[[#This Row],[CODE]]=2, Table38[ [#This Row],[Account Deposit Amount] ]-Table38[ [#This Row],[Account Withdrawl Amount] ], )</f>
        <v>0</v>
      </c>
      <c r="K8" s="18">
        <f>IF(Table38[[#This Row],[CODE]]=3, Table38[ [#This Row],[Account Deposit Amount] ]-Table38[ [#This Row],[Account Withdrawl Amount] ], )</f>
        <v>0</v>
      </c>
      <c r="L8" s="18">
        <f>IF(Table38[[#This Row],[CODE]]=4, Table38[ [#This Row],[Account Deposit Amount] ]-Table38[ [#This Row],[Account Withdrawl Amount] ], )</f>
        <v>0</v>
      </c>
      <c r="M8" s="18">
        <f>IF(Table38[[#This Row],[CODE]]=5, Table38[ [#This Row],[Account Deposit Amount] ]-Table38[ [#This Row],[Account Withdrawl Amount] ], )</f>
        <v>0</v>
      </c>
      <c r="N8" s="18">
        <f>IF(Table38[[#This Row],[CODE]]=6, Table38[ [#This Row],[Account Deposit Amount] ]-Table38[ [#This Row],[Account Withdrawl Amount] ], )</f>
        <v>0</v>
      </c>
      <c r="O8" s="18">
        <f>IF(Table38[[#This Row],[CODE]]=11, Table38[ [#This Row],[Account Deposit Amount] ]-Table38[ [#This Row],[Account Withdrawl Amount] ], )</f>
        <v>0</v>
      </c>
      <c r="P8" s="18">
        <f>IF(Table38[[#This Row],[CODE]]=12, Table38[ [#This Row],[Account Deposit Amount] ]-Table38[ [#This Row],[Account Withdrawl Amount] ], )</f>
        <v>0</v>
      </c>
      <c r="Q8" s="18">
        <f>IF(Table38[[#This Row],[CODE]]=13, Table38[ [#This Row],[Account Deposit Amount] ]-Table38[ [#This Row],[Account Withdrawl Amount] ], )</f>
        <v>-23.23</v>
      </c>
      <c r="R8" s="18">
        <f>IF(Table38[[#This Row],[CODE]]=14, Table38[ [#This Row],[Account Deposit Amount] ]-Table38[ [#This Row],[Account Withdrawl Amount] ], )</f>
        <v>0</v>
      </c>
      <c r="S8" s="18">
        <f>IF(Table38[[#This Row],[CODE]]=15, Table38[ [#This Row],[Account Deposit Amount] ]-Table38[ [#This Row],[Account Withdrawl Amount] ], )</f>
        <v>0</v>
      </c>
      <c r="T8" s="18">
        <f>IF(Table38[[#This Row],[CODE]]=16, Table38[ [#This Row],[Account Deposit Amount] ]-Table38[ [#This Row],[Account Withdrawl Amount] ], )</f>
        <v>0</v>
      </c>
      <c r="U8" s="17">
        <f>IF(Table38[[#This Row],[CODE]]=17, Table38[ [#This Row],[Account Deposit Amount] ]-Table38[ [#This Row],[Account Withdrawl Amount] ], )</f>
        <v>0</v>
      </c>
      <c r="V8" s="19">
        <f>IF(Table37[[#This Row],[CODE]]=18, Table37[ [#This Row],[Account Deposit Amount] ]-Table37[ [#This Row],[Account Withdrawl Amount] ], )</f>
        <v>0</v>
      </c>
    </row>
    <row r="9" spans="1:27" ht="13.8" thickBot="1">
      <c r="A9" s="118" t="s">
        <v>241</v>
      </c>
      <c r="B9" s="114">
        <v>44714</v>
      </c>
      <c r="C9" s="115" t="s">
        <v>244</v>
      </c>
      <c r="D9" s="115" t="s">
        <v>245</v>
      </c>
      <c r="E9" s="116"/>
      <c r="F9" s="116">
        <v>46.39</v>
      </c>
      <c r="G9" s="82">
        <f t="shared" si="2"/>
        <v>21741.279999999999</v>
      </c>
      <c r="H9" s="115">
        <v>15</v>
      </c>
      <c r="I9" s="17">
        <f>IF(Table38[[#This Row],[CODE]]=1, Table38[ [#This Row],[Account Deposit Amount] ]-Table38[ [#This Row],[Account Withdrawl Amount] ], )</f>
        <v>0</v>
      </c>
      <c r="J9" s="18">
        <f>IF(Table38[[#This Row],[CODE]]=2, Table38[ [#This Row],[Account Deposit Amount] ]-Table38[ [#This Row],[Account Withdrawl Amount] ], )</f>
        <v>0</v>
      </c>
      <c r="K9" s="18">
        <f>IF(Table38[[#This Row],[CODE]]=3, Table38[ [#This Row],[Account Deposit Amount] ]-Table38[ [#This Row],[Account Withdrawl Amount] ], )</f>
        <v>0</v>
      </c>
      <c r="L9" s="18">
        <f>IF(Table38[[#This Row],[CODE]]=4, Table38[ [#This Row],[Account Deposit Amount] ]-Table38[ [#This Row],[Account Withdrawl Amount] ], )</f>
        <v>0</v>
      </c>
      <c r="M9" s="18">
        <f>IF(Table38[[#This Row],[CODE]]=5, Table38[ [#This Row],[Account Deposit Amount] ]-Table38[ [#This Row],[Account Withdrawl Amount] ], )</f>
        <v>0</v>
      </c>
      <c r="N9" s="18">
        <f>IF(Table38[[#This Row],[CODE]]=6, Table38[ [#This Row],[Account Deposit Amount] ]-Table38[ [#This Row],[Account Withdrawl Amount] ], )</f>
        <v>0</v>
      </c>
      <c r="O9" s="18">
        <f>IF(Table38[[#This Row],[CODE]]=11, Table38[ [#This Row],[Account Deposit Amount] ]-Table38[ [#This Row],[Account Withdrawl Amount] ], )</f>
        <v>0</v>
      </c>
      <c r="P9" s="18">
        <f>IF(Table38[[#This Row],[CODE]]=12, Table38[ [#This Row],[Account Deposit Amount] ]-Table38[ [#This Row],[Account Withdrawl Amount] ], )</f>
        <v>0</v>
      </c>
      <c r="Q9" s="18">
        <f>IF(Table38[[#This Row],[CODE]]=13, Table38[ [#This Row],[Account Deposit Amount] ]-Table38[ [#This Row],[Account Withdrawl Amount] ], )</f>
        <v>0</v>
      </c>
      <c r="R9" s="18">
        <f>IF(Table38[[#This Row],[CODE]]=14, Table38[ [#This Row],[Account Deposit Amount] ]-Table38[ [#This Row],[Account Withdrawl Amount] ], )</f>
        <v>0</v>
      </c>
      <c r="S9" s="18">
        <f>IF(Table38[[#This Row],[CODE]]=15, Table38[ [#This Row],[Account Deposit Amount] ]-Table38[ [#This Row],[Account Withdrawl Amount] ], )</f>
        <v>-46.39</v>
      </c>
      <c r="T9" s="18">
        <f>IF(Table38[[#This Row],[CODE]]=16, Table38[ [#This Row],[Account Deposit Amount] ]-Table38[ [#This Row],[Account Withdrawl Amount] ], )</f>
        <v>0</v>
      </c>
      <c r="U9" s="17">
        <f>IF(Table38[[#This Row],[CODE]]=17, Table38[ [#This Row],[Account Deposit Amount] ]-Table38[ [#This Row],[Account Withdrawl Amount] ], )</f>
        <v>0</v>
      </c>
      <c r="V9" s="19">
        <f>IF(Table37[[#This Row],[CODE]]=18, Table37[ [#This Row],[Account Deposit Amount] ]-Table37[ [#This Row],[Account Withdrawl Amount] ], )</f>
        <v>0</v>
      </c>
    </row>
    <row r="10" spans="1:27" ht="13.8" thickBot="1">
      <c r="A10" s="118" t="s">
        <v>241</v>
      </c>
      <c r="B10" s="114">
        <v>44714</v>
      </c>
      <c r="C10" s="115" t="s">
        <v>246</v>
      </c>
      <c r="D10" s="115" t="s">
        <v>247</v>
      </c>
      <c r="E10" s="116"/>
      <c r="F10" s="116">
        <v>12.15</v>
      </c>
      <c r="G10" s="82">
        <f t="shared" si="2"/>
        <v>21729.129999999997</v>
      </c>
      <c r="H10" s="115">
        <v>13</v>
      </c>
      <c r="I10" s="17">
        <f>IF(Table38[[#This Row],[CODE]]=1, Table38[ [#This Row],[Account Deposit Amount] ]-Table38[ [#This Row],[Account Withdrawl Amount] ], )</f>
        <v>0</v>
      </c>
      <c r="J10" s="18">
        <f>IF(Table38[[#This Row],[CODE]]=2, Table38[ [#This Row],[Account Deposit Amount] ]-Table38[ [#This Row],[Account Withdrawl Amount] ], )</f>
        <v>0</v>
      </c>
      <c r="K10" s="18">
        <f>IF(Table38[[#This Row],[CODE]]=3, Table38[ [#This Row],[Account Deposit Amount] ]-Table38[ [#This Row],[Account Withdrawl Amount] ], )</f>
        <v>0</v>
      </c>
      <c r="L10" s="18">
        <f>IF(Table38[[#This Row],[CODE]]=4, Table38[ [#This Row],[Account Deposit Amount] ]-Table38[ [#This Row],[Account Withdrawl Amount] ], )</f>
        <v>0</v>
      </c>
      <c r="M10" s="18">
        <f>IF(Table38[[#This Row],[CODE]]=5, Table38[ [#This Row],[Account Deposit Amount] ]-Table38[ [#This Row],[Account Withdrawl Amount] ], )</f>
        <v>0</v>
      </c>
      <c r="N10" s="18">
        <f>IF(Table38[[#This Row],[CODE]]=6, Table38[ [#This Row],[Account Deposit Amount] ]-Table38[ [#This Row],[Account Withdrawl Amount] ], )</f>
        <v>0</v>
      </c>
      <c r="O10" s="18">
        <f>IF(Table38[[#This Row],[CODE]]=11, Table38[ [#This Row],[Account Deposit Amount] ]-Table38[ [#This Row],[Account Withdrawl Amount] ], )</f>
        <v>0</v>
      </c>
      <c r="P10" s="18">
        <f>IF(Table38[[#This Row],[CODE]]=12, Table38[ [#This Row],[Account Deposit Amount] ]-Table38[ [#This Row],[Account Withdrawl Amount] ], )</f>
        <v>0</v>
      </c>
      <c r="Q10" s="18">
        <f>IF(Table38[[#This Row],[CODE]]=13, Table38[ [#This Row],[Account Deposit Amount] ]-Table38[ [#This Row],[Account Withdrawl Amount] ], )</f>
        <v>-12.15</v>
      </c>
      <c r="R10" s="18">
        <f>IF(Table38[[#This Row],[CODE]]=14, Table38[ [#This Row],[Account Deposit Amount] ]-Table38[ [#This Row],[Account Withdrawl Amount] ], )</f>
        <v>0</v>
      </c>
      <c r="S10" s="18">
        <f>IF(Table38[[#This Row],[CODE]]=15, Table38[ [#This Row],[Account Deposit Amount] ]-Table38[ [#This Row],[Account Withdrawl Amount] ], )</f>
        <v>0</v>
      </c>
      <c r="T10" s="18">
        <f>IF(Table38[[#This Row],[CODE]]=16, Table38[ [#This Row],[Account Deposit Amount] ]-Table38[ [#This Row],[Account Withdrawl Amount] ], )</f>
        <v>0</v>
      </c>
      <c r="U10" s="17">
        <f>IF(Table38[[#This Row],[CODE]]=17, Table38[ [#This Row],[Account Deposit Amount] ]-Table38[ [#This Row],[Account Withdrawl Amount] ], )</f>
        <v>0</v>
      </c>
      <c r="V10" s="19">
        <f>IF(Table37[[#This Row],[CODE]]=18, Table37[ [#This Row],[Account Deposit Amount] ]-Table37[ [#This Row],[Account Withdrawl Amount] ], )</f>
        <v>0</v>
      </c>
    </row>
    <row r="11" spans="1:27" ht="13.8" thickBot="1">
      <c r="A11" s="118" t="s">
        <v>241</v>
      </c>
      <c r="B11" s="114">
        <v>44714</v>
      </c>
      <c r="C11" s="115" t="s">
        <v>248</v>
      </c>
      <c r="D11" s="115" t="s">
        <v>245</v>
      </c>
      <c r="E11" s="116"/>
      <c r="F11" s="116">
        <v>202.65</v>
      </c>
      <c r="G11" s="82">
        <f t="shared" si="2"/>
        <v>21526.479999999996</v>
      </c>
      <c r="H11" s="115">
        <v>15</v>
      </c>
      <c r="I11" s="17">
        <f>IF(Table38[[#This Row],[CODE]]=1, Table38[ [#This Row],[Account Deposit Amount] ]-Table38[ [#This Row],[Account Withdrawl Amount] ], )</f>
        <v>0</v>
      </c>
      <c r="J11" s="18">
        <f>IF(Table38[[#This Row],[CODE]]=2, Table38[ [#This Row],[Account Deposit Amount] ]-Table38[ [#This Row],[Account Withdrawl Amount] ], )</f>
        <v>0</v>
      </c>
      <c r="K11" s="18">
        <f>IF(Table38[[#This Row],[CODE]]=3, Table38[ [#This Row],[Account Deposit Amount] ]-Table38[ [#This Row],[Account Withdrawl Amount] ], )</f>
        <v>0</v>
      </c>
      <c r="L11" s="18">
        <f>IF(Table38[[#This Row],[CODE]]=4, Table38[ [#This Row],[Account Deposit Amount] ]-Table38[ [#This Row],[Account Withdrawl Amount] ], )</f>
        <v>0</v>
      </c>
      <c r="M11" s="18">
        <f>IF(Table38[[#This Row],[CODE]]=5, Table38[ [#This Row],[Account Deposit Amount] ]-Table38[ [#This Row],[Account Withdrawl Amount] ], )</f>
        <v>0</v>
      </c>
      <c r="N11" s="18">
        <f>IF(Table38[[#This Row],[CODE]]=6, Table38[ [#This Row],[Account Deposit Amount] ]-Table38[ [#This Row],[Account Withdrawl Amount] ], )</f>
        <v>0</v>
      </c>
      <c r="O11" s="18">
        <f>IF(Table38[[#This Row],[CODE]]=11, Table38[ [#This Row],[Account Deposit Amount] ]-Table38[ [#This Row],[Account Withdrawl Amount] ], )</f>
        <v>0</v>
      </c>
      <c r="P11" s="18">
        <f>IF(Table38[[#This Row],[CODE]]=12, Table38[ [#This Row],[Account Deposit Amount] ]-Table38[ [#This Row],[Account Withdrawl Amount] ], )</f>
        <v>0</v>
      </c>
      <c r="Q11" s="18">
        <f>IF(Table38[[#This Row],[CODE]]=13, Table38[ [#This Row],[Account Deposit Amount] ]-Table38[ [#This Row],[Account Withdrawl Amount] ], )</f>
        <v>0</v>
      </c>
      <c r="R11" s="18">
        <f>IF(Table38[[#This Row],[CODE]]=14, Table38[ [#This Row],[Account Deposit Amount] ]-Table38[ [#This Row],[Account Withdrawl Amount] ], )</f>
        <v>0</v>
      </c>
      <c r="S11" s="18">
        <f>IF(Table38[[#This Row],[CODE]]=15, Table38[ [#This Row],[Account Deposit Amount] ]-Table38[ [#This Row],[Account Withdrawl Amount] ], )</f>
        <v>-202.65</v>
      </c>
      <c r="T11" s="18">
        <f>IF(Table38[[#This Row],[CODE]]=16, Table38[ [#This Row],[Account Deposit Amount] ]-Table38[ [#This Row],[Account Withdrawl Amount] ], )</f>
        <v>0</v>
      </c>
      <c r="U11" s="17">
        <f>IF(Table38[[#This Row],[CODE]]=17, Table38[ [#This Row],[Account Deposit Amount] ]-Table38[ [#This Row],[Account Withdrawl Amount] ], )</f>
        <v>0</v>
      </c>
      <c r="V11" s="19">
        <f>IF(Table37[[#This Row],[CODE]]=18, Table37[ [#This Row],[Account Deposit Amount] ]-Table37[ [#This Row],[Account Withdrawl Amount] ], )</f>
        <v>0</v>
      </c>
    </row>
    <row r="12" spans="1:27" ht="13.8" thickBot="1">
      <c r="A12" s="118" t="s">
        <v>241</v>
      </c>
      <c r="B12" s="114">
        <v>44715</v>
      </c>
      <c r="C12" s="115" t="s">
        <v>243</v>
      </c>
      <c r="D12" s="115" t="s">
        <v>249</v>
      </c>
      <c r="E12" s="116"/>
      <c r="F12" s="116">
        <v>53.6</v>
      </c>
      <c r="G12" s="82">
        <f t="shared" si="2"/>
        <v>21472.879999999997</v>
      </c>
      <c r="H12" s="115">
        <v>13</v>
      </c>
      <c r="I12" s="17">
        <f>IF(Table38[[#This Row],[CODE]]=1, Table38[ [#This Row],[Account Deposit Amount] ]-Table38[ [#This Row],[Account Withdrawl Amount] ], )</f>
        <v>0</v>
      </c>
      <c r="J12" s="18">
        <f>IF(Table38[[#This Row],[CODE]]=2, Table38[ [#This Row],[Account Deposit Amount] ]-Table38[ [#This Row],[Account Withdrawl Amount] ], )</f>
        <v>0</v>
      </c>
      <c r="K12" s="18">
        <f>IF(Table38[[#This Row],[CODE]]=3, Table38[ [#This Row],[Account Deposit Amount] ]-Table38[ [#This Row],[Account Withdrawl Amount] ], )</f>
        <v>0</v>
      </c>
      <c r="L12" s="18">
        <f>IF(Table38[[#This Row],[CODE]]=4, Table38[ [#This Row],[Account Deposit Amount] ]-Table38[ [#This Row],[Account Withdrawl Amount] ], )</f>
        <v>0</v>
      </c>
      <c r="M12" s="18">
        <f>IF(Table38[[#This Row],[CODE]]=5, Table38[ [#This Row],[Account Deposit Amount] ]-Table38[ [#This Row],[Account Withdrawl Amount] ], )</f>
        <v>0</v>
      </c>
      <c r="N12" s="18">
        <f>IF(Table38[[#This Row],[CODE]]=6, Table38[ [#This Row],[Account Deposit Amount] ]-Table38[ [#This Row],[Account Withdrawl Amount] ], )</f>
        <v>0</v>
      </c>
      <c r="O12" s="18">
        <f>IF(Table38[[#This Row],[CODE]]=11, Table38[ [#This Row],[Account Deposit Amount] ]-Table38[ [#This Row],[Account Withdrawl Amount] ], )</f>
        <v>0</v>
      </c>
      <c r="P12" s="18">
        <f>IF(Table38[[#This Row],[CODE]]=12, Table38[ [#This Row],[Account Deposit Amount] ]-Table38[ [#This Row],[Account Withdrawl Amount] ], )</f>
        <v>0</v>
      </c>
      <c r="Q12" s="18">
        <f>IF(Table38[[#This Row],[CODE]]=13, Table38[ [#This Row],[Account Deposit Amount] ]-Table38[ [#This Row],[Account Withdrawl Amount] ], )</f>
        <v>-53.6</v>
      </c>
      <c r="R12" s="18">
        <f>IF(Table38[[#This Row],[CODE]]=14, Table38[ [#This Row],[Account Deposit Amount] ]-Table38[ [#This Row],[Account Withdrawl Amount] ], )</f>
        <v>0</v>
      </c>
      <c r="S12" s="18">
        <f>IF(Table38[[#This Row],[CODE]]=15, Table38[ [#This Row],[Account Deposit Amount] ]-Table38[ [#This Row],[Account Withdrawl Amount] ], )</f>
        <v>0</v>
      </c>
      <c r="T12" s="18">
        <f>IF(Table38[[#This Row],[CODE]]=16, Table38[ [#This Row],[Account Deposit Amount] ]-Table38[ [#This Row],[Account Withdrawl Amount] ], )</f>
        <v>0</v>
      </c>
      <c r="U12" s="17">
        <f>IF(Table38[[#This Row],[CODE]]=17, Table38[ [#This Row],[Account Deposit Amount] ]-Table38[ [#This Row],[Account Withdrawl Amount] ], )</f>
        <v>0</v>
      </c>
      <c r="V12" s="19">
        <f>IF(Table37[[#This Row],[CODE]]=18, Table37[ [#This Row],[Account Deposit Amount] ]-Table37[ [#This Row],[Account Withdrawl Amount] ], )</f>
        <v>0</v>
      </c>
    </row>
    <row r="13" spans="1:27" ht="13.8" thickBot="1">
      <c r="A13" s="118" t="s">
        <v>241</v>
      </c>
      <c r="B13" s="114">
        <v>44716</v>
      </c>
      <c r="C13" s="115" t="s">
        <v>250</v>
      </c>
      <c r="D13" s="115" t="s">
        <v>251</v>
      </c>
      <c r="E13" s="116"/>
      <c r="F13" s="116">
        <v>5</v>
      </c>
      <c r="G13" s="82">
        <f t="shared" si="2"/>
        <v>21467.879999999997</v>
      </c>
      <c r="H13" s="115">
        <v>14</v>
      </c>
      <c r="I13" s="17">
        <f>IF(Table38[[#This Row],[CODE]]=1, Table38[ [#This Row],[Account Deposit Amount] ]-Table38[ [#This Row],[Account Withdrawl Amount] ], )</f>
        <v>0</v>
      </c>
      <c r="J13" s="18">
        <f>IF(Table38[[#This Row],[CODE]]=2, Table38[ [#This Row],[Account Deposit Amount] ]-Table38[ [#This Row],[Account Withdrawl Amount] ], )</f>
        <v>0</v>
      </c>
      <c r="K13" s="18">
        <f>IF(Table38[[#This Row],[CODE]]=3, Table38[ [#This Row],[Account Deposit Amount] ]-Table38[ [#This Row],[Account Withdrawl Amount] ], )</f>
        <v>0</v>
      </c>
      <c r="L13" s="18">
        <f>IF(Table38[[#This Row],[CODE]]=4, Table38[ [#This Row],[Account Deposit Amount] ]-Table38[ [#This Row],[Account Withdrawl Amount] ], )</f>
        <v>0</v>
      </c>
      <c r="M13" s="18">
        <f>IF(Table38[[#This Row],[CODE]]=5, Table38[ [#This Row],[Account Deposit Amount] ]-Table38[ [#This Row],[Account Withdrawl Amount] ], )</f>
        <v>0</v>
      </c>
      <c r="N13" s="18">
        <f>IF(Table38[[#This Row],[CODE]]=6, Table38[ [#This Row],[Account Deposit Amount] ]-Table38[ [#This Row],[Account Withdrawl Amount] ], )</f>
        <v>0</v>
      </c>
      <c r="O13" s="18">
        <f>IF(Table38[[#This Row],[CODE]]=11, Table38[ [#This Row],[Account Deposit Amount] ]-Table38[ [#This Row],[Account Withdrawl Amount] ], )</f>
        <v>0</v>
      </c>
      <c r="P13" s="18">
        <f>IF(Table38[[#This Row],[CODE]]=12, Table38[ [#This Row],[Account Deposit Amount] ]-Table38[ [#This Row],[Account Withdrawl Amount] ], )</f>
        <v>0</v>
      </c>
      <c r="Q13" s="18">
        <f>IF(Table38[[#This Row],[CODE]]=13, Table38[ [#This Row],[Account Deposit Amount] ]-Table38[ [#This Row],[Account Withdrawl Amount] ], )</f>
        <v>0</v>
      </c>
      <c r="R13" s="18">
        <f>IF(Table38[[#This Row],[CODE]]=14, Table38[ [#This Row],[Account Deposit Amount] ]-Table38[ [#This Row],[Account Withdrawl Amount] ], )</f>
        <v>-5</v>
      </c>
      <c r="S13" s="18">
        <f>IF(Table38[[#This Row],[CODE]]=15, Table38[ [#This Row],[Account Deposit Amount] ]-Table38[ [#This Row],[Account Withdrawl Amount] ], )</f>
        <v>0</v>
      </c>
      <c r="T13" s="18">
        <f>IF(Table38[[#This Row],[CODE]]=16, Table38[ [#This Row],[Account Deposit Amount] ]-Table38[ [#This Row],[Account Withdrawl Amount] ], )</f>
        <v>0</v>
      </c>
      <c r="U13" s="17">
        <f>IF(Table38[[#This Row],[CODE]]=17, Table38[ [#This Row],[Account Deposit Amount] ]-Table38[ [#This Row],[Account Withdrawl Amount] ], )</f>
        <v>0</v>
      </c>
      <c r="V13" s="19">
        <f>IF(Table37[[#This Row],[CODE]]=18, Table37[ [#This Row],[Account Deposit Amount] ]-Table37[ [#This Row],[Account Withdrawl Amount] ], )</f>
        <v>0</v>
      </c>
    </row>
    <row r="14" spans="1:27" ht="13.8" thickBot="1">
      <c r="A14" s="118" t="s">
        <v>241</v>
      </c>
      <c r="B14" s="114">
        <v>44716</v>
      </c>
      <c r="C14" s="115" t="s">
        <v>252</v>
      </c>
      <c r="D14" s="115" t="s">
        <v>253</v>
      </c>
      <c r="E14" s="116"/>
      <c r="F14" s="116">
        <v>68.290000000000006</v>
      </c>
      <c r="G14" s="82">
        <f t="shared" si="2"/>
        <v>21399.589999999997</v>
      </c>
      <c r="H14" s="115">
        <v>15</v>
      </c>
      <c r="I14" s="17">
        <f>IF(Table38[[#This Row],[CODE]]=1, Table38[ [#This Row],[Account Deposit Amount] ]-Table38[ [#This Row],[Account Withdrawl Amount] ], )</f>
        <v>0</v>
      </c>
      <c r="J14" s="18">
        <f>IF(Table38[[#This Row],[CODE]]=2, Table38[ [#This Row],[Account Deposit Amount] ]-Table38[ [#This Row],[Account Withdrawl Amount] ], )</f>
        <v>0</v>
      </c>
      <c r="K14" s="18">
        <f>IF(Table38[[#This Row],[CODE]]=3, Table38[ [#This Row],[Account Deposit Amount] ]-Table38[ [#This Row],[Account Withdrawl Amount] ], )</f>
        <v>0</v>
      </c>
      <c r="L14" s="18">
        <f>IF(Table38[[#This Row],[CODE]]=4, Table38[ [#This Row],[Account Deposit Amount] ]-Table38[ [#This Row],[Account Withdrawl Amount] ], )</f>
        <v>0</v>
      </c>
      <c r="M14" s="18">
        <f>IF(Table38[[#This Row],[CODE]]=5, Table38[ [#This Row],[Account Deposit Amount] ]-Table38[ [#This Row],[Account Withdrawl Amount] ], )</f>
        <v>0</v>
      </c>
      <c r="N14" s="18">
        <f>IF(Table38[[#This Row],[CODE]]=6, Table38[ [#This Row],[Account Deposit Amount] ]-Table38[ [#This Row],[Account Withdrawl Amount] ], )</f>
        <v>0</v>
      </c>
      <c r="O14" s="18">
        <f>IF(Table38[[#This Row],[CODE]]=11, Table38[ [#This Row],[Account Deposit Amount] ]-Table38[ [#This Row],[Account Withdrawl Amount] ], )</f>
        <v>0</v>
      </c>
      <c r="P14" s="18">
        <f>IF(Table38[[#This Row],[CODE]]=12, Table38[ [#This Row],[Account Deposit Amount] ]-Table38[ [#This Row],[Account Withdrawl Amount] ], )</f>
        <v>0</v>
      </c>
      <c r="Q14" s="18">
        <f>IF(Table38[[#This Row],[CODE]]=13, Table38[ [#This Row],[Account Deposit Amount] ]-Table38[ [#This Row],[Account Withdrawl Amount] ], )</f>
        <v>0</v>
      </c>
      <c r="R14" s="18">
        <f>IF(Table38[[#This Row],[CODE]]=14, Table38[ [#This Row],[Account Deposit Amount] ]-Table38[ [#This Row],[Account Withdrawl Amount] ], )</f>
        <v>0</v>
      </c>
      <c r="S14" s="18">
        <f>IF(Table38[[#This Row],[CODE]]=15, Table38[ [#This Row],[Account Deposit Amount] ]-Table38[ [#This Row],[Account Withdrawl Amount] ], )</f>
        <v>-68.290000000000006</v>
      </c>
      <c r="T14" s="18">
        <f>IF(Table38[[#This Row],[CODE]]=16, Table38[ [#This Row],[Account Deposit Amount] ]-Table38[ [#This Row],[Account Withdrawl Amount] ], )</f>
        <v>0</v>
      </c>
      <c r="U14" s="17">
        <f>IF(Table38[[#This Row],[CODE]]=17, Table38[ [#This Row],[Account Deposit Amount] ]-Table38[ [#This Row],[Account Withdrawl Amount] ], )</f>
        <v>0</v>
      </c>
      <c r="V14" s="19">
        <f>IF(Table37[[#This Row],[CODE]]=18, Table37[ [#This Row],[Account Deposit Amount] ]-Table37[ [#This Row],[Account Withdrawl Amount] ], )</f>
        <v>0</v>
      </c>
    </row>
    <row r="15" spans="1:27" ht="13.8" thickBot="1">
      <c r="A15" s="118" t="s">
        <v>241</v>
      </c>
      <c r="B15" s="114">
        <v>44718</v>
      </c>
      <c r="C15" s="115" t="s">
        <v>254</v>
      </c>
      <c r="D15" s="115" t="s">
        <v>255</v>
      </c>
      <c r="E15" s="116"/>
      <c r="F15" s="116">
        <v>19.34</v>
      </c>
      <c r="G15" s="82">
        <f t="shared" si="2"/>
        <v>21380.249999999996</v>
      </c>
      <c r="H15" s="115">
        <v>15</v>
      </c>
      <c r="I15" s="17">
        <f>IF(Table38[[#This Row],[CODE]]=1, Table38[ [#This Row],[Account Deposit Amount] ]-Table38[ [#This Row],[Account Withdrawl Amount] ], )</f>
        <v>0</v>
      </c>
      <c r="J15" s="18">
        <f>IF(Table38[[#This Row],[CODE]]=2, Table38[ [#This Row],[Account Deposit Amount] ]-Table38[ [#This Row],[Account Withdrawl Amount] ], )</f>
        <v>0</v>
      </c>
      <c r="K15" s="18">
        <f>IF(Table38[[#This Row],[CODE]]=3, Table38[ [#This Row],[Account Deposit Amount] ]-Table38[ [#This Row],[Account Withdrawl Amount] ], )</f>
        <v>0</v>
      </c>
      <c r="L15" s="18">
        <f>IF(Table38[[#This Row],[CODE]]=4, Table38[ [#This Row],[Account Deposit Amount] ]-Table38[ [#This Row],[Account Withdrawl Amount] ], )</f>
        <v>0</v>
      </c>
      <c r="M15" s="18">
        <f>IF(Table38[[#This Row],[CODE]]=5, Table38[ [#This Row],[Account Deposit Amount] ]-Table38[ [#This Row],[Account Withdrawl Amount] ], )</f>
        <v>0</v>
      </c>
      <c r="N15" s="18">
        <f>IF(Table38[[#This Row],[CODE]]=6, Table38[ [#This Row],[Account Deposit Amount] ]-Table38[ [#This Row],[Account Withdrawl Amount] ], )</f>
        <v>0</v>
      </c>
      <c r="O15" s="18">
        <f>IF(Table38[[#This Row],[CODE]]=11, Table38[ [#This Row],[Account Deposit Amount] ]-Table38[ [#This Row],[Account Withdrawl Amount] ], )</f>
        <v>0</v>
      </c>
      <c r="P15" s="18">
        <f>IF(Table38[[#This Row],[CODE]]=12, Table38[ [#This Row],[Account Deposit Amount] ]-Table38[ [#This Row],[Account Withdrawl Amount] ], )</f>
        <v>0</v>
      </c>
      <c r="Q15" s="18">
        <f>IF(Table38[[#This Row],[CODE]]=13, Table38[ [#This Row],[Account Deposit Amount] ]-Table38[ [#This Row],[Account Withdrawl Amount] ], )</f>
        <v>0</v>
      </c>
      <c r="R15" s="18">
        <f>IF(Table38[[#This Row],[CODE]]=14, Table38[ [#This Row],[Account Deposit Amount] ]-Table38[ [#This Row],[Account Withdrawl Amount] ], )</f>
        <v>0</v>
      </c>
      <c r="S15" s="18">
        <f>IF(Table38[[#This Row],[CODE]]=15, Table38[ [#This Row],[Account Deposit Amount] ]-Table38[ [#This Row],[Account Withdrawl Amount] ], )</f>
        <v>-19.34</v>
      </c>
      <c r="T15" s="18">
        <f>IF(Table38[[#This Row],[CODE]]=16, Table38[ [#This Row],[Account Deposit Amount] ]-Table38[ [#This Row],[Account Withdrawl Amount] ], )</f>
        <v>0</v>
      </c>
      <c r="U15" s="17">
        <f>IF(Table38[[#This Row],[CODE]]=17, Table38[ [#This Row],[Account Deposit Amount] ]-Table38[ [#This Row],[Account Withdrawl Amount] ], )</f>
        <v>0</v>
      </c>
      <c r="V15" s="19">
        <f>IF(Table37[[#This Row],[CODE]]=18, Table37[ [#This Row],[Account Deposit Amount] ]-Table37[ [#This Row],[Account Withdrawl Amount] ], )</f>
        <v>0</v>
      </c>
    </row>
    <row r="16" spans="1:27" ht="13.8" thickBot="1">
      <c r="A16" s="118" t="s">
        <v>241</v>
      </c>
      <c r="B16" s="114">
        <v>44718</v>
      </c>
      <c r="C16" s="115" t="s">
        <v>207</v>
      </c>
      <c r="D16" s="115" t="s">
        <v>256</v>
      </c>
      <c r="E16" s="116"/>
      <c r="F16" s="116">
        <v>51.01</v>
      </c>
      <c r="G16" s="82">
        <f t="shared" si="2"/>
        <v>21329.239999999998</v>
      </c>
      <c r="H16" s="115">
        <v>14</v>
      </c>
      <c r="I16" s="17">
        <f>IF(Table38[[#This Row],[CODE]]=1, Table38[ [#This Row],[Account Deposit Amount] ]-Table38[ [#This Row],[Account Withdrawl Amount] ], )</f>
        <v>0</v>
      </c>
      <c r="J16" s="18">
        <f>IF(Table38[[#This Row],[CODE]]=2, Table38[ [#This Row],[Account Deposit Amount] ]-Table38[ [#This Row],[Account Withdrawl Amount] ], )</f>
        <v>0</v>
      </c>
      <c r="K16" s="18">
        <f>IF(Table38[[#This Row],[CODE]]=3, Table38[ [#This Row],[Account Deposit Amount] ]-Table38[ [#This Row],[Account Withdrawl Amount] ], )</f>
        <v>0</v>
      </c>
      <c r="L16" s="18">
        <f>IF(Table38[[#This Row],[CODE]]=4, Table38[ [#This Row],[Account Deposit Amount] ]-Table38[ [#This Row],[Account Withdrawl Amount] ], )</f>
        <v>0</v>
      </c>
      <c r="M16" s="18">
        <f>IF(Table38[[#This Row],[CODE]]=5, Table38[ [#This Row],[Account Deposit Amount] ]-Table38[ [#This Row],[Account Withdrawl Amount] ], )</f>
        <v>0</v>
      </c>
      <c r="N16" s="18">
        <f>IF(Table38[[#This Row],[CODE]]=6, Table38[ [#This Row],[Account Deposit Amount] ]-Table38[ [#This Row],[Account Withdrawl Amount] ], )</f>
        <v>0</v>
      </c>
      <c r="O16" s="18">
        <f>IF(Table38[[#This Row],[CODE]]=11, Table38[ [#This Row],[Account Deposit Amount] ]-Table38[ [#This Row],[Account Withdrawl Amount] ], )</f>
        <v>0</v>
      </c>
      <c r="P16" s="18">
        <f>IF(Table38[[#This Row],[CODE]]=12, Table38[ [#This Row],[Account Deposit Amount] ]-Table38[ [#This Row],[Account Withdrawl Amount] ], )</f>
        <v>0</v>
      </c>
      <c r="Q16" s="18">
        <f>IF(Table38[[#This Row],[CODE]]=13, Table38[ [#This Row],[Account Deposit Amount] ]-Table38[ [#This Row],[Account Withdrawl Amount] ], )</f>
        <v>0</v>
      </c>
      <c r="R16" s="18">
        <f>IF(Table38[[#This Row],[CODE]]=14, Table38[ [#This Row],[Account Deposit Amount] ]-Table38[ [#This Row],[Account Withdrawl Amount] ], )</f>
        <v>-51.01</v>
      </c>
      <c r="S16" s="18">
        <f>IF(Table38[[#This Row],[CODE]]=15, Table38[ [#This Row],[Account Deposit Amount] ]-Table38[ [#This Row],[Account Withdrawl Amount] ], )</f>
        <v>0</v>
      </c>
      <c r="T16" s="18">
        <f>IF(Table38[[#This Row],[CODE]]=16, Table38[ [#This Row],[Account Deposit Amount] ]-Table38[ [#This Row],[Account Withdrawl Amount] ], )</f>
        <v>0</v>
      </c>
      <c r="U16" s="17">
        <f>IF(Table38[[#This Row],[CODE]]=17, Table38[ [#This Row],[Account Deposit Amount] ]-Table38[ [#This Row],[Account Withdrawl Amount] ], )</f>
        <v>0</v>
      </c>
      <c r="V16" s="19">
        <f>IF(Table37[[#This Row],[CODE]]=18, Table37[ [#This Row],[Account Deposit Amount] ]-Table37[ [#This Row],[Account Withdrawl Amount] ], )</f>
        <v>0</v>
      </c>
    </row>
    <row r="17" spans="1:22" ht="13.8" thickBot="1">
      <c r="A17" s="118" t="s">
        <v>241</v>
      </c>
      <c r="B17" s="114">
        <v>44718</v>
      </c>
      <c r="C17" s="115" t="s">
        <v>207</v>
      </c>
      <c r="D17" s="115" t="s">
        <v>257</v>
      </c>
      <c r="E17" s="116"/>
      <c r="F17" s="116">
        <v>99.86</v>
      </c>
      <c r="G17" s="82">
        <f t="shared" si="2"/>
        <v>21229.379999999997</v>
      </c>
      <c r="H17" s="115">
        <v>14</v>
      </c>
      <c r="I17" s="17">
        <f>IF(Table38[[#This Row],[CODE]]=1, Table38[ [#This Row],[Account Deposit Amount] ]-Table38[ [#This Row],[Account Withdrawl Amount] ], )</f>
        <v>0</v>
      </c>
      <c r="J17" s="18">
        <f>IF(Table38[[#This Row],[CODE]]=2, Table38[ [#This Row],[Account Deposit Amount] ]-Table38[ [#This Row],[Account Withdrawl Amount] ], )</f>
        <v>0</v>
      </c>
      <c r="K17" s="18">
        <f>IF(Table38[[#This Row],[CODE]]=3, Table38[ [#This Row],[Account Deposit Amount] ]-Table38[ [#This Row],[Account Withdrawl Amount] ], )</f>
        <v>0</v>
      </c>
      <c r="L17" s="18">
        <f>IF(Table38[[#This Row],[CODE]]=4, Table38[ [#This Row],[Account Deposit Amount] ]-Table38[ [#This Row],[Account Withdrawl Amount] ], )</f>
        <v>0</v>
      </c>
      <c r="M17" s="18">
        <f>IF(Table38[[#This Row],[CODE]]=5, Table38[ [#This Row],[Account Deposit Amount] ]-Table38[ [#This Row],[Account Withdrawl Amount] ], )</f>
        <v>0</v>
      </c>
      <c r="N17" s="18">
        <f>IF(Table38[[#This Row],[CODE]]=6, Table38[ [#This Row],[Account Deposit Amount] ]-Table38[ [#This Row],[Account Withdrawl Amount] ], )</f>
        <v>0</v>
      </c>
      <c r="O17" s="18">
        <f>IF(Table38[[#This Row],[CODE]]=11, Table38[ [#This Row],[Account Deposit Amount] ]-Table38[ [#This Row],[Account Withdrawl Amount] ], )</f>
        <v>0</v>
      </c>
      <c r="P17" s="18">
        <f>IF(Table38[[#This Row],[CODE]]=12, Table38[ [#This Row],[Account Deposit Amount] ]-Table38[ [#This Row],[Account Withdrawl Amount] ], )</f>
        <v>0</v>
      </c>
      <c r="Q17" s="18">
        <f>IF(Table38[[#This Row],[CODE]]=13, Table38[ [#This Row],[Account Deposit Amount] ]-Table38[ [#This Row],[Account Withdrawl Amount] ], )</f>
        <v>0</v>
      </c>
      <c r="R17" s="18">
        <f>IF(Table38[[#This Row],[CODE]]=14, Table38[ [#This Row],[Account Deposit Amount] ]-Table38[ [#This Row],[Account Withdrawl Amount] ], )</f>
        <v>-99.86</v>
      </c>
      <c r="S17" s="18">
        <f>IF(Table38[[#This Row],[CODE]]=15, Table38[ [#This Row],[Account Deposit Amount] ]-Table38[ [#This Row],[Account Withdrawl Amount] ], )</f>
        <v>0</v>
      </c>
      <c r="T17" s="18">
        <f>IF(Table38[[#This Row],[CODE]]=16, Table38[ [#This Row],[Account Deposit Amount] ]-Table38[ [#This Row],[Account Withdrawl Amount] ], )</f>
        <v>0</v>
      </c>
      <c r="U17" s="17">
        <f>IF(Table38[[#This Row],[CODE]]=17, Table38[ [#This Row],[Account Deposit Amount] ]-Table38[ [#This Row],[Account Withdrawl Amount] ], )</f>
        <v>0</v>
      </c>
      <c r="V17" s="19">
        <f>IF(Table37[[#This Row],[CODE]]=18, Table37[ [#This Row],[Account Deposit Amount] ]-Table37[ [#This Row],[Account Withdrawl Amount] ], )</f>
        <v>0</v>
      </c>
    </row>
    <row r="18" spans="1:22" ht="13.8" thickBot="1">
      <c r="A18" s="118" t="s">
        <v>241</v>
      </c>
      <c r="B18" s="114">
        <v>44718</v>
      </c>
      <c r="C18" s="115" t="s">
        <v>207</v>
      </c>
      <c r="D18" s="115" t="s">
        <v>258</v>
      </c>
      <c r="E18" s="116"/>
      <c r="F18" s="116">
        <v>40.01</v>
      </c>
      <c r="G18" s="82">
        <f t="shared" si="2"/>
        <v>21189.37</v>
      </c>
      <c r="H18" s="115">
        <v>14</v>
      </c>
      <c r="I18" s="17">
        <f>IF(Table38[[#This Row],[CODE]]=1, Table38[ [#This Row],[Account Deposit Amount] ]-Table38[ [#This Row],[Account Withdrawl Amount] ], )</f>
        <v>0</v>
      </c>
      <c r="J18" s="18">
        <f>IF(Table38[[#This Row],[CODE]]=2, Table38[ [#This Row],[Account Deposit Amount] ]-Table38[ [#This Row],[Account Withdrawl Amount] ], )</f>
        <v>0</v>
      </c>
      <c r="K18" s="18">
        <f>IF(Table38[[#This Row],[CODE]]=3, Table38[ [#This Row],[Account Deposit Amount] ]-Table38[ [#This Row],[Account Withdrawl Amount] ], )</f>
        <v>0</v>
      </c>
      <c r="L18" s="18">
        <f>IF(Table38[[#This Row],[CODE]]=4, Table38[ [#This Row],[Account Deposit Amount] ]-Table38[ [#This Row],[Account Withdrawl Amount] ], )</f>
        <v>0</v>
      </c>
      <c r="M18" s="18">
        <f>IF(Table38[[#This Row],[CODE]]=5, Table38[ [#This Row],[Account Deposit Amount] ]-Table38[ [#This Row],[Account Withdrawl Amount] ], )</f>
        <v>0</v>
      </c>
      <c r="N18" s="18">
        <f>IF(Table38[[#This Row],[CODE]]=6, Table38[ [#This Row],[Account Deposit Amount] ]-Table38[ [#This Row],[Account Withdrawl Amount] ], )</f>
        <v>0</v>
      </c>
      <c r="O18" s="18">
        <f>IF(Table38[[#This Row],[CODE]]=11, Table38[ [#This Row],[Account Deposit Amount] ]-Table38[ [#This Row],[Account Withdrawl Amount] ], )</f>
        <v>0</v>
      </c>
      <c r="P18" s="18">
        <f>IF(Table38[[#This Row],[CODE]]=12, Table38[ [#This Row],[Account Deposit Amount] ]-Table38[ [#This Row],[Account Withdrawl Amount] ], )</f>
        <v>0</v>
      </c>
      <c r="Q18" s="18">
        <f>IF(Table38[[#This Row],[CODE]]=13, Table38[ [#This Row],[Account Deposit Amount] ]-Table38[ [#This Row],[Account Withdrawl Amount] ], )</f>
        <v>0</v>
      </c>
      <c r="R18" s="18">
        <f>IF(Table38[[#This Row],[CODE]]=14, Table38[ [#This Row],[Account Deposit Amount] ]-Table38[ [#This Row],[Account Withdrawl Amount] ], )</f>
        <v>-40.01</v>
      </c>
      <c r="S18" s="18">
        <f>IF(Table38[[#This Row],[CODE]]=15, Table38[ [#This Row],[Account Deposit Amount] ]-Table38[ [#This Row],[Account Withdrawl Amount] ], )</f>
        <v>0</v>
      </c>
      <c r="T18" s="18">
        <f>IF(Table38[[#This Row],[CODE]]=16, Table38[ [#This Row],[Account Deposit Amount] ]-Table38[ [#This Row],[Account Withdrawl Amount] ], )</f>
        <v>0</v>
      </c>
      <c r="U18" s="17">
        <f>IF(Table38[[#This Row],[CODE]]=17, Table38[ [#This Row],[Account Deposit Amount] ]-Table38[ [#This Row],[Account Withdrawl Amount] ], )</f>
        <v>0</v>
      </c>
      <c r="V18" s="19">
        <f>IF(Table37[[#This Row],[CODE]]=18, Table37[ [#This Row],[Account Deposit Amount] ]-Table37[ [#This Row],[Account Withdrawl Amount] ], )</f>
        <v>0</v>
      </c>
    </row>
    <row r="19" spans="1:22" ht="13.8" thickBot="1">
      <c r="A19" s="118" t="s">
        <v>241</v>
      </c>
      <c r="B19" s="114">
        <v>44718</v>
      </c>
      <c r="C19" s="115" t="s">
        <v>242</v>
      </c>
      <c r="D19" s="115" t="s">
        <v>259</v>
      </c>
      <c r="E19" s="116"/>
      <c r="F19" s="116">
        <v>48.39</v>
      </c>
      <c r="G19" s="82">
        <f t="shared" si="2"/>
        <v>21140.98</v>
      </c>
      <c r="H19" s="115">
        <v>14</v>
      </c>
      <c r="I19" s="17">
        <f>IF(Table38[[#This Row],[CODE]]=1, Table38[ [#This Row],[Account Deposit Amount] ]-Table38[ [#This Row],[Account Withdrawl Amount] ], )</f>
        <v>0</v>
      </c>
      <c r="J19" s="18">
        <f>IF(Table38[[#This Row],[CODE]]=2, Table38[ [#This Row],[Account Deposit Amount] ]-Table38[ [#This Row],[Account Withdrawl Amount] ], )</f>
        <v>0</v>
      </c>
      <c r="K19" s="18">
        <f>IF(Table38[[#This Row],[CODE]]=3, Table38[ [#This Row],[Account Deposit Amount] ]-Table38[ [#This Row],[Account Withdrawl Amount] ], )</f>
        <v>0</v>
      </c>
      <c r="L19" s="18">
        <f>IF(Table38[[#This Row],[CODE]]=4, Table38[ [#This Row],[Account Deposit Amount] ]-Table38[ [#This Row],[Account Withdrawl Amount] ], )</f>
        <v>0</v>
      </c>
      <c r="M19" s="18">
        <f>IF(Table38[[#This Row],[CODE]]=5, Table38[ [#This Row],[Account Deposit Amount] ]-Table38[ [#This Row],[Account Withdrawl Amount] ], )</f>
        <v>0</v>
      </c>
      <c r="N19" s="18">
        <f>IF(Table38[[#This Row],[CODE]]=6, Table38[ [#This Row],[Account Deposit Amount] ]-Table38[ [#This Row],[Account Withdrawl Amount] ], )</f>
        <v>0</v>
      </c>
      <c r="O19" s="18">
        <f>IF(Table38[[#This Row],[CODE]]=11, Table38[ [#This Row],[Account Deposit Amount] ]-Table38[ [#This Row],[Account Withdrawl Amount] ], )</f>
        <v>0</v>
      </c>
      <c r="P19" s="18">
        <f>IF(Table38[[#This Row],[CODE]]=12, Table38[ [#This Row],[Account Deposit Amount] ]-Table38[ [#This Row],[Account Withdrawl Amount] ], )</f>
        <v>0</v>
      </c>
      <c r="Q19" s="18">
        <f>IF(Table38[[#This Row],[CODE]]=13, Table38[ [#This Row],[Account Deposit Amount] ]-Table38[ [#This Row],[Account Withdrawl Amount] ], )</f>
        <v>0</v>
      </c>
      <c r="R19" s="18">
        <f>IF(Table38[[#This Row],[CODE]]=14, Table38[ [#This Row],[Account Deposit Amount] ]-Table38[ [#This Row],[Account Withdrawl Amount] ], )</f>
        <v>-48.39</v>
      </c>
      <c r="S19" s="18">
        <f>IF(Table38[[#This Row],[CODE]]=15, Table38[ [#This Row],[Account Deposit Amount] ]-Table38[ [#This Row],[Account Withdrawl Amount] ], )</f>
        <v>0</v>
      </c>
      <c r="T19" s="18">
        <f>IF(Table38[[#This Row],[CODE]]=16, Table38[ [#This Row],[Account Deposit Amount] ]-Table38[ [#This Row],[Account Withdrawl Amount] ], )</f>
        <v>0</v>
      </c>
      <c r="U19" s="17">
        <f>IF(Table38[[#This Row],[CODE]]=17, Table38[ [#This Row],[Account Deposit Amount] ]-Table38[ [#This Row],[Account Withdrawl Amount] ], )</f>
        <v>0</v>
      </c>
      <c r="V19" s="19">
        <f>IF(Table37[[#This Row],[CODE]]=18, Table37[ [#This Row],[Account Deposit Amount] ]-Table37[ [#This Row],[Account Withdrawl Amount] ], )</f>
        <v>0</v>
      </c>
    </row>
    <row r="20" spans="1:22" ht="13.8" thickBot="1">
      <c r="A20" s="118" t="s">
        <v>241</v>
      </c>
      <c r="B20" s="114">
        <v>44718</v>
      </c>
      <c r="C20" s="115" t="s">
        <v>242</v>
      </c>
      <c r="D20" s="115" t="s">
        <v>260</v>
      </c>
      <c r="E20" s="116"/>
      <c r="F20" s="116">
        <v>21.55</v>
      </c>
      <c r="G20" s="82">
        <f t="shared" si="2"/>
        <v>21119.43</v>
      </c>
      <c r="H20" s="115">
        <v>14</v>
      </c>
      <c r="I20" s="17">
        <f>IF(Table38[[#This Row],[CODE]]=1, Table38[ [#This Row],[Account Deposit Amount] ]-Table38[ [#This Row],[Account Withdrawl Amount] ], )</f>
        <v>0</v>
      </c>
      <c r="J20" s="18">
        <f>IF(Table38[[#This Row],[CODE]]=2, Table38[ [#This Row],[Account Deposit Amount] ]-Table38[ [#This Row],[Account Withdrawl Amount] ], )</f>
        <v>0</v>
      </c>
      <c r="K20" s="18">
        <f>IF(Table38[[#This Row],[CODE]]=3, Table38[ [#This Row],[Account Deposit Amount] ]-Table38[ [#This Row],[Account Withdrawl Amount] ], )</f>
        <v>0</v>
      </c>
      <c r="L20" s="18">
        <f>IF(Table38[[#This Row],[CODE]]=4, Table38[ [#This Row],[Account Deposit Amount] ]-Table38[ [#This Row],[Account Withdrawl Amount] ], )</f>
        <v>0</v>
      </c>
      <c r="M20" s="18">
        <f>IF(Table38[[#This Row],[CODE]]=5, Table38[ [#This Row],[Account Deposit Amount] ]-Table38[ [#This Row],[Account Withdrawl Amount] ], )</f>
        <v>0</v>
      </c>
      <c r="N20" s="18">
        <f>IF(Table38[[#This Row],[CODE]]=6, Table38[ [#This Row],[Account Deposit Amount] ]-Table38[ [#This Row],[Account Withdrawl Amount] ], )</f>
        <v>0</v>
      </c>
      <c r="O20" s="18">
        <f>IF(Table38[[#This Row],[CODE]]=11, Table38[ [#This Row],[Account Deposit Amount] ]-Table38[ [#This Row],[Account Withdrawl Amount] ], )</f>
        <v>0</v>
      </c>
      <c r="P20" s="18">
        <f>IF(Table38[[#This Row],[CODE]]=12, Table38[ [#This Row],[Account Deposit Amount] ]-Table38[ [#This Row],[Account Withdrawl Amount] ], )</f>
        <v>0</v>
      </c>
      <c r="Q20" s="18">
        <f>IF(Table38[[#This Row],[CODE]]=13, Table38[ [#This Row],[Account Deposit Amount] ]-Table38[ [#This Row],[Account Withdrawl Amount] ], )</f>
        <v>0</v>
      </c>
      <c r="R20" s="18">
        <f>IF(Table38[[#This Row],[CODE]]=14, Table38[ [#This Row],[Account Deposit Amount] ]-Table38[ [#This Row],[Account Withdrawl Amount] ], )</f>
        <v>-21.55</v>
      </c>
      <c r="S20" s="18">
        <f>IF(Table38[[#This Row],[CODE]]=15, Table38[ [#This Row],[Account Deposit Amount] ]-Table38[ [#This Row],[Account Withdrawl Amount] ], )</f>
        <v>0</v>
      </c>
      <c r="T20" s="18">
        <f>IF(Table38[[#This Row],[CODE]]=16, Table38[ [#This Row],[Account Deposit Amount] ]-Table38[ [#This Row],[Account Withdrawl Amount] ], )</f>
        <v>0</v>
      </c>
      <c r="U20" s="17">
        <f>IF(Table38[[#This Row],[CODE]]=17, Table38[ [#This Row],[Account Deposit Amount] ]-Table38[ [#This Row],[Account Withdrawl Amount] ], )</f>
        <v>0</v>
      </c>
      <c r="V20" s="19">
        <f>IF(Table37[[#This Row],[CODE]]=18, Table37[ [#This Row],[Account Deposit Amount] ]-Table37[ [#This Row],[Account Withdrawl Amount] ], )</f>
        <v>0</v>
      </c>
    </row>
    <row r="21" spans="1:22" ht="13.8" thickBot="1">
      <c r="A21" s="118" t="s">
        <v>241</v>
      </c>
      <c r="B21" s="114">
        <v>44718</v>
      </c>
      <c r="C21" s="115" t="s">
        <v>242</v>
      </c>
      <c r="D21" s="115" t="s">
        <v>261</v>
      </c>
      <c r="E21" s="116"/>
      <c r="F21" s="116">
        <v>36</v>
      </c>
      <c r="G21" s="82">
        <f t="shared" si="2"/>
        <v>21083.43</v>
      </c>
      <c r="H21" s="115">
        <v>14</v>
      </c>
      <c r="I21" s="17">
        <f>IF(Table38[[#This Row],[CODE]]=1, Table38[ [#This Row],[Account Deposit Amount] ]-Table38[ [#This Row],[Account Withdrawl Amount] ], )</f>
        <v>0</v>
      </c>
      <c r="J21" s="18">
        <f>IF(Table38[[#This Row],[CODE]]=2, Table38[ [#This Row],[Account Deposit Amount] ]-Table38[ [#This Row],[Account Withdrawl Amount] ], )</f>
        <v>0</v>
      </c>
      <c r="K21" s="18">
        <f>IF(Table38[[#This Row],[CODE]]=3, Table38[ [#This Row],[Account Deposit Amount] ]-Table38[ [#This Row],[Account Withdrawl Amount] ], )</f>
        <v>0</v>
      </c>
      <c r="L21" s="18">
        <f>IF(Table38[[#This Row],[CODE]]=4, Table38[ [#This Row],[Account Deposit Amount] ]-Table38[ [#This Row],[Account Withdrawl Amount] ], )</f>
        <v>0</v>
      </c>
      <c r="M21" s="18">
        <f>IF(Table38[[#This Row],[CODE]]=5, Table38[ [#This Row],[Account Deposit Amount] ]-Table38[ [#This Row],[Account Withdrawl Amount] ], )</f>
        <v>0</v>
      </c>
      <c r="N21" s="18">
        <f>IF(Table38[[#This Row],[CODE]]=6, Table38[ [#This Row],[Account Deposit Amount] ]-Table38[ [#This Row],[Account Withdrawl Amount] ], )</f>
        <v>0</v>
      </c>
      <c r="O21" s="18">
        <f>IF(Table38[[#This Row],[CODE]]=11, Table38[ [#This Row],[Account Deposit Amount] ]-Table38[ [#This Row],[Account Withdrawl Amount] ], )</f>
        <v>0</v>
      </c>
      <c r="P21" s="18">
        <f>IF(Table38[[#This Row],[CODE]]=12, Table38[ [#This Row],[Account Deposit Amount] ]-Table38[ [#This Row],[Account Withdrawl Amount] ], )</f>
        <v>0</v>
      </c>
      <c r="Q21" s="18">
        <f>IF(Table38[[#This Row],[CODE]]=13, Table38[ [#This Row],[Account Deposit Amount] ]-Table38[ [#This Row],[Account Withdrawl Amount] ], )</f>
        <v>0</v>
      </c>
      <c r="R21" s="18">
        <f>IF(Table38[[#This Row],[CODE]]=14, Table38[ [#This Row],[Account Deposit Amount] ]-Table38[ [#This Row],[Account Withdrawl Amount] ], )</f>
        <v>-36</v>
      </c>
      <c r="S21" s="18">
        <f>IF(Table38[[#This Row],[CODE]]=15, Table38[ [#This Row],[Account Deposit Amount] ]-Table38[ [#This Row],[Account Withdrawl Amount] ], )</f>
        <v>0</v>
      </c>
      <c r="T21" s="18">
        <f>IF(Table38[[#This Row],[CODE]]=16, Table38[ [#This Row],[Account Deposit Amount] ]-Table38[ [#This Row],[Account Withdrawl Amount] ], )</f>
        <v>0</v>
      </c>
      <c r="U21" s="17">
        <f>IF(Table38[[#This Row],[CODE]]=17, Table38[ [#This Row],[Account Deposit Amount] ]-Table38[ [#This Row],[Account Withdrawl Amount] ], )</f>
        <v>0</v>
      </c>
      <c r="V21" s="19">
        <f>IF(Table37[[#This Row],[CODE]]=18, Table37[ [#This Row],[Account Deposit Amount] ]-Table37[ [#This Row],[Account Withdrawl Amount] ], )</f>
        <v>0</v>
      </c>
    </row>
    <row r="22" spans="1:22" ht="13.8" thickBot="1">
      <c r="A22" s="118" t="s">
        <v>241</v>
      </c>
      <c r="B22" s="114">
        <v>44718</v>
      </c>
      <c r="C22" s="115" t="s">
        <v>242</v>
      </c>
      <c r="D22" s="115" t="s">
        <v>262</v>
      </c>
      <c r="E22" s="116"/>
      <c r="F22" s="116">
        <v>103.01</v>
      </c>
      <c r="G22" s="82">
        <f t="shared" si="2"/>
        <v>20980.420000000002</v>
      </c>
      <c r="H22" s="115">
        <v>14</v>
      </c>
      <c r="I22" s="17">
        <f>IF(Table38[[#This Row],[CODE]]=1, Table38[ [#This Row],[Account Deposit Amount] ]-Table38[ [#This Row],[Account Withdrawl Amount] ], )</f>
        <v>0</v>
      </c>
      <c r="J22" s="18">
        <f>IF(Table38[[#This Row],[CODE]]=2, Table38[ [#This Row],[Account Deposit Amount] ]-Table38[ [#This Row],[Account Withdrawl Amount] ], )</f>
        <v>0</v>
      </c>
      <c r="K22" s="18">
        <f>IF(Table38[[#This Row],[CODE]]=3, Table38[ [#This Row],[Account Deposit Amount] ]-Table38[ [#This Row],[Account Withdrawl Amount] ], )</f>
        <v>0</v>
      </c>
      <c r="L22" s="18">
        <f>IF(Table38[[#This Row],[CODE]]=4, Table38[ [#This Row],[Account Deposit Amount] ]-Table38[ [#This Row],[Account Withdrawl Amount] ], )</f>
        <v>0</v>
      </c>
      <c r="M22" s="18">
        <f>IF(Table38[[#This Row],[CODE]]=5, Table38[ [#This Row],[Account Deposit Amount] ]-Table38[ [#This Row],[Account Withdrawl Amount] ], )</f>
        <v>0</v>
      </c>
      <c r="N22" s="18">
        <f>IF(Table38[[#This Row],[CODE]]=6, Table38[ [#This Row],[Account Deposit Amount] ]-Table38[ [#This Row],[Account Withdrawl Amount] ], )</f>
        <v>0</v>
      </c>
      <c r="O22" s="18">
        <f>IF(Table38[[#This Row],[CODE]]=11, Table38[ [#This Row],[Account Deposit Amount] ]-Table38[ [#This Row],[Account Withdrawl Amount] ], )</f>
        <v>0</v>
      </c>
      <c r="P22" s="18">
        <f>IF(Table38[[#This Row],[CODE]]=12, Table38[ [#This Row],[Account Deposit Amount] ]-Table38[ [#This Row],[Account Withdrawl Amount] ], )</f>
        <v>0</v>
      </c>
      <c r="Q22" s="18">
        <f>IF(Table38[[#This Row],[CODE]]=13, Table38[ [#This Row],[Account Deposit Amount] ]-Table38[ [#This Row],[Account Withdrawl Amount] ], )</f>
        <v>0</v>
      </c>
      <c r="R22" s="18">
        <f>IF(Table38[[#This Row],[CODE]]=14, Table38[ [#This Row],[Account Deposit Amount] ]-Table38[ [#This Row],[Account Withdrawl Amount] ], )</f>
        <v>-103.01</v>
      </c>
      <c r="S22" s="18">
        <f>IF(Table38[[#This Row],[CODE]]=15, Table38[ [#This Row],[Account Deposit Amount] ]-Table38[ [#This Row],[Account Withdrawl Amount] ], )</f>
        <v>0</v>
      </c>
      <c r="T22" s="18">
        <f>IF(Table38[[#This Row],[CODE]]=16, Table38[ [#This Row],[Account Deposit Amount] ]-Table38[ [#This Row],[Account Withdrawl Amount] ], )</f>
        <v>0</v>
      </c>
      <c r="U22" s="17">
        <f>IF(Table38[[#This Row],[CODE]]=17, Table38[ [#This Row],[Account Deposit Amount] ]-Table38[ [#This Row],[Account Withdrawl Amount] ], )</f>
        <v>0</v>
      </c>
      <c r="V22" s="19">
        <f>IF(Table37[[#This Row],[CODE]]=18, Table37[ [#This Row],[Account Deposit Amount] ]-Table37[ [#This Row],[Account Withdrawl Amount] ], )</f>
        <v>0</v>
      </c>
    </row>
    <row r="23" spans="1:22" ht="13.8" thickBot="1">
      <c r="A23" s="118" t="s">
        <v>241</v>
      </c>
      <c r="B23" s="114">
        <v>44722</v>
      </c>
      <c r="C23" s="115" t="s">
        <v>201</v>
      </c>
      <c r="D23" s="115" t="s">
        <v>67</v>
      </c>
      <c r="E23" s="116"/>
      <c r="F23" s="116">
        <v>73.94</v>
      </c>
      <c r="G23" s="82">
        <f t="shared" si="2"/>
        <v>20906.480000000003</v>
      </c>
      <c r="H23" s="115">
        <v>12</v>
      </c>
      <c r="I23" s="17">
        <f>IF(Table38[[#This Row],[CODE]]=1, Table38[ [#This Row],[Account Deposit Amount] ]-Table38[ [#This Row],[Account Withdrawl Amount] ], )</f>
        <v>0</v>
      </c>
      <c r="J23" s="18">
        <f>IF(Table38[[#This Row],[CODE]]=2, Table38[ [#This Row],[Account Deposit Amount] ]-Table38[ [#This Row],[Account Withdrawl Amount] ], )</f>
        <v>0</v>
      </c>
      <c r="K23" s="18">
        <f>IF(Table38[[#This Row],[CODE]]=3, Table38[ [#This Row],[Account Deposit Amount] ]-Table38[ [#This Row],[Account Withdrawl Amount] ], )</f>
        <v>0</v>
      </c>
      <c r="L23" s="18">
        <f>IF(Table38[[#This Row],[CODE]]=4, Table38[ [#This Row],[Account Deposit Amount] ]-Table38[ [#This Row],[Account Withdrawl Amount] ], )</f>
        <v>0</v>
      </c>
      <c r="M23" s="18">
        <f>IF(Table38[[#This Row],[CODE]]=5, Table38[ [#This Row],[Account Deposit Amount] ]-Table38[ [#This Row],[Account Withdrawl Amount] ], )</f>
        <v>0</v>
      </c>
      <c r="N23" s="18">
        <f>IF(Table38[[#This Row],[CODE]]=6, Table38[ [#This Row],[Account Deposit Amount] ]-Table38[ [#This Row],[Account Withdrawl Amount] ], )</f>
        <v>0</v>
      </c>
      <c r="O23" s="18">
        <f>IF(Table38[[#This Row],[CODE]]=11, Table38[ [#This Row],[Account Deposit Amount] ]-Table38[ [#This Row],[Account Withdrawl Amount] ], )</f>
        <v>0</v>
      </c>
      <c r="P23" s="18">
        <f>IF(Table38[[#This Row],[CODE]]=12, Table38[ [#This Row],[Account Deposit Amount] ]-Table38[ [#This Row],[Account Withdrawl Amount] ], )</f>
        <v>-73.94</v>
      </c>
      <c r="Q23" s="18">
        <f>IF(Table38[[#This Row],[CODE]]=13, Table38[ [#This Row],[Account Deposit Amount] ]-Table38[ [#This Row],[Account Withdrawl Amount] ], )</f>
        <v>0</v>
      </c>
      <c r="R23" s="18">
        <f>IF(Table38[[#This Row],[CODE]]=14, Table38[ [#This Row],[Account Deposit Amount] ]-Table38[ [#This Row],[Account Withdrawl Amount] ], )</f>
        <v>0</v>
      </c>
      <c r="S23" s="18">
        <f>IF(Table38[[#This Row],[CODE]]=15, Table38[ [#This Row],[Account Deposit Amount] ]-Table38[ [#This Row],[Account Withdrawl Amount] ], )</f>
        <v>0</v>
      </c>
      <c r="T23" s="18">
        <f>IF(Table38[[#This Row],[CODE]]=16, Table38[ [#This Row],[Account Deposit Amount] ]-Table38[ [#This Row],[Account Withdrawl Amount] ], )</f>
        <v>0</v>
      </c>
      <c r="U23" s="17">
        <f>IF(Table38[[#This Row],[CODE]]=17, Table38[ [#This Row],[Account Deposit Amount] ]-Table38[ [#This Row],[Account Withdrawl Amount] ], )</f>
        <v>0</v>
      </c>
      <c r="V23" s="19">
        <f>IF(Table37[[#This Row],[CODE]]=18, Table37[ [#This Row],[Account Deposit Amount] ]-Table37[ [#This Row],[Account Withdrawl Amount] ], )</f>
        <v>0</v>
      </c>
    </row>
    <row r="24" spans="1:22" ht="13.8" thickBot="1">
      <c r="A24" s="118" t="s">
        <v>241</v>
      </c>
      <c r="B24" s="114">
        <v>44722</v>
      </c>
      <c r="C24" s="115" t="s">
        <v>201</v>
      </c>
      <c r="D24" s="115" t="s">
        <v>263</v>
      </c>
      <c r="E24" s="116"/>
      <c r="F24" s="116">
        <v>20.13</v>
      </c>
      <c r="G24" s="82">
        <f t="shared" si="2"/>
        <v>20886.350000000002</v>
      </c>
      <c r="H24" s="115">
        <v>13</v>
      </c>
      <c r="I24" s="17">
        <f>IF(Table38[[#This Row],[CODE]]=1, Table38[ [#This Row],[Account Deposit Amount] ]-Table38[ [#This Row],[Account Withdrawl Amount] ], )</f>
        <v>0</v>
      </c>
      <c r="J24" s="18">
        <f>IF(Table38[[#This Row],[CODE]]=2, Table38[ [#This Row],[Account Deposit Amount] ]-Table38[ [#This Row],[Account Withdrawl Amount] ], )</f>
        <v>0</v>
      </c>
      <c r="K24" s="18">
        <f>IF(Table38[[#This Row],[CODE]]=3, Table38[ [#This Row],[Account Deposit Amount] ]-Table38[ [#This Row],[Account Withdrawl Amount] ], )</f>
        <v>0</v>
      </c>
      <c r="L24" s="18">
        <f>IF(Table38[[#This Row],[CODE]]=4, Table38[ [#This Row],[Account Deposit Amount] ]-Table38[ [#This Row],[Account Withdrawl Amount] ], )</f>
        <v>0</v>
      </c>
      <c r="M24" s="18">
        <f>IF(Table38[[#This Row],[CODE]]=5, Table38[ [#This Row],[Account Deposit Amount] ]-Table38[ [#This Row],[Account Withdrawl Amount] ], )</f>
        <v>0</v>
      </c>
      <c r="N24" s="18">
        <f>IF(Table38[[#This Row],[CODE]]=6, Table38[ [#This Row],[Account Deposit Amount] ]-Table38[ [#This Row],[Account Withdrawl Amount] ], )</f>
        <v>0</v>
      </c>
      <c r="O24" s="18">
        <f>IF(Table38[[#This Row],[CODE]]=11, Table38[ [#This Row],[Account Deposit Amount] ]-Table38[ [#This Row],[Account Withdrawl Amount] ], )</f>
        <v>0</v>
      </c>
      <c r="P24" s="18">
        <f>IF(Table38[[#This Row],[CODE]]=12, Table38[ [#This Row],[Account Deposit Amount] ]-Table38[ [#This Row],[Account Withdrawl Amount] ], )</f>
        <v>0</v>
      </c>
      <c r="Q24" s="18">
        <f>IF(Table38[[#This Row],[CODE]]=13, Table38[ [#This Row],[Account Deposit Amount] ]-Table38[ [#This Row],[Account Withdrawl Amount] ], )</f>
        <v>-20.13</v>
      </c>
      <c r="R24" s="18">
        <f>IF(Table38[[#This Row],[CODE]]=14, Table38[ [#This Row],[Account Deposit Amount] ]-Table38[ [#This Row],[Account Withdrawl Amount] ], )</f>
        <v>0</v>
      </c>
      <c r="S24" s="18">
        <f>IF(Table38[[#This Row],[CODE]]=15, Table38[ [#This Row],[Account Deposit Amount] ]-Table38[ [#This Row],[Account Withdrawl Amount] ], )</f>
        <v>0</v>
      </c>
      <c r="T24" s="18">
        <f>IF(Table38[[#This Row],[CODE]]=16, Table38[ [#This Row],[Account Deposit Amount] ]-Table38[ [#This Row],[Account Withdrawl Amount] ], )</f>
        <v>0</v>
      </c>
      <c r="U24" s="17">
        <f>IF(Table38[[#This Row],[CODE]]=17, Table38[ [#This Row],[Account Deposit Amount] ]-Table38[ [#This Row],[Account Withdrawl Amount] ], )</f>
        <v>0</v>
      </c>
      <c r="V24" s="19">
        <f>IF(Table37[[#This Row],[CODE]]=18, Table37[ [#This Row],[Account Deposit Amount] ]-Table37[ [#This Row],[Account Withdrawl Amount] ], )</f>
        <v>0</v>
      </c>
    </row>
    <row r="25" spans="1:22" ht="13.8" thickBot="1">
      <c r="A25" s="118" t="s">
        <v>241</v>
      </c>
      <c r="B25" s="114">
        <v>44722</v>
      </c>
      <c r="C25" s="115" t="s">
        <v>201</v>
      </c>
      <c r="D25" s="115" t="s">
        <v>67</v>
      </c>
      <c r="E25" s="116"/>
      <c r="F25" s="116">
        <v>7.42</v>
      </c>
      <c r="G25" s="82">
        <f t="shared" si="2"/>
        <v>20878.930000000004</v>
      </c>
      <c r="H25" s="115">
        <v>12</v>
      </c>
      <c r="I25" s="17">
        <f>IF(Table38[[#This Row],[CODE]]=1, Table38[ [#This Row],[Account Deposit Amount] ]-Table38[ [#This Row],[Account Withdrawl Amount] ], )</f>
        <v>0</v>
      </c>
      <c r="J25" s="18">
        <f>IF(Table38[[#This Row],[CODE]]=2, Table38[ [#This Row],[Account Deposit Amount] ]-Table38[ [#This Row],[Account Withdrawl Amount] ], )</f>
        <v>0</v>
      </c>
      <c r="K25" s="18">
        <f>IF(Table38[[#This Row],[CODE]]=3, Table38[ [#This Row],[Account Deposit Amount] ]-Table38[ [#This Row],[Account Withdrawl Amount] ], )</f>
        <v>0</v>
      </c>
      <c r="L25" s="18">
        <f>IF(Table38[[#This Row],[CODE]]=4, Table38[ [#This Row],[Account Deposit Amount] ]-Table38[ [#This Row],[Account Withdrawl Amount] ], )</f>
        <v>0</v>
      </c>
      <c r="M25" s="18">
        <f>IF(Table38[[#This Row],[CODE]]=5, Table38[ [#This Row],[Account Deposit Amount] ]-Table38[ [#This Row],[Account Withdrawl Amount] ], )</f>
        <v>0</v>
      </c>
      <c r="N25" s="18">
        <f>IF(Table38[[#This Row],[CODE]]=6, Table38[ [#This Row],[Account Deposit Amount] ]-Table38[ [#This Row],[Account Withdrawl Amount] ], )</f>
        <v>0</v>
      </c>
      <c r="O25" s="18">
        <f>IF(Table38[[#This Row],[CODE]]=11, Table38[ [#This Row],[Account Deposit Amount] ]-Table38[ [#This Row],[Account Withdrawl Amount] ], )</f>
        <v>0</v>
      </c>
      <c r="P25" s="18">
        <f>IF(Table38[[#This Row],[CODE]]=12, Table38[ [#This Row],[Account Deposit Amount] ]-Table38[ [#This Row],[Account Withdrawl Amount] ], )</f>
        <v>-7.42</v>
      </c>
      <c r="Q25" s="18">
        <f>IF(Table38[[#This Row],[CODE]]=13, Table38[ [#This Row],[Account Deposit Amount] ]-Table38[ [#This Row],[Account Withdrawl Amount] ], )</f>
        <v>0</v>
      </c>
      <c r="R25" s="18">
        <f>IF(Table38[[#This Row],[CODE]]=14, Table38[ [#This Row],[Account Deposit Amount] ]-Table38[ [#This Row],[Account Withdrawl Amount] ], )</f>
        <v>0</v>
      </c>
      <c r="S25" s="18">
        <f>IF(Table38[[#This Row],[CODE]]=15, Table38[ [#This Row],[Account Deposit Amount] ]-Table38[ [#This Row],[Account Withdrawl Amount] ], )</f>
        <v>0</v>
      </c>
      <c r="T25" s="18">
        <f>IF(Table38[[#This Row],[CODE]]=16, Table38[ [#This Row],[Account Deposit Amount] ]-Table38[ [#This Row],[Account Withdrawl Amount] ], )</f>
        <v>0</v>
      </c>
      <c r="U25" s="17">
        <f>IF(Table38[[#This Row],[CODE]]=17, Table38[ [#This Row],[Account Deposit Amount] ]-Table38[ [#This Row],[Account Withdrawl Amount] ], )</f>
        <v>0</v>
      </c>
      <c r="V25" s="19">
        <f>IF(Table37[[#This Row],[CODE]]=18, Table37[ [#This Row],[Account Deposit Amount] ]-Table37[ [#This Row],[Account Withdrawl Amount] ], )</f>
        <v>0</v>
      </c>
    </row>
    <row r="26" spans="1:22" ht="13.8" thickBot="1">
      <c r="A26" s="118" t="s">
        <v>241</v>
      </c>
      <c r="B26" s="114">
        <v>44726</v>
      </c>
      <c r="C26" s="115" t="s">
        <v>264</v>
      </c>
      <c r="D26" s="115" t="s">
        <v>265</v>
      </c>
      <c r="E26" s="116"/>
      <c r="F26" s="116">
        <v>19.260000000000002</v>
      </c>
      <c r="G26" s="82">
        <f t="shared" si="2"/>
        <v>20859.670000000006</v>
      </c>
      <c r="H26" s="115">
        <v>15</v>
      </c>
      <c r="I26" s="17">
        <f>IF(Table38[[#This Row],[CODE]]=1, Table38[ [#This Row],[Account Deposit Amount] ]-Table38[ [#This Row],[Account Withdrawl Amount] ], )</f>
        <v>0</v>
      </c>
      <c r="J26" s="18">
        <f>IF(Table38[[#This Row],[CODE]]=2, Table38[ [#This Row],[Account Deposit Amount] ]-Table38[ [#This Row],[Account Withdrawl Amount] ], )</f>
        <v>0</v>
      </c>
      <c r="K26" s="18">
        <f>IF(Table38[[#This Row],[CODE]]=3, Table38[ [#This Row],[Account Deposit Amount] ]-Table38[ [#This Row],[Account Withdrawl Amount] ], )</f>
        <v>0</v>
      </c>
      <c r="L26" s="18">
        <f>IF(Table38[[#This Row],[CODE]]=4, Table38[ [#This Row],[Account Deposit Amount] ]-Table38[ [#This Row],[Account Withdrawl Amount] ], )</f>
        <v>0</v>
      </c>
      <c r="M26" s="18">
        <f>IF(Table38[[#This Row],[CODE]]=5, Table38[ [#This Row],[Account Deposit Amount] ]-Table38[ [#This Row],[Account Withdrawl Amount] ], )</f>
        <v>0</v>
      </c>
      <c r="N26" s="18">
        <f>IF(Table38[[#This Row],[CODE]]=6, Table38[ [#This Row],[Account Deposit Amount] ]-Table38[ [#This Row],[Account Withdrawl Amount] ], )</f>
        <v>0</v>
      </c>
      <c r="O26" s="18">
        <f>IF(Table38[[#This Row],[CODE]]=11, Table38[ [#This Row],[Account Deposit Amount] ]-Table38[ [#This Row],[Account Withdrawl Amount] ], )</f>
        <v>0</v>
      </c>
      <c r="P26" s="18">
        <f>IF(Table38[[#This Row],[CODE]]=12, Table38[ [#This Row],[Account Deposit Amount] ]-Table38[ [#This Row],[Account Withdrawl Amount] ], )</f>
        <v>0</v>
      </c>
      <c r="Q26" s="18">
        <f>IF(Table38[[#This Row],[CODE]]=13, Table38[ [#This Row],[Account Deposit Amount] ]-Table38[ [#This Row],[Account Withdrawl Amount] ], )</f>
        <v>0</v>
      </c>
      <c r="R26" s="18">
        <f>IF(Table38[[#This Row],[CODE]]=14, Table38[ [#This Row],[Account Deposit Amount] ]-Table38[ [#This Row],[Account Withdrawl Amount] ], )</f>
        <v>0</v>
      </c>
      <c r="S26" s="18">
        <f>IF(Table38[[#This Row],[CODE]]=15, Table38[ [#This Row],[Account Deposit Amount] ]-Table38[ [#This Row],[Account Withdrawl Amount] ], )</f>
        <v>-19.260000000000002</v>
      </c>
      <c r="T26" s="18">
        <f>IF(Table38[[#This Row],[CODE]]=16, Table38[ [#This Row],[Account Deposit Amount] ]-Table38[ [#This Row],[Account Withdrawl Amount] ], )</f>
        <v>0</v>
      </c>
      <c r="U26" s="17">
        <f>IF(Table38[[#This Row],[CODE]]=17, Table38[ [#This Row],[Account Deposit Amount] ]-Table38[ [#This Row],[Account Withdrawl Amount] ], )</f>
        <v>0</v>
      </c>
      <c r="V26" s="19">
        <f>IF(Table37[[#This Row],[CODE]]=18, Table37[ [#This Row],[Account Deposit Amount] ]-Table37[ [#This Row],[Account Withdrawl Amount] ], )</f>
        <v>0</v>
      </c>
    </row>
    <row r="27" spans="1:22" ht="13.8" thickBot="1">
      <c r="A27" s="118" t="s">
        <v>241</v>
      </c>
      <c r="B27" s="114">
        <v>44727</v>
      </c>
      <c r="C27" s="115" t="s">
        <v>266</v>
      </c>
      <c r="D27" s="115" t="s">
        <v>267</v>
      </c>
      <c r="E27" s="116"/>
      <c r="F27" s="116">
        <v>5</v>
      </c>
      <c r="G27" s="82">
        <f t="shared" si="2"/>
        <v>20854.670000000006</v>
      </c>
      <c r="H27" s="115">
        <v>13</v>
      </c>
      <c r="I27" s="17">
        <f>IF(Table38[[#This Row],[CODE]]=1, Table38[ [#This Row],[Account Deposit Amount] ]-Table38[ [#This Row],[Account Withdrawl Amount] ], )</f>
        <v>0</v>
      </c>
      <c r="J27" s="18">
        <f>IF(Table38[[#This Row],[CODE]]=2, Table38[ [#This Row],[Account Deposit Amount] ]-Table38[ [#This Row],[Account Withdrawl Amount] ], )</f>
        <v>0</v>
      </c>
      <c r="K27" s="18">
        <f>IF(Table38[[#This Row],[CODE]]=3, Table38[ [#This Row],[Account Deposit Amount] ]-Table38[ [#This Row],[Account Withdrawl Amount] ], )</f>
        <v>0</v>
      </c>
      <c r="L27" s="18">
        <f>IF(Table38[[#This Row],[CODE]]=4, Table38[ [#This Row],[Account Deposit Amount] ]-Table38[ [#This Row],[Account Withdrawl Amount] ], )</f>
        <v>0</v>
      </c>
      <c r="M27" s="18">
        <f>IF(Table38[[#This Row],[CODE]]=5, Table38[ [#This Row],[Account Deposit Amount] ]-Table38[ [#This Row],[Account Withdrawl Amount] ], )</f>
        <v>0</v>
      </c>
      <c r="N27" s="18">
        <f>IF(Table38[[#This Row],[CODE]]=6, Table38[ [#This Row],[Account Deposit Amount] ]-Table38[ [#This Row],[Account Withdrawl Amount] ], )</f>
        <v>0</v>
      </c>
      <c r="O27" s="18">
        <f>IF(Table38[[#This Row],[CODE]]=11, Table38[ [#This Row],[Account Deposit Amount] ]-Table38[ [#This Row],[Account Withdrawl Amount] ], )</f>
        <v>0</v>
      </c>
      <c r="P27" s="18">
        <f>IF(Table38[[#This Row],[CODE]]=12, Table38[ [#This Row],[Account Deposit Amount] ]-Table38[ [#This Row],[Account Withdrawl Amount] ], )</f>
        <v>0</v>
      </c>
      <c r="Q27" s="18">
        <f>IF(Table38[[#This Row],[CODE]]=13, Table38[ [#This Row],[Account Deposit Amount] ]-Table38[ [#This Row],[Account Withdrawl Amount] ], )</f>
        <v>-5</v>
      </c>
      <c r="R27" s="18">
        <f>IF(Table38[[#This Row],[CODE]]=14, Table38[ [#This Row],[Account Deposit Amount] ]-Table38[ [#This Row],[Account Withdrawl Amount] ], )</f>
        <v>0</v>
      </c>
      <c r="S27" s="18">
        <f>IF(Table38[[#This Row],[CODE]]=15, Table38[ [#This Row],[Account Deposit Amount] ]-Table38[ [#This Row],[Account Withdrawl Amount] ], )</f>
        <v>0</v>
      </c>
      <c r="T27" s="18">
        <f>IF(Table38[[#This Row],[CODE]]=16, Table38[ [#This Row],[Account Deposit Amount] ]-Table38[ [#This Row],[Account Withdrawl Amount] ], )</f>
        <v>0</v>
      </c>
      <c r="U27" s="17">
        <f>IF(Table38[[#This Row],[CODE]]=17, Table38[ [#This Row],[Account Deposit Amount] ]-Table38[ [#This Row],[Account Withdrawl Amount] ], )</f>
        <v>0</v>
      </c>
      <c r="V27" s="19">
        <f>IF(Table37[[#This Row],[CODE]]=18, Table37[ [#This Row],[Account Deposit Amount] ]-Table37[ [#This Row],[Account Withdrawl Amount] ], )</f>
        <v>0</v>
      </c>
    </row>
    <row r="28" spans="1:22" ht="13.8" thickBot="1">
      <c r="A28" s="118" t="s">
        <v>241</v>
      </c>
      <c r="B28" s="114">
        <v>44727</v>
      </c>
      <c r="C28" s="115" t="s">
        <v>268</v>
      </c>
      <c r="D28" s="115" t="s">
        <v>269</v>
      </c>
      <c r="E28" s="116"/>
      <c r="F28" s="116">
        <v>25.18</v>
      </c>
      <c r="G28" s="82">
        <f t="shared" si="2"/>
        <v>20829.490000000005</v>
      </c>
      <c r="H28" s="115">
        <v>13</v>
      </c>
      <c r="I28" s="17">
        <f>IF(Table38[[#This Row],[CODE]]=1, Table38[ [#This Row],[Account Deposit Amount] ]-Table38[ [#This Row],[Account Withdrawl Amount] ], )</f>
        <v>0</v>
      </c>
      <c r="J28" s="18">
        <f>IF(Table38[[#This Row],[CODE]]=2, Table38[ [#This Row],[Account Deposit Amount] ]-Table38[ [#This Row],[Account Withdrawl Amount] ], )</f>
        <v>0</v>
      </c>
      <c r="K28" s="18">
        <f>IF(Table38[[#This Row],[CODE]]=3, Table38[ [#This Row],[Account Deposit Amount] ]-Table38[ [#This Row],[Account Withdrawl Amount] ], )</f>
        <v>0</v>
      </c>
      <c r="L28" s="18">
        <f>IF(Table38[[#This Row],[CODE]]=4, Table38[ [#This Row],[Account Deposit Amount] ]-Table38[ [#This Row],[Account Withdrawl Amount] ], )</f>
        <v>0</v>
      </c>
      <c r="M28" s="18">
        <f>IF(Table38[[#This Row],[CODE]]=5, Table38[ [#This Row],[Account Deposit Amount] ]-Table38[ [#This Row],[Account Withdrawl Amount] ], )</f>
        <v>0</v>
      </c>
      <c r="N28" s="18">
        <f>IF(Table38[[#This Row],[CODE]]=6, Table38[ [#This Row],[Account Deposit Amount] ]-Table38[ [#This Row],[Account Withdrawl Amount] ], )</f>
        <v>0</v>
      </c>
      <c r="O28" s="18">
        <f>IF(Table38[[#This Row],[CODE]]=11, Table38[ [#This Row],[Account Deposit Amount] ]-Table38[ [#This Row],[Account Withdrawl Amount] ], )</f>
        <v>0</v>
      </c>
      <c r="P28" s="18">
        <f>IF(Table38[[#This Row],[CODE]]=12, Table38[ [#This Row],[Account Deposit Amount] ]-Table38[ [#This Row],[Account Withdrawl Amount] ], )</f>
        <v>0</v>
      </c>
      <c r="Q28" s="18">
        <f>IF(Table38[[#This Row],[CODE]]=13, Table38[ [#This Row],[Account Deposit Amount] ]-Table38[ [#This Row],[Account Withdrawl Amount] ], )</f>
        <v>-25.18</v>
      </c>
      <c r="R28" s="18">
        <f>IF(Table38[[#This Row],[CODE]]=14, Table38[ [#This Row],[Account Deposit Amount] ]-Table38[ [#This Row],[Account Withdrawl Amount] ], )</f>
        <v>0</v>
      </c>
      <c r="S28" s="18">
        <f>IF(Table38[[#This Row],[CODE]]=15, Table38[ [#This Row],[Account Deposit Amount] ]-Table38[ [#This Row],[Account Withdrawl Amount] ], )</f>
        <v>0</v>
      </c>
      <c r="T28" s="18">
        <f>IF(Table38[[#This Row],[CODE]]=16, Table38[ [#This Row],[Account Deposit Amount] ]-Table38[ [#This Row],[Account Withdrawl Amount] ], )</f>
        <v>0</v>
      </c>
      <c r="U28" s="17">
        <f>IF(Table38[[#This Row],[CODE]]=17, Table38[ [#This Row],[Account Deposit Amount] ]-Table38[ [#This Row],[Account Withdrawl Amount] ], )</f>
        <v>0</v>
      </c>
      <c r="V28" s="19">
        <f>IF(Table37[[#This Row],[CODE]]=18, Table37[ [#This Row],[Account Deposit Amount] ]-Table37[ [#This Row],[Account Withdrawl Amount] ], )</f>
        <v>0</v>
      </c>
    </row>
    <row r="29" spans="1:22" ht="15" thickBot="1">
      <c r="A29" s="118" t="s">
        <v>241</v>
      </c>
      <c r="B29" s="114">
        <v>44728</v>
      </c>
      <c r="C29" s="115" t="s">
        <v>243</v>
      </c>
      <c r="D29" s="115" t="s">
        <v>270</v>
      </c>
      <c r="E29" s="116"/>
      <c r="F29" s="116">
        <v>32.01</v>
      </c>
      <c r="G29" s="82">
        <f t="shared" si="2"/>
        <v>20797.480000000007</v>
      </c>
      <c r="H29" s="108">
        <v>13</v>
      </c>
      <c r="I29" s="17">
        <f>IF(Table38[[#This Row],[CODE]]=1, Table38[ [#This Row],[Account Deposit Amount] ]-Table38[ [#This Row],[Account Withdrawl Amount] ], )</f>
        <v>0</v>
      </c>
      <c r="J29" s="18">
        <f>IF(Table38[[#This Row],[CODE]]=2, Table38[ [#This Row],[Account Deposit Amount] ]-Table38[ [#This Row],[Account Withdrawl Amount] ], )</f>
        <v>0</v>
      </c>
      <c r="K29" s="18">
        <f>IF(Table38[[#This Row],[CODE]]=3, Table38[ [#This Row],[Account Deposit Amount] ]-Table38[ [#This Row],[Account Withdrawl Amount] ], )</f>
        <v>0</v>
      </c>
      <c r="L29" s="18">
        <f>IF(Table38[[#This Row],[CODE]]=4, Table38[ [#This Row],[Account Deposit Amount] ]-Table38[ [#This Row],[Account Withdrawl Amount] ], )</f>
        <v>0</v>
      </c>
      <c r="M29" s="18">
        <f>IF(Table38[[#This Row],[CODE]]=5, Table38[ [#This Row],[Account Deposit Amount] ]-Table38[ [#This Row],[Account Withdrawl Amount] ], )</f>
        <v>0</v>
      </c>
      <c r="N29" s="18">
        <f>IF(Table38[[#This Row],[CODE]]=6, Table38[ [#This Row],[Account Deposit Amount] ]-Table38[ [#This Row],[Account Withdrawl Amount] ], )</f>
        <v>0</v>
      </c>
      <c r="O29" s="18">
        <f>IF(Table38[[#This Row],[CODE]]=11, Table38[ [#This Row],[Account Deposit Amount] ]-Table38[ [#This Row],[Account Withdrawl Amount] ], )</f>
        <v>0</v>
      </c>
      <c r="P29" s="18">
        <f>IF(Table38[[#This Row],[CODE]]=12, Table38[ [#This Row],[Account Deposit Amount] ]-Table38[ [#This Row],[Account Withdrawl Amount] ], )</f>
        <v>0</v>
      </c>
      <c r="Q29" s="18">
        <f>IF(Table38[[#This Row],[CODE]]=13, Table38[ [#This Row],[Account Deposit Amount] ]-Table38[ [#This Row],[Account Withdrawl Amount] ], )</f>
        <v>-32.01</v>
      </c>
      <c r="R29" s="18">
        <f>IF(Table38[[#This Row],[CODE]]=14, Table38[ [#This Row],[Account Deposit Amount] ]-Table38[ [#This Row],[Account Withdrawl Amount] ], )</f>
        <v>0</v>
      </c>
      <c r="S29" s="18">
        <f>IF(Table38[[#This Row],[CODE]]=15, Table38[ [#This Row],[Account Deposit Amount] ]-Table38[ [#This Row],[Account Withdrawl Amount] ], )</f>
        <v>0</v>
      </c>
      <c r="T29" s="18">
        <f>IF(Table38[[#This Row],[CODE]]=16, Table38[ [#This Row],[Account Deposit Amount] ]-Table38[ [#This Row],[Account Withdrawl Amount] ], )</f>
        <v>0</v>
      </c>
      <c r="U29" s="17">
        <f>IF(Table38[[#This Row],[CODE]]=17, Table38[ [#This Row],[Account Deposit Amount] ]-Table38[ [#This Row],[Account Withdrawl Amount] ], )</f>
        <v>0</v>
      </c>
      <c r="V29" s="19">
        <f>IF(Table37[[#This Row],[CODE]]=18, Table37[ [#This Row],[Account Deposit Amount] ]-Table37[ [#This Row],[Account Withdrawl Amount] ], )</f>
        <v>0</v>
      </c>
    </row>
    <row r="30" spans="1:22" ht="15" thickBot="1">
      <c r="A30" s="118" t="s">
        <v>241</v>
      </c>
      <c r="B30" s="114">
        <v>44730</v>
      </c>
      <c r="C30" s="115" t="s">
        <v>201</v>
      </c>
      <c r="D30" s="115" t="s">
        <v>67</v>
      </c>
      <c r="E30" s="116"/>
      <c r="F30" s="116">
        <v>21.2</v>
      </c>
      <c r="G30" s="82">
        <f t="shared" si="2"/>
        <v>20776.280000000006</v>
      </c>
      <c r="H30" s="108">
        <v>12</v>
      </c>
      <c r="I30" s="17">
        <f>IF(Table38[[#This Row],[CODE]]=1, Table38[ [#This Row],[Account Deposit Amount] ]-Table38[ [#This Row],[Account Withdrawl Amount] ], )</f>
        <v>0</v>
      </c>
      <c r="J30" s="18">
        <f>IF(Table38[[#This Row],[CODE]]=2, Table38[ [#This Row],[Account Deposit Amount] ]-Table38[ [#This Row],[Account Withdrawl Amount] ], )</f>
        <v>0</v>
      </c>
      <c r="K30" s="18">
        <f>IF(Table38[[#This Row],[CODE]]=3, Table38[ [#This Row],[Account Deposit Amount] ]-Table38[ [#This Row],[Account Withdrawl Amount] ], )</f>
        <v>0</v>
      </c>
      <c r="L30" s="18">
        <f>IF(Table38[[#This Row],[CODE]]=4, Table38[ [#This Row],[Account Deposit Amount] ]-Table38[ [#This Row],[Account Withdrawl Amount] ], )</f>
        <v>0</v>
      </c>
      <c r="M30" s="18">
        <f>IF(Table38[[#This Row],[CODE]]=5, Table38[ [#This Row],[Account Deposit Amount] ]-Table38[ [#This Row],[Account Withdrawl Amount] ], )</f>
        <v>0</v>
      </c>
      <c r="N30" s="18">
        <f>IF(Table38[[#This Row],[CODE]]=6, Table38[ [#This Row],[Account Deposit Amount] ]-Table38[ [#This Row],[Account Withdrawl Amount] ], )</f>
        <v>0</v>
      </c>
      <c r="O30" s="18">
        <f>IF(Table38[[#This Row],[CODE]]=11, Table38[ [#This Row],[Account Deposit Amount] ]-Table38[ [#This Row],[Account Withdrawl Amount] ], )</f>
        <v>0</v>
      </c>
      <c r="P30" s="18">
        <f>IF(Table38[[#This Row],[CODE]]=12, Table38[ [#This Row],[Account Deposit Amount] ]-Table38[ [#This Row],[Account Withdrawl Amount] ], )</f>
        <v>-21.2</v>
      </c>
      <c r="Q30" s="18">
        <f>IF(Table38[[#This Row],[CODE]]=13, Table38[ [#This Row],[Account Deposit Amount] ]-Table38[ [#This Row],[Account Withdrawl Amount] ], )</f>
        <v>0</v>
      </c>
      <c r="R30" s="18">
        <f>IF(Table38[[#This Row],[CODE]]=14, Table38[ [#This Row],[Account Deposit Amount] ]-Table38[ [#This Row],[Account Withdrawl Amount] ], )</f>
        <v>0</v>
      </c>
      <c r="S30" s="18">
        <f>IF(Table38[[#This Row],[CODE]]=15, Table38[ [#This Row],[Account Deposit Amount] ]-Table38[ [#This Row],[Account Withdrawl Amount] ], )</f>
        <v>0</v>
      </c>
      <c r="T30" s="18">
        <f>IF(Table38[[#This Row],[CODE]]=16, Table38[ [#This Row],[Account Deposit Amount] ]-Table38[ [#This Row],[Account Withdrawl Amount] ], )</f>
        <v>0</v>
      </c>
      <c r="U30" s="17">
        <f>IF(Table38[[#This Row],[CODE]]=17, Table38[ [#This Row],[Account Deposit Amount] ]-Table38[ [#This Row],[Account Withdrawl Amount] ], )</f>
        <v>0</v>
      </c>
      <c r="V30" s="19">
        <f>IF(Table37[[#This Row],[CODE]]=18, Table37[ [#This Row],[Account Deposit Amount] ]-Table37[ [#This Row],[Account Withdrawl Amount] ], )</f>
        <v>0</v>
      </c>
    </row>
    <row r="31" spans="1:22" ht="15" thickBot="1">
      <c r="A31" s="118" t="s">
        <v>241</v>
      </c>
      <c r="B31" s="114">
        <v>44730</v>
      </c>
      <c r="C31" s="115" t="s">
        <v>201</v>
      </c>
      <c r="D31" s="115" t="s">
        <v>67</v>
      </c>
      <c r="E31" s="116"/>
      <c r="F31" s="116">
        <v>27.56</v>
      </c>
      <c r="G31" s="82">
        <f t="shared" si="2"/>
        <v>20748.720000000005</v>
      </c>
      <c r="H31" s="108">
        <v>12</v>
      </c>
      <c r="I31" s="17">
        <f>IF(Table38[[#This Row],[CODE]]=1, Table38[ [#This Row],[Account Deposit Amount] ]-Table38[ [#This Row],[Account Withdrawl Amount] ], )</f>
        <v>0</v>
      </c>
      <c r="J31" s="18">
        <f>IF(Table38[[#This Row],[CODE]]=2, Table38[ [#This Row],[Account Deposit Amount] ]-Table38[ [#This Row],[Account Withdrawl Amount] ], )</f>
        <v>0</v>
      </c>
      <c r="K31" s="18">
        <f>IF(Table38[[#This Row],[CODE]]=3, Table38[ [#This Row],[Account Deposit Amount] ]-Table38[ [#This Row],[Account Withdrawl Amount] ], )</f>
        <v>0</v>
      </c>
      <c r="L31" s="18">
        <f>IF(Table38[[#This Row],[CODE]]=4, Table38[ [#This Row],[Account Deposit Amount] ]-Table38[ [#This Row],[Account Withdrawl Amount] ], )</f>
        <v>0</v>
      </c>
      <c r="M31" s="18">
        <f>IF(Table38[[#This Row],[CODE]]=5, Table38[ [#This Row],[Account Deposit Amount] ]-Table38[ [#This Row],[Account Withdrawl Amount] ], )</f>
        <v>0</v>
      </c>
      <c r="N31" s="18">
        <f>IF(Table38[[#This Row],[CODE]]=6, Table38[ [#This Row],[Account Deposit Amount] ]-Table38[ [#This Row],[Account Withdrawl Amount] ], )</f>
        <v>0</v>
      </c>
      <c r="O31" s="18">
        <f>IF(Table38[[#This Row],[CODE]]=11, Table38[ [#This Row],[Account Deposit Amount] ]-Table38[ [#This Row],[Account Withdrawl Amount] ], )</f>
        <v>0</v>
      </c>
      <c r="P31" s="18">
        <f>IF(Table38[[#This Row],[CODE]]=12, Table38[ [#This Row],[Account Deposit Amount] ]-Table38[ [#This Row],[Account Withdrawl Amount] ], )</f>
        <v>-27.56</v>
      </c>
      <c r="Q31" s="18">
        <f>IF(Table38[[#This Row],[CODE]]=13, Table38[ [#This Row],[Account Deposit Amount] ]-Table38[ [#This Row],[Account Withdrawl Amount] ], )</f>
        <v>0</v>
      </c>
      <c r="R31" s="18">
        <f>IF(Table38[[#This Row],[CODE]]=14, Table38[ [#This Row],[Account Deposit Amount] ]-Table38[ [#This Row],[Account Withdrawl Amount] ], )</f>
        <v>0</v>
      </c>
      <c r="S31" s="18">
        <f>IF(Table38[[#This Row],[CODE]]=15, Table38[ [#This Row],[Account Deposit Amount] ]-Table38[ [#This Row],[Account Withdrawl Amount] ], )</f>
        <v>0</v>
      </c>
      <c r="T31" s="18">
        <f>IF(Table38[[#This Row],[CODE]]=16, Table38[ [#This Row],[Account Deposit Amount] ]-Table38[ [#This Row],[Account Withdrawl Amount] ], )</f>
        <v>0</v>
      </c>
      <c r="U31" s="17">
        <f>IF(Table38[[#This Row],[CODE]]=17, Table38[ [#This Row],[Account Deposit Amount] ]-Table38[ [#This Row],[Account Withdrawl Amount] ], )</f>
        <v>0</v>
      </c>
      <c r="V31" s="19">
        <f>IF(Table37[[#This Row],[CODE]]=18, Table37[ [#This Row],[Account Deposit Amount] ]-Table37[ [#This Row],[Account Withdrawl Amount] ], )</f>
        <v>0</v>
      </c>
    </row>
    <row r="32" spans="1:22" ht="15" thickBot="1">
      <c r="A32" s="118" t="s">
        <v>241</v>
      </c>
      <c r="B32" s="114">
        <v>44730</v>
      </c>
      <c r="C32" s="115" t="s">
        <v>201</v>
      </c>
      <c r="D32" s="115" t="s">
        <v>67</v>
      </c>
      <c r="E32" s="116"/>
      <c r="F32" s="116">
        <v>47.07</v>
      </c>
      <c r="G32" s="82">
        <f t="shared" si="2"/>
        <v>20701.650000000005</v>
      </c>
      <c r="H32" s="108">
        <v>12</v>
      </c>
      <c r="I32" s="17">
        <f>IF(Table38[[#This Row],[CODE]]=1, Table38[ [#This Row],[Account Deposit Amount] ]-Table38[ [#This Row],[Account Withdrawl Amount] ], )</f>
        <v>0</v>
      </c>
      <c r="J32" s="18">
        <f>IF(Table38[[#This Row],[CODE]]=2, Table38[ [#This Row],[Account Deposit Amount] ]-Table38[ [#This Row],[Account Withdrawl Amount] ], )</f>
        <v>0</v>
      </c>
      <c r="K32" s="18">
        <f>IF(Table38[[#This Row],[CODE]]=3, Table38[ [#This Row],[Account Deposit Amount] ]-Table38[ [#This Row],[Account Withdrawl Amount] ], )</f>
        <v>0</v>
      </c>
      <c r="L32" s="18">
        <f>IF(Table38[[#This Row],[CODE]]=4, Table38[ [#This Row],[Account Deposit Amount] ]-Table38[ [#This Row],[Account Withdrawl Amount] ], )</f>
        <v>0</v>
      </c>
      <c r="M32" s="18">
        <f>IF(Table38[[#This Row],[CODE]]=5, Table38[ [#This Row],[Account Deposit Amount] ]-Table38[ [#This Row],[Account Withdrawl Amount] ], )</f>
        <v>0</v>
      </c>
      <c r="N32" s="18">
        <f>IF(Table38[[#This Row],[CODE]]=6, Table38[ [#This Row],[Account Deposit Amount] ]-Table38[ [#This Row],[Account Withdrawl Amount] ], )</f>
        <v>0</v>
      </c>
      <c r="O32" s="18">
        <f>IF(Table38[[#This Row],[CODE]]=11, Table38[ [#This Row],[Account Deposit Amount] ]-Table38[ [#This Row],[Account Withdrawl Amount] ], )</f>
        <v>0</v>
      </c>
      <c r="P32" s="18">
        <f>IF(Table38[[#This Row],[CODE]]=12, Table38[ [#This Row],[Account Deposit Amount] ]-Table38[ [#This Row],[Account Withdrawl Amount] ], )</f>
        <v>-47.07</v>
      </c>
      <c r="Q32" s="18">
        <f>IF(Table38[[#This Row],[CODE]]=13, Table38[ [#This Row],[Account Deposit Amount] ]-Table38[ [#This Row],[Account Withdrawl Amount] ], )</f>
        <v>0</v>
      </c>
      <c r="R32" s="18">
        <f>IF(Table38[[#This Row],[CODE]]=14, Table38[ [#This Row],[Account Deposit Amount] ]-Table38[ [#This Row],[Account Withdrawl Amount] ], )</f>
        <v>0</v>
      </c>
      <c r="S32" s="18">
        <f>IF(Table38[[#This Row],[CODE]]=15, Table38[ [#This Row],[Account Deposit Amount] ]-Table38[ [#This Row],[Account Withdrawl Amount] ], )</f>
        <v>0</v>
      </c>
      <c r="T32" s="18">
        <f>IF(Table38[[#This Row],[CODE]]=16, Table38[ [#This Row],[Account Deposit Amount] ]-Table38[ [#This Row],[Account Withdrawl Amount] ], )</f>
        <v>0</v>
      </c>
      <c r="U32" s="17">
        <f>IF(Table38[[#This Row],[CODE]]=17, Table38[ [#This Row],[Account Deposit Amount] ]-Table38[ [#This Row],[Account Withdrawl Amount] ], )</f>
        <v>0</v>
      </c>
      <c r="V32" s="19">
        <f>IF(Table37[[#This Row],[CODE]]=18, Table37[ [#This Row],[Account Deposit Amount] ]-Table37[ [#This Row],[Account Withdrawl Amount] ], )</f>
        <v>0</v>
      </c>
    </row>
    <row r="33" spans="1:22" ht="15" thickBot="1">
      <c r="A33" s="118" t="s">
        <v>241</v>
      </c>
      <c r="B33" s="114">
        <v>44730</v>
      </c>
      <c r="C33" s="115" t="s">
        <v>201</v>
      </c>
      <c r="D33" s="115" t="s">
        <v>67</v>
      </c>
      <c r="E33" s="116"/>
      <c r="F33" s="116">
        <v>38.43</v>
      </c>
      <c r="G33" s="82">
        <f t="shared" si="2"/>
        <v>20663.220000000005</v>
      </c>
      <c r="H33" s="108">
        <v>12</v>
      </c>
      <c r="I33" s="17">
        <f>IF(Table38[[#This Row],[CODE]]=1, Table38[ [#This Row],[Account Deposit Amount] ]-Table38[ [#This Row],[Account Withdrawl Amount] ], )</f>
        <v>0</v>
      </c>
      <c r="J33" s="18">
        <f>IF(Table38[[#This Row],[CODE]]=2, Table38[ [#This Row],[Account Deposit Amount] ]-Table38[ [#This Row],[Account Withdrawl Amount] ], )</f>
        <v>0</v>
      </c>
      <c r="K33" s="18">
        <f>IF(Table38[[#This Row],[CODE]]=3, Table38[ [#This Row],[Account Deposit Amount] ]-Table38[ [#This Row],[Account Withdrawl Amount] ], )</f>
        <v>0</v>
      </c>
      <c r="L33" s="18">
        <f>IF(Table38[[#This Row],[CODE]]=4, Table38[ [#This Row],[Account Deposit Amount] ]-Table38[ [#This Row],[Account Withdrawl Amount] ], )</f>
        <v>0</v>
      </c>
      <c r="M33" s="18">
        <f>IF(Table38[[#This Row],[CODE]]=5, Table38[ [#This Row],[Account Deposit Amount] ]-Table38[ [#This Row],[Account Withdrawl Amount] ], )</f>
        <v>0</v>
      </c>
      <c r="N33" s="18">
        <f>IF(Table38[[#This Row],[CODE]]=6, Table38[ [#This Row],[Account Deposit Amount] ]-Table38[ [#This Row],[Account Withdrawl Amount] ], )</f>
        <v>0</v>
      </c>
      <c r="O33" s="18">
        <f>IF(Table38[[#This Row],[CODE]]=11, Table38[ [#This Row],[Account Deposit Amount] ]-Table38[ [#This Row],[Account Withdrawl Amount] ], )</f>
        <v>0</v>
      </c>
      <c r="P33" s="18">
        <f>IF(Table38[[#This Row],[CODE]]=12, Table38[ [#This Row],[Account Deposit Amount] ]-Table38[ [#This Row],[Account Withdrawl Amount] ], )</f>
        <v>-38.43</v>
      </c>
      <c r="Q33" s="18">
        <f>IF(Table38[[#This Row],[CODE]]=13, Table38[ [#This Row],[Account Deposit Amount] ]-Table38[ [#This Row],[Account Withdrawl Amount] ], )</f>
        <v>0</v>
      </c>
      <c r="R33" s="18">
        <f>IF(Table38[[#This Row],[CODE]]=14, Table38[ [#This Row],[Account Deposit Amount] ]-Table38[ [#This Row],[Account Withdrawl Amount] ], )</f>
        <v>0</v>
      </c>
      <c r="S33" s="18">
        <f>IF(Table38[[#This Row],[CODE]]=15, Table38[ [#This Row],[Account Deposit Amount] ]-Table38[ [#This Row],[Account Withdrawl Amount] ], )</f>
        <v>0</v>
      </c>
      <c r="T33" s="18">
        <f>IF(Table38[[#This Row],[CODE]]=16, Table38[ [#This Row],[Account Deposit Amount] ]-Table38[ [#This Row],[Account Withdrawl Amount] ], )</f>
        <v>0</v>
      </c>
      <c r="U33" s="17">
        <f>IF(Table38[[#This Row],[CODE]]=17, Table38[ [#This Row],[Account Deposit Amount] ]-Table38[ [#This Row],[Account Withdrawl Amount] ], )</f>
        <v>0</v>
      </c>
      <c r="V33" s="19">
        <f>IF(Table37[[#This Row],[CODE]]=18, Table37[ [#This Row],[Account Deposit Amount] ]-Table37[ [#This Row],[Account Withdrawl Amount] ], )</f>
        <v>0</v>
      </c>
    </row>
    <row r="34" spans="1:22" ht="13.8" thickBot="1">
      <c r="A34" s="118" t="s">
        <v>238</v>
      </c>
      <c r="B34" s="114">
        <v>44733</v>
      </c>
      <c r="C34" s="115" t="s">
        <v>271</v>
      </c>
      <c r="D34" s="115" t="s">
        <v>272</v>
      </c>
      <c r="E34" s="116">
        <v>31.8</v>
      </c>
      <c r="F34" s="116"/>
      <c r="G34" s="82">
        <f t="shared" si="2"/>
        <v>20695.020000000004</v>
      </c>
      <c r="H34" s="115">
        <v>6</v>
      </c>
      <c r="I34" s="17">
        <f>IF(Table38[[#This Row],[CODE]]=1, Table38[ [#This Row],[Account Deposit Amount] ]-Table38[ [#This Row],[Account Withdrawl Amount] ], )</f>
        <v>0</v>
      </c>
      <c r="J34" s="18">
        <f>IF(Table38[[#This Row],[CODE]]=2, Table38[ [#This Row],[Account Deposit Amount] ]-Table38[ [#This Row],[Account Withdrawl Amount] ], )</f>
        <v>0</v>
      </c>
      <c r="K34" s="18">
        <f>IF(Table38[[#This Row],[CODE]]=3, Table38[ [#This Row],[Account Deposit Amount] ]-Table38[ [#This Row],[Account Withdrawl Amount] ], )</f>
        <v>0</v>
      </c>
      <c r="L34" s="18">
        <f>IF(Table38[[#This Row],[CODE]]=4, Table38[ [#This Row],[Account Deposit Amount] ]-Table38[ [#This Row],[Account Withdrawl Amount] ], )</f>
        <v>0</v>
      </c>
      <c r="M34" s="18">
        <f>IF(Table38[[#This Row],[CODE]]=5, Table38[ [#This Row],[Account Deposit Amount] ]-Table38[ [#This Row],[Account Withdrawl Amount] ], )</f>
        <v>0</v>
      </c>
      <c r="N34" s="18">
        <f>IF(Table38[[#This Row],[CODE]]=6, Table38[ [#This Row],[Account Deposit Amount] ]-Table38[ [#This Row],[Account Withdrawl Amount] ], )</f>
        <v>31.8</v>
      </c>
      <c r="O34" s="18">
        <f>IF(Table38[[#This Row],[CODE]]=11, Table38[ [#This Row],[Account Deposit Amount] ]-Table38[ [#This Row],[Account Withdrawl Amount] ], )</f>
        <v>0</v>
      </c>
      <c r="P34" s="18">
        <f>IF(Table38[[#This Row],[CODE]]=12, Table38[ [#This Row],[Account Deposit Amount] ]-Table38[ [#This Row],[Account Withdrawl Amount] ], )</f>
        <v>0</v>
      </c>
      <c r="Q34" s="18">
        <f>IF(Table38[[#This Row],[CODE]]=13, Table38[ [#This Row],[Account Deposit Amount] ]-Table38[ [#This Row],[Account Withdrawl Amount] ], )</f>
        <v>0</v>
      </c>
      <c r="R34" s="18">
        <f>IF(Table38[[#This Row],[CODE]]=14, Table38[ [#This Row],[Account Deposit Amount] ]-Table38[ [#This Row],[Account Withdrawl Amount] ], )</f>
        <v>0</v>
      </c>
      <c r="S34" s="18">
        <f>IF(Table38[[#This Row],[CODE]]=15, Table38[ [#This Row],[Account Deposit Amount] ]-Table38[ [#This Row],[Account Withdrawl Amount] ], )</f>
        <v>0</v>
      </c>
      <c r="T34" s="18">
        <f>IF(Table38[[#This Row],[CODE]]=16, Table38[ [#This Row],[Account Deposit Amount] ]-Table38[ [#This Row],[Account Withdrawl Amount] ], )</f>
        <v>0</v>
      </c>
      <c r="U34" s="17">
        <f>IF(Table38[[#This Row],[CODE]]=17, Table38[ [#This Row],[Account Deposit Amount] ]-Table38[ [#This Row],[Account Withdrawl Amount] ], )</f>
        <v>0</v>
      </c>
      <c r="V34" s="19">
        <f>IF(Table37[[#This Row],[CODE]]=18, Table37[ [#This Row],[Account Deposit Amount] ]-Table37[ [#This Row],[Account Withdrawl Amount] ], )</f>
        <v>0</v>
      </c>
    </row>
    <row r="35" spans="1:22" ht="13.8" thickBot="1">
      <c r="A35" s="118" t="s">
        <v>238</v>
      </c>
      <c r="B35" s="114">
        <v>44733</v>
      </c>
      <c r="C35" s="115" t="s">
        <v>271</v>
      </c>
      <c r="D35" s="115" t="s">
        <v>273</v>
      </c>
      <c r="E35" s="116">
        <v>50</v>
      </c>
      <c r="F35" s="116"/>
      <c r="G35" s="82">
        <f t="shared" si="2"/>
        <v>20745.020000000004</v>
      </c>
      <c r="H35" s="115">
        <v>6</v>
      </c>
      <c r="I35" s="17">
        <f>IF(Table38[[#This Row],[CODE]]=1, Table38[ [#This Row],[Account Deposit Amount] ]-Table38[ [#This Row],[Account Withdrawl Amount] ], )</f>
        <v>0</v>
      </c>
      <c r="J35" s="18">
        <f>IF(Table38[[#This Row],[CODE]]=2, Table38[ [#This Row],[Account Deposit Amount] ]-Table38[ [#This Row],[Account Withdrawl Amount] ], )</f>
        <v>0</v>
      </c>
      <c r="K35" s="18">
        <f>IF(Table38[[#This Row],[CODE]]=3, Table38[ [#This Row],[Account Deposit Amount] ]-Table38[ [#This Row],[Account Withdrawl Amount] ], )</f>
        <v>0</v>
      </c>
      <c r="L35" s="18">
        <f>IF(Table38[[#This Row],[CODE]]=4, Table38[ [#This Row],[Account Deposit Amount] ]-Table38[ [#This Row],[Account Withdrawl Amount] ], )</f>
        <v>0</v>
      </c>
      <c r="M35" s="18">
        <f>IF(Table38[[#This Row],[CODE]]=5, Table38[ [#This Row],[Account Deposit Amount] ]-Table38[ [#This Row],[Account Withdrawl Amount] ], )</f>
        <v>0</v>
      </c>
      <c r="N35" s="18">
        <f>IF(Table38[[#This Row],[CODE]]=6, Table38[ [#This Row],[Account Deposit Amount] ]-Table38[ [#This Row],[Account Withdrawl Amount] ], )</f>
        <v>50</v>
      </c>
      <c r="O35" s="18">
        <f>IF(Table38[[#This Row],[CODE]]=11, Table38[ [#This Row],[Account Deposit Amount] ]-Table38[ [#This Row],[Account Withdrawl Amount] ], )</f>
        <v>0</v>
      </c>
      <c r="P35" s="18">
        <f>IF(Table38[[#This Row],[CODE]]=12, Table38[ [#This Row],[Account Deposit Amount] ]-Table38[ [#This Row],[Account Withdrawl Amount] ], )</f>
        <v>0</v>
      </c>
      <c r="Q35" s="18">
        <f>IF(Table38[[#This Row],[CODE]]=13, Table38[ [#This Row],[Account Deposit Amount] ]-Table38[ [#This Row],[Account Withdrawl Amount] ], )</f>
        <v>0</v>
      </c>
      <c r="R35" s="18">
        <f>IF(Table38[[#This Row],[CODE]]=14, Table38[ [#This Row],[Account Deposit Amount] ]-Table38[ [#This Row],[Account Withdrawl Amount] ], )</f>
        <v>0</v>
      </c>
      <c r="S35" s="18">
        <f>IF(Table38[[#This Row],[CODE]]=15, Table38[ [#This Row],[Account Deposit Amount] ]-Table38[ [#This Row],[Account Withdrawl Amount] ], )</f>
        <v>0</v>
      </c>
      <c r="T35" s="18">
        <f>IF(Table38[[#This Row],[CODE]]=16, Table38[ [#This Row],[Account Deposit Amount] ]-Table38[ [#This Row],[Account Withdrawl Amount] ], )</f>
        <v>0</v>
      </c>
      <c r="U35" s="17">
        <f>IF(Table38[[#This Row],[CODE]]=17, Table38[ [#This Row],[Account Deposit Amount] ]-Table38[ [#This Row],[Account Withdrawl Amount] ], )</f>
        <v>0</v>
      </c>
      <c r="V35" s="19">
        <f>IF(Table37[[#This Row],[CODE]]=18, Table37[ [#This Row],[Account Deposit Amount] ]-Table37[ [#This Row],[Account Withdrawl Amount] ], )</f>
        <v>0</v>
      </c>
    </row>
    <row r="36" spans="1:22" ht="13.8" thickBot="1">
      <c r="A36" s="118" t="s">
        <v>238</v>
      </c>
      <c r="B36" s="114">
        <v>44739</v>
      </c>
      <c r="C36" s="115" t="s">
        <v>274</v>
      </c>
      <c r="D36" s="115" t="s">
        <v>275</v>
      </c>
      <c r="E36" s="116">
        <v>7.94</v>
      </c>
      <c r="F36" s="116"/>
      <c r="G36" s="82">
        <f t="shared" si="2"/>
        <v>20752.960000000003</v>
      </c>
      <c r="H36" s="115">
        <v>4</v>
      </c>
      <c r="I36" s="17">
        <f>IF(Table38[[#This Row],[CODE]]=1, Table38[ [#This Row],[Account Deposit Amount] ]-Table38[ [#This Row],[Account Withdrawl Amount] ], )</f>
        <v>0</v>
      </c>
      <c r="J36" s="18">
        <f>IF(Table38[[#This Row],[CODE]]=2, Table38[ [#This Row],[Account Deposit Amount] ]-Table38[ [#This Row],[Account Withdrawl Amount] ], )</f>
        <v>0</v>
      </c>
      <c r="K36" s="18">
        <f>IF(Table38[[#This Row],[CODE]]=3, Table38[ [#This Row],[Account Deposit Amount] ]-Table38[ [#This Row],[Account Withdrawl Amount] ], )</f>
        <v>0</v>
      </c>
      <c r="L36" s="18">
        <f>IF(Table38[[#This Row],[CODE]]=4, Table38[ [#This Row],[Account Deposit Amount] ]-Table38[ [#This Row],[Account Withdrawl Amount] ], )</f>
        <v>7.94</v>
      </c>
      <c r="M36" s="18">
        <f>IF(Table38[[#This Row],[CODE]]=5, Table38[ [#This Row],[Account Deposit Amount] ]-Table38[ [#This Row],[Account Withdrawl Amount] ], )</f>
        <v>0</v>
      </c>
      <c r="N36" s="18">
        <f>IF(Table38[[#This Row],[CODE]]=6, Table38[ [#This Row],[Account Deposit Amount] ]-Table38[ [#This Row],[Account Withdrawl Amount] ], )</f>
        <v>0</v>
      </c>
      <c r="O36" s="18">
        <f>IF(Table38[[#This Row],[CODE]]=11, Table38[ [#This Row],[Account Deposit Amount] ]-Table38[ [#This Row],[Account Withdrawl Amount] ], )</f>
        <v>0</v>
      </c>
      <c r="P36" s="18">
        <f>IF(Table38[[#This Row],[CODE]]=12, Table38[ [#This Row],[Account Deposit Amount] ]-Table38[ [#This Row],[Account Withdrawl Amount] ], )</f>
        <v>0</v>
      </c>
      <c r="Q36" s="18">
        <f>IF(Table38[[#This Row],[CODE]]=13, Table38[ [#This Row],[Account Deposit Amount] ]-Table38[ [#This Row],[Account Withdrawl Amount] ], )</f>
        <v>0</v>
      </c>
      <c r="R36" s="18">
        <f>IF(Table38[[#This Row],[CODE]]=14, Table38[ [#This Row],[Account Deposit Amount] ]-Table38[ [#This Row],[Account Withdrawl Amount] ], )</f>
        <v>0</v>
      </c>
      <c r="S36" s="18">
        <f>IF(Table38[[#This Row],[CODE]]=15, Table38[ [#This Row],[Account Deposit Amount] ]-Table38[ [#This Row],[Account Withdrawl Amount] ], )</f>
        <v>0</v>
      </c>
      <c r="T36" s="18">
        <f>IF(Table38[[#This Row],[CODE]]=16, Table38[ [#This Row],[Account Deposit Amount] ]-Table38[ [#This Row],[Account Withdrawl Amount] ], )</f>
        <v>0</v>
      </c>
      <c r="U36" s="17">
        <f>IF(Table38[[#This Row],[CODE]]=17, Table38[ [#This Row],[Account Deposit Amount] ]-Table38[ [#This Row],[Account Withdrawl Amount] ], )</f>
        <v>0</v>
      </c>
      <c r="V36" s="19">
        <f>IF(Table37[[#This Row],[CODE]]=18, Table37[ [#This Row],[Account Deposit Amount] ]-Table37[ [#This Row],[Account Withdrawl Amount] ], )</f>
        <v>0</v>
      </c>
    </row>
    <row r="37" spans="1:22" ht="13.8" thickBot="1">
      <c r="A37" s="118" t="s">
        <v>238</v>
      </c>
      <c r="B37" s="114">
        <v>44739</v>
      </c>
      <c r="C37" s="115" t="s">
        <v>276</v>
      </c>
      <c r="D37" s="115" t="s">
        <v>277</v>
      </c>
      <c r="E37" s="116">
        <v>216.18</v>
      </c>
      <c r="F37" s="116"/>
      <c r="G37" s="82">
        <f t="shared" si="2"/>
        <v>20969.140000000003</v>
      </c>
      <c r="H37" s="115">
        <v>6</v>
      </c>
      <c r="I37" s="17">
        <f>IF(Table38[[#This Row],[CODE]]=1, Table38[ [#This Row],[Account Deposit Amount] ]-Table38[ [#This Row],[Account Withdrawl Amount] ], )</f>
        <v>0</v>
      </c>
      <c r="J37" s="18">
        <f>IF(Table38[[#This Row],[CODE]]=2, Table38[ [#This Row],[Account Deposit Amount] ]-Table38[ [#This Row],[Account Withdrawl Amount] ], )</f>
        <v>0</v>
      </c>
      <c r="K37" s="18">
        <f>IF(Table38[[#This Row],[CODE]]=3, Table38[ [#This Row],[Account Deposit Amount] ]-Table38[ [#This Row],[Account Withdrawl Amount] ], )</f>
        <v>0</v>
      </c>
      <c r="L37" s="18">
        <f>IF(Table38[[#This Row],[CODE]]=4, Table38[ [#This Row],[Account Deposit Amount] ]-Table38[ [#This Row],[Account Withdrawl Amount] ], )</f>
        <v>0</v>
      </c>
      <c r="M37" s="18">
        <f>IF(Table38[[#This Row],[CODE]]=5, Table38[ [#This Row],[Account Deposit Amount] ]-Table38[ [#This Row],[Account Withdrawl Amount] ], )</f>
        <v>0</v>
      </c>
      <c r="N37" s="18">
        <f>IF(Table38[[#This Row],[CODE]]=6, Table38[ [#This Row],[Account Deposit Amount] ]-Table38[ [#This Row],[Account Withdrawl Amount] ], )</f>
        <v>216.18</v>
      </c>
      <c r="O37" s="18">
        <f>IF(Table38[[#This Row],[CODE]]=11, Table38[ [#This Row],[Account Deposit Amount] ]-Table38[ [#This Row],[Account Withdrawl Amount] ], )</f>
        <v>0</v>
      </c>
      <c r="P37" s="18">
        <f>IF(Table38[[#This Row],[CODE]]=12, Table38[ [#This Row],[Account Deposit Amount] ]-Table38[ [#This Row],[Account Withdrawl Amount] ], )</f>
        <v>0</v>
      </c>
      <c r="Q37" s="18">
        <f>IF(Table38[[#This Row],[CODE]]=13, Table38[ [#This Row],[Account Deposit Amount] ]-Table38[ [#This Row],[Account Withdrawl Amount] ], )</f>
        <v>0</v>
      </c>
      <c r="R37" s="18">
        <f>IF(Table38[[#This Row],[CODE]]=14, Table38[ [#This Row],[Account Deposit Amount] ]-Table38[ [#This Row],[Account Withdrawl Amount] ], )</f>
        <v>0</v>
      </c>
      <c r="S37" s="18">
        <f>IF(Table38[[#This Row],[CODE]]=15, Table38[ [#This Row],[Account Deposit Amount] ]-Table38[ [#This Row],[Account Withdrawl Amount] ], )</f>
        <v>0</v>
      </c>
      <c r="T37" s="18">
        <f>IF(Table38[[#This Row],[CODE]]=16, Table38[ [#This Row],[Account Deposit Amount] ]-Table38[ [#This Row],[Account Withdrawl Amount] ], )</f>
        <v>0</v>
      </c>
      <c r="U37" s="17">
        <f>IF(Table38[[#This Row],[CODE]]=17, Table38[ [#This Row],[Account Deposit Amount] ]-Table38[ [#This Row],[Account Withdrawl Amount] ], )</f>
        <v>0</v>
      </c>
      <c r="V37" s="19">
        <f>IF(Table37[[#This Row],[CODE]]=18, Table37[ [#This Row],[Account Deposit Amount] ]-Table37[ [#This Row],[Account Withdrawl Amount] ], )</f>
        <v>0</v>
      </c>
    </row>
    <row r="38" spans="1:22" ht="13.8" thickBot="1">
      <c r="A38" s="118" t="s">
        <v>241</v>
      </c>
      <c r="B38" s="114">
        <v>44740</v>
      </c>
      <c r="C38" s="115" t="s">
        <v>278</v>
      </c>
      <c r="D38" s="115" t="s">
        <v>279</v>
      </c>
      <c r="E38" s="116"/>
      <c r="F38" s="116">
        <v>1552.21</v>
      </c>
      <c r="G38" s="82">
        <f t="shared" si="2"/>
        <v>19416.930000000004</v>
      </c>
      <c r="H38" s="115">
        <v>13</v>
      </c>
      <c r="I38" s="17">
        <f>IF(Table38[[#This Row],[CODE]]=1, Table38[ [#This Row],[Account Deposit Amount] ]-Table38[ [#This Row],[Account Withdrawl Amount] ], )</f>
        <v>0</v>
      </c>
      <c r="J38" s="18">
        <f>IF(Table38[[#This Row],[CODE]]=2, Table38[ [#This Row],[Account Deposit Amount] ]-Table38[ [#This Row],[Account Withdrawl Amount] ], )</f>
        <v>0</v>
      </c>
      <c r="K38" s="18">
        <f>IF(Table38[[#This Row],[CODE]]=3, Table38[ [#This Row],[Account Deposit Amount] ]-Table38[ [#This Row],[Account Withdrawl Amount] ], )</f>
        <v>0</v>
      </c>
      <c r="L38" s="18">
        <f>IF(Table38[[#This Row],[CODE]]=4, Table38[ [#This Row],[Account Deposit Amount] ]-Table38[ [#This Row],[Account Withdrawl Amount] ], )</f>
        <v>0</v>
      </c>
      <c r="M38" s="18">
        <f>IF(Table38[[#This Row],[CODE]]=5, Table38[ [#This Row],[Account Deposit Amount] ]-Table38[ [#This Row],[Account Withdrawl Amount] ], )</f>
        <v>0</v>
      </c>
      <c r="N38" s="18">
        <f>IF(Table38[[#This Row],[CODE]]=6, Table38[ [#This Row],[Account Deposit Amount] ]-Table38[ [#This Row],[Account Withdrawl Amount] ], )</f>
        <v>0</v>
      </c>
      <c r="O38" s="18">
        <f>IF(Table38[[#This Row],[CODE]]=11, Table38[ [#This Row],[Account Deposit Amount] ]-Table38[ [#This Row],[Account Withdrawl Amount] ], )</f>
        <v>0</v>
      </c>
      <c r="P38" s="18">
        <f>IF(Table38[[#This Row],[CODE]]=12, Table38[ [#This Row],[Account Deposit Amount] ]-Table38[ [#This Row],[Account Withdrawl Amount] ], )</f>
        <v>0</v>
      </c>
      <c r="Q38" s="18">
        <f>IF(Table38[[#This Row],[CODE]]=13, Table38[ [#This Row],[Account Deposit Amount] ]-Table38[ [#This Row],[Account Withdrawl Amount] ], )</f>
        <v>-1552.21</v>
      </c>
      <c r="R38" s="18">
        <f>IF(Table38[[#This Row],[CODE]]=14, Table38[ [#This Row],[Account Deposit Amount] ]-Table38[ [#This Row],[Account Withdrawl Amount] ], )</f>
        <v>0</v>
      </c>
      <c r="S38" s="18">
        <f>IF(Table38[[#This Row],[CODE]]=15, Table38[ [#This Row],[Account Deposit Amount] ]-Table38[ [#This Row],[Account Withdrawl Amount] ], )</f>
        <v>0</v>
      </c>
      <c r="T38" s="18">
        <f>IF(Table38[[#This Row],[CODE]]=16, Table38[ [#This Row],[Account Deposit Amount] ]-Table38[ [#This Row],[Account Withdrawl Amount] ], )</f>
        <v>0</v>
      </c>
      <c r="U38" s="17">
        <f>IF(Table38[[#This Row],[CODE]]=17, Table38[ [#This Row],[Account Deposit Amount] ]-Table38[ [#This Row],[Account Withdrawl Amount] ], )</f>
        <v>0</v>
      </c>
      <c r="V38" s="19">
        <f>IF(Table37[[#This Row],[CODE]]=18, Table37[ [#This Row],[Account Deposit Amount] ]-Table37[ [#This Row],[Account Withdrawl Amount] ], )</f>
        <v>0</v>
      </c>
    </row>
    <row r="39" spans="1:22" ht="12.6" thickBot="1">
      <c r="A39" s="23"/>
      <c r="B39" s="24"/>
      <c r="C39" s="23"/>
      <c r="D39" s="25"/>
      <c r="E39" s="26"/>
      <c r="F39" s="26"/>
      <c r="G39" s="37">
        <f t="shared" si="2"/>
        <v>19416.930000000004</v>
      </c>
      <c r="H39" s="153"/>
      <c r="I39" s="17">
        <f>IF(Table38[[#This Row],[CODE]]=1, Table38[ [#This Row],[Account Deposit Amount] ]-Table38[ [#This Row],[Account Withdrawl Amount] ], )</f>
        <v>0</v>
      </c>
      <c r="J39" s="18">
        <f>IF(Table38[[#This Row],[CODE]]=2, Table38[ [#This Row],[Account Deposit Amount] ]-Table38[ [#This Row],[Account Withdrawl Amount] ], )</f>
        <v>0</v>
      </c>
      <c r="K39" s="18">
        <f>IF(Table38[[#This Row],[CODE]]=3, Table38[ [#This Row],[Account Deposit Amount] ]-Table38[ [#This Row],[Account Withdrawl Amount] ], )</f>
        <v>0</v>
      </c>
      <c r="L39" s="18">
        <f>IF(Table38[[#This Row],[CODE]]=4, Table38[ [#This Row],[Account Deposit Amount] ]-Table38[ [#This Row],[Account Withdrawl Amount] ], )</f>
        <v>0</v>
      </c>
      <c r="M39" s="18">
        <f>IF(Table38[[#This Row],[CODE]]=5, Table38[ [#This Row],[Account Deposit Amount] ]-Table38[ [#This Row],[Account Withdrawl Amount] ], )</f>
        <v>0</v>
      </c>
      <c r="N39" s="18">
        <f>IF(Table38[[#This Row],[CODE]]=6, Table38[ [#This Row],[Account Deposit Amount] ]-Table38[ [#This Row],[Account Withdrawl Amount] ], )</f>
        <v>0</v>
      </c>
      <c r="O39" s="18">
        <f>IF(Table38[[#This Row],[CODE]]=11, Table38[ [#This Row],[Account Deposit Amount] ]-Table38[ [#This Row],[Account Withdrawl Amount] ], )</f>
        <v>0</v>
      </c>
      <c r="P39" s="18">
        <f>IF(Table38[[#This Row],[CODE]]=12, Table38[ [#This Row],[Account Deposit Amount] ]-Table38[ [#This Row],[Account Withdrawl Amount] ], )</f>
        <v>0</v>
      </c>
      <c r="Q39" s="18">
        <f>IF(Table38[[#This Row],[CODE]]=13, Table38[ [#This Row],[Account Deposit Amount] ]-Table38[ [#This Row],[Account Withdrawl Amount] ], )</f>
        <v>0</v>
      </c>
      <c r="R39" s="18">
        <f>IF(Table38[[#This Row],[CODE]]=14, Table38[ [#This Row],[Account Deposit Amount] ]-Table38[ [#This Row],[Account Withdrawl Amount] ], )</f>
        <v>0</v>
      </c>
      <c r="S39" s="18">
        <f>IF(Table38[[#This Row],[CODE]]=15, Table38[ [#This Row],[Account Deposit Amount] ]-Table38[ [#This Row],[Account Withdrawl Amount] ], )</f>
        <v>0</v>
      </c>
      <c r="T39" s="18">
        <f>IF(Table38[[#This Row],[CODE]]=16, Table38[ [#This Row],[Account Deposit Amount] ]-Table38[ [#This Row],[Account Withdrawl Amount] ], )</f>
        <v>0</v>
      </c>
      <c r="U39" s="17">
        <f>IF(Table38[[#This Row],[CODE]]=17, Table38[ [#This Row],[Account Deposit Amount] ]-Table38[ [#This Row],[Account Withdrawl Amount] ], )</f>
        <v>0</v>
      </c>
      <c r="V39" s="19">
        <f>IF(Table37[[#This Row],[CODE]]=18, Table37[ [#This Row],[Account Deposit Amount] ]-Table37[ [#This Row],[Account Withdrawl Amount] ], )</f>
        <v>0</v>
      </c>
    </row>
    <row r="40" spans="1:22" ht="12.6" thickBot="1">
      <c r="A40" s="23"/>
      <c r="B40" s="24"/>
      <c r="C40" s="23"/>
      <c r="D40" s="25"/>
      <c r="E40" s="26"/>
      <c r="F40" s="26"/>
      <c r="G40" s="82" t="e">
        <f>#REF!+E40-F40</f>
        <v>#REF!</v>
      </c>
      <c r="H40" s="23"/>
      <c r="I40" s="125">
        <f>IF(Table38[[#This Row],[CODE]]=1, Table38[ [#This Row],[Account Deposit Amount] ]-Table38[ [#This Row],[Account Withdrawl Amount] ], )</f>
        <v>0</v>
      </c>
      <c r="J40" s="18">
        <f>IF(Table38[[#This Row],[CODE]]=2, Table38[ [#This Row],[Account Deposit Amount] ]-Table38[ [#This Row],[Account Withdrawl Amount] ], )</f>
        <v>0</v>
      </c>
      <c r="K40" s="18">
        <f>IF(Table38[[#This Row],[CODE]]=3, Table38[ [#This Row],[Account Deposit Amount] ]-Table38[ [#This Row],[Account Withdrawl Amount] ], )</f>
        <v>0</v>
      </c>
      <c r="L40" s="18">
        <f>IF(Table38[[#This Row],[CODE]]=4, Table38[ [#This Row],[Account Deposit Amount] ]-Table38[ [#This Row],[Account Withdrawl Amount] ], )</f>
        <v>0</v>
      </c>
      <c r="M40" s="18">
        <f>IF(Table38[[#This Row],[CODE]]=5, Table38[ [#This Row],[Account Deposit Amount] ]-Table38[ [#This Row],[Account Withdrawl Amount] ], )</f>
        <v>0</v>
      </c>
      <c r="N40" s="18">
        <f>IF(Table38[[#This Row],[CODE]]=6, Table38[ [#This Row],[Account Deposit Amount] ]-Table38[ [#This Row],[Account Withdrawl Amount] ], )</f>
        <v>0</v>
      </c>
      <c r="O40" s="18">
        <f>IF(Table38[[#This Row],[CODE]]=11, Table38[ [#This Row],[Account Deposit Amount] ]-Table38[ [#This Row],[Account Withdrawl Amount] ], )</f>
        <v>0</v>
      </c>
      <c r="P40" s="18">
        <f>IF(Table38[[#This Row],[CODE]]=12, Table38[ [#This Row],[Account Deposit Amount] ]-Table38[ [#This Row],[Account Withdrawl Amount] ], )</f>
        <v>0</v>
      </c>
      <c r="Q40" s="18">
        <f>IF(Table38[[#This Row],[CODE]]=13, Table38[ [#This Row],[Account Deposit Amount] ]-Table38[ [#This Row],[Account Withdrawl Amount] ], )</f>
        <v>0</v>
      </c>
      <c r="R40" s="18">
        <f>IF(Table38[[#This Row],[CODE]]=14, Table38[ [#This Row],[Account Deposit Amount] ]-Table38[ [#This Row],[Account Withdrawl Amount] ], )</f>
        <v>0</v>
      </c>
      <c r="S40" s="18">
        <f>IF(Table38[[#This Row],[CODE]]=15, Table38[ [#This Row],[Account Deposit Amount] ]-Table38[ [#This Row],[Account Withdrawl Amount] ], )</f>
        <v>0</v>
      </c>
      <c r="T40" s="18">
        <f>IF(Table38[[#This Row],[CODE]]=16, Table38[ [#This Row],[Account Deposit Amount] ]-Table38[ [#This Row],[Account Withdrawl Amount] ], )</f>
        <v>0</v>
      </c>
      <c r="U40" s="17">
        <f>IF(Table38[[#This Row],[CODE]]=17, Table38[ [#This Row],[Account Deposit Amount] ]-Table38[ [#This Row],[Account Withdrawl Amount] ], )</f>
        <v>0</v>
      </c>
      <c r="V40" s="19">
        <f>IF(Table37[[#This Row],[CODE]]=18, Table37[ [#This Row],[Account Deposit Amount] ]-Table37[ [#This Row],[Account Withdrawl Amount] ], )</f>
        <v>0</v>
      </c>
    </row>
    <row r="41" spans="1:22" ht="12.6" thickBot="1">
      <c r="A41" s="23"/>
      <c r="B41" s="24"/>
      <c r="C41" s="23"/>
      <c r="D41" s="25"/>
      <c r="E41" s="26"/>
      <c r="F41" s="26"/>
      <c r="G41" s="82" t="e">
        <f t="shared" ref="G41:G42" si="3">G40+E41-F41</f>
        <v>#REF!</v>
      </c>
      <c r="H41" s="23"/>
      <c r="I41" s="125">
        <f>IF(Table38[[#This Row],[CODE]]=1, Table38[ [#This Row],[Account Deposit Amount] ]-Table38[ [#This Row],[Account Withdrawl Amount] ], )</f>
        <v>0</v>
      </c>
      <c r="J41" s="18">
        <f>IF(Table38[[#This Row],[CODE]]=2, Table38[ [#This Row],[Account Deposit Amount] ]-Table38[ [#This Row],[Account Withdrawl Amount] ], )</f>
        <v>0</v>
      </c>
      <c r="K41" s="18">
        <f>IF(Table38[[#This Row],[CODE]]=3, Table38[ [#This Row],[Account Deposit Amount] ]-Table38[ [#This Row],[Account Withdrawl Amount] ], )</f>
        <v>0</v>
      </c>
      <c r="L41" s="18">
        <f>IF(Table38[[#This Row],[CODE]]=4, Table38[ [#This Row],[Account Deposit Amount] ]-Table38[ [#This Row],[Account Withdrawl Amount] ], )</f>
        <v>0</v>
      </c>
      <c r="M41" s="18">
        <f>IF(Table38[[#This Row],[CODE]]=5, Table38[ [#This Row],[Account Deposit Amount] ]-Table38[ [#This Row],[Account Withdrawl Amount] ], )</f>
        <v>0</v>
      </c>
      <c r="N41" s="18">
        <f>IF(Table38[[#This Row],[CODE]]=6, Table38[ [#This Row],[Account Deposit Amount] ]-Table38[ [#This Row],[Account Withdrawl Amount] ], )</f>
        <v>0</v>
      </c>
      <c r="O41" s="18">
        <f>IF(Table38[[#This Row],[CODE]]=11, Table38[ [#This Row],[Account Deposit Amount] ]-Table38[ [#This Row],[Account Withdrawl Amount] ], )</f>
        <v>0</v>
      </c>
      <c r="P41" s="18">
        <f>IF(Table38[[#This Row],[CODE]]=12, Table38[ [#This Row],[Account Deposit Amount] ]-Table38[ [#This Row],[Account Withdrawl Amount] ], )</f>
        <v>0</v>
      </c>
      <c r="Q41" s="18">
        <f>IF(Table38[[#This Row],[CODE]]=13, Table38[ [#This Row],[Account Deposit Amount] ]-Table38[ [#This Row],[Account Withdrawl Amount] ], )</f>
        <v>0</v>
      </c>
      <c r="R41" s="18">
        <f>IF(Table38[[#This Row],[CODE]]=14, Table38[ [#This Row],[Account Deposit Amount] ]-Table38[ [#This Row],[Account Withdrawl Amount] ], )</f>
        <v>0</v>
      </c>
      <c r="S41" s="18">
        <f>IF(Table38[[#This Row],[CODE]]=15, Table38[ [#This Row],[Account Deposit Amount] ]-Table38[ [#This Row],[Account Withdrawl Amount] ], )</f>
        <v>0</v>
      </c>
      <c r="T41" s="18">
        <f>IF(Table38[[#This Row],[CODE]]=16, Table38[ [#This Row],[Account Deposit Amount] ]-Table38[ [#This Row],[Account Withdrawl Amount] ], )</f>
        <v>0</v>
      </c>
      <c r="U41" s="17">
        <f>IF(Table38[[#This Row],[CODE]]=17, Table38[ [#This Row],[Account Deposit Amount] ]-Table38[ [#This Row],[Account Withdrawl Amount] ], )</f>
        <v>0</v>
      </c>
      <c r="V41" s="19">
        <f>IF(Table37[[#This Row],[CODE]]=18, Table37[ [#This Row],[Account Deposit Amount] ]-Table37[ [#This Row],[Account Withdrawl Amount] ], )</f>
        <v>0</v>
      </c>
    </row>
    <row r="42" spans="1:22" ht="13.8" thickBot="1">
      <c r="A42" s="116"/>
      <c r="B42" s="119"/>
      <c r="C42" s="116"/>
      <c r="D42" s="120"/>
      <c r="E42" s="124"/>
      <c r="F42" s="116"/>
      <c r="G42" s="82" t="e">
        <f t="shared" si="3"/>
        <v>#REF!</v>
      </c>
      <c r="H42" s="118"/>
      <c r="I42" s="125"/>
      <c r="J42" s="18"/>
      <c r="K42" s="18"/>
      <c r="L42" s="18"/>
      <c r="M42" s="18"/>
      <c r="N42" s="18"/>
      <c r="O42" s="18"/>
      <c r="P42" s="18"/>
      <c r="Q42" s="18"/>
      <c r="R42" s="18"/>
      <c r="S42" s="18"/>
      <c r="T42" s="18"/>
      <c r="U42" s="17">
        <f>IF(Table38[[#This Row],[CODE]]=17, Table38[ [#This Row],[Account Deposit Amount] ]-Table38[ [#This Row],[Account Withdrawl Amount] ], )</f>
        <v>0</v>
      </c>
      <c r="V42" s="19">
        <f>IF(Table37[[#This Row],[CODE]]=18, Table37[ [#This Row],[Account Deposit Amount] ]-Table37[ [#This Row],[Account Withdrawl Amount] ], )</f>
        <v>0</v>
      </c>
    </row>
    <row r="43" spans="1:22" ht="12.6" thickBot="1">
      <c r="U43" s="17" t="e">
        <f>IF(Table38[[#This Row],[CODE]]=17, Table38[ [#This Row],[Account Deposit Amount] ]-Table38[ [#This Row],[Account Withdrawl Amount] ], )</f>
        <v>#VALUE!</v>
      </c>
      <c r="V43" s="19">
        <f>IF(Table37[[#This Row],[CODE]]=18, Table37[ [#This Row],[Account Deposit Amount] ]-Table37[ [#This Row],[Account Withdrawl Amount] ], )</f>
        <v>0</v>
      </c>
    </row>
    <row r="44" spans="1:22" ht="12.6" thickBot="1">
      <c r="U44" s="17" t="e">
        <f>IF(Table38[[#This Row],[CODE]]=17, Table38[ [#This Row],[Account Deposit Amount] ]-Table38[ [#This Row],[Account Withdrawl Amount] ], )</f>
        <v>#VALUE!</v>
      </c>
      <c r="V44" s="19">
        <f>IF(Table37[[#This Row],[CODE]]=18, Table37[ [#This Row],[Account Deposit Amount] ]-Table37[ [#This Row],[Account Withdrawl Amount] ], )</f>
        <v>0</v>
      </c>
    </row>
    <row r="45" spans="1:22" ht="12.6" thickBot="1">
      <c r="U45" s="17" t="e">
        <f>IF(Table38[[#This Row],[CODE]]=17, Table38[ [#This Row],[Account Deposit Amount] ]-Table38[ [#This Row],[Account Withdrawl Amount] ], )</f>
        <v>#VALUE!</v>
      </c>
      <c r="V45" s="19">
        <f>IF(Table37[[#This Row],[CODE]]=18, Table37[ [#This Row],[Account Deposit Amount] ]-Table37[ [#This Row],[Account Withdrawl Amount] ], )</f>
        <v>0</v>
      </c>
    </row>
    <row r="46" spans="1:22" ht="12.6" thickBot="1">
      <c r="U46" s="17" t="e">
        <f>IF(Table38[[#This Row],[CODE]]=17, Table38[ [#This Row],[Account Deposit Amount] ]-Table38[ [#This Row],[Account Withdrawl Amount] ], )</f>
        <v>#VALUE!</v>
      </c>
      <c r="V46" s="19">
        <f>IF(Table37[[#This Row],[CODE]]=18, Table37[ [#This Row],[Account Deposit Amount] ]-Table37[ [#This Row],[Account Withdrawl Amount] ], )</f>
        <v>0</v>
      </c>
    </row>
    <row r="47" spans="1:22" ht="12.6" thickBot="1">
      <c r="U47" s="17" t="e">
        <f>IF(Table38[[#This Row],[CODE]]=17, Table38[ [#This Row],[Account Deposit Amount] ]-Table38[ [#This Row],[Account Withdrawl Amount] ], )</f>
        <v>#VALUE!</v>
      </c>
      <c r="V47" s="19">
        <f>IF(Table37[[#This Row],[CODE]]=18, Table37[ [#This Row],[Account Deposit Amount] ]-Table37[ [#This Row],[Account Withdrawl Amount] ], )</f>
        <v>0</v>
      </c>
    </row>
    <row r="48" spans="1:22" ht="12.6" thickBot="1">
      <c r="U48" s="17" t="e">
        <f>IF(Table38[[#This Row],[CODE]]=17, Table38[ [#This Row],[Account Deposit Amount] ]-Table38[ [#This Row],[Account Withdrawl Amount] ], )</f>
        <v>#VALUE!</v>
      </c>
      <c r="V48" s="19">
        <f>IF(Table37[[#This Row],[CODE]]=18, Table37[ [#This Row],[Account Deposit Amount] ]-Table37[ [#This Row],[Account Withdrawl Amount] ], )</f>
        <v>0</v>
      </c>
    </row>
    <row r="49" spans="21:22" ht="12.6" thickBot="1">
      <c r="U49" s="17" t="e">
        <f>IF(Table38[[#This Row],[CODE]]=17, Table38[ [#This Row],[Account Deposit Amount] ]-Table38[ [#This Row],[Account Withdrawl Amount] ], )</f>
        <v>#VALUE!</v>
      </c>
      <c r="V49" s="19">
        <f>IF(Table37[[#This Row],[CODE]]=18, Table37[ [#This Row],[Account Deposit Amount] ]-Table37[ [#This Row],[Account Withdrawl Amount] ], )</f>
        <v>0</v>
      </c>
    </row>
    <row r="50" spans="21:22" ht="12.6" thickBot="1">
      <c r="U50" s="17" t="e">
        <f>IF(Table38[[#This Row],[CODE]]=17, Table38[ [#This Row],[Account Deposit Amount] ]-Table38[ [#This Row],[Account Withdrawl Amount] ], )</f>
        <v>#VALUE!</v>
      </c>
      <c r="V50" s="19">
        <f>IF(Table37[[#This Row],[CODE]]=18, Table37[ [#This Row],[Account Deposit Amount] ]-Table37[ [#This Row],[Account Withdrawl Amount] ], )</f>
        <v>0</v>
      </c>
    </row>
    <row r="51" spans="21:22" ht="12.6" thickBot="1">
      <c r="U51" s="17" t="e">
        <f>IF(Table38[[#This Row],[CODE]]=17, Table38[ [#This Row],[Account Deposit Amount] ]-Table38[ [#This Row],[Account Withdrawl Amount] ], )</f>
        <v>#VALUE!</v>
      </c>
      <c r="V51" s="19">
        <f>IF(Table37[[#This Row],[CODE]]=18, Table37[ [#This Row],[Account Deposit Amount] ]-Table37[ [#This Row],[Account Withdrawl Amount] ], )</f>
        <v>0</v>
      </c>
    </row>
    <row r="52" spans="21:22" ht="12.6" thickBot="1">
      <c r="U52" s="17" t="e">
        <f>IF(Table38[[#This Row],[CODE]]=17, Table38[ [#This Row],[Account Deposit Amount] ]-Table38[ [#This Row],[Account Withdrawl Amount] ], )</f>
        <v>#VALUE!</v>
      </c>
      <c r="V52" s="19">
        <f>IF(Table37[[#This Row],[CODE]]=18, Table37[ [#This Row],[Account Deposit Amount] ]-Table37[ [#This Row],[Account Withdrawl Amount] ], )</f>
        <v>0</v>
      </c>
    </row>
    <row r="53" spans="21:22" ht="12.6" thickBot="1">
      <c r="U53" s="17" t="e">
        <f>IF(Table38[[#This Row],[CODE]]=17, Table38[ [#This Row],[Account Deposit Amount] ]-Table38[ [#This Row],[Account Withdrawl Amount] ], )</f>
        <v>#VALUE!</v>
      </c>
      <c r="V53" s="19">
        <f>IF(Table37[[#This Row],[CODE]]=18, Table37[ [#This Row],[Account Deposit Amount] ]-Table37[ [#This Row],[Account Withdrawl Amount] ], )</f>
        <v>0</v>
      </c>
    </row>
    <row r="54" spans="21:22" ht="12.6" thickBot="1">
      <c r="U54" s="17" t="e">
        <f>IF(Table38[[#This Row],[CODE]]=17, Table38[ [#This Row],[Account Deposit Amount] ]-Table38[ [#This Row],[Account Withdrawl Amount] ], )</f>
        <v>#VALUE!</v>
      </c>
      <c r="V54" s="19">
        <f>IF(Table37[[#This Row],[CODE]]=18, Table37[ [#This Row],[Account Deposit Amount] ]-Table37[ [#This Row],[Account Withdrawl Amount] ], )</f>
        <v>0</v>
      </c>
    </row>
    <row r="55" spans="21:22" ht="12.6" thickBot="1">
      <c r="U55" s="17" t="e">
        <f>IF(Table38[[#This Row],[CODE]]=17, Table38[ [#This Row],[Account Deposit Amount] ]-Table38[ [#This Row],[Account Withdrawl Amount] ], )</f>
        <v>#VALUE!</v>
      </c>
      <c r="V55" s="19">
        <f>IF(Table37[[#This Row],[CODE]]=18, Table37[ [#This Row],[Account Deposit Amount] ]-Table37[ [#This Row],[Account Withdrawl Amount] ], )</f>
        <v>0</v>
      </c>
    </row>
    <row r="56" spans="21:22" ht="12.6" thickBot="1">
      <c r="U56" s="17" t="e">
        <f>IF(Table38[[#This Row],[CODE]]=17, Table38[ [#This Row],[Account Deposit Amount] ]-Table38[ [#This Row],[Account Withdrawl Amount] ], )</f>
        <v>#VALUE!</v>
      </c>
      <c r="V56" s="19">
        <f>IF(Table37[[#This Row],[CODE]]=18, Table37[ [#This Row],[Account Deposit Amount] ]-Table37[ [#This Row],[Account Withdrawl Amount] ], )</f>
        <v>0</v>
      </c>
    </row>
    <row r="57" spans="21:22" ht="12.6" thickBot="1">
      <c r="U57" s="17" t="e">
        <f>IF(Table38[[#This Row],[CODE]]=17, Table38[ [#This Row],[Account Deposit Amount] ]-Table38[ [#This Row],[Account Withdrawl Amount] ], )</f>
        <v>#VALUE!</v>
      </c>
      <c r="V57" s="19">
        <f>IF(Table37[[#This Row],[CODE]]=18, Table37[ [#This Row],[Account Deposit Amount] ]-Table37[ [#This Row],[Account Withdrawl Amount] ], )</f>
        <v>0</v>
      </c>
    </row>
    <row r="58" spans="21:22" ht="12.6" thickBot="1">
      <c r="U58" s="17" t="e">
        <f>IF(Table38[[#This Row],[CODE]]=17, Table38[ [#This Row],[Account Deposit Amount] ]-Table38[ [#This Row],[Account Withdrawl Amount] ], )</f>
        <v>#VALUE!</v>
      </c>
      <c r="V58" s="19">
        <f>IF(Table37[[#This Row],[CODE]]=18, Table37[ [#This Row],[Account Deposit Amount] ]-Table37[ [#This Row],[Account Withdrawl Amount] ], )</f>
        <v>0</v>
      </c>
    </row>
    <row r="59" spans="21:22" ht="12.6" thickBot="1">
      <c r="U59" s="17" t="e">
        <f>IF(Table38[[#This Row],[CODE]]=17, Table38[ [#This Row],[Account Deposit Amount] ]-Table38[ [#This Row],[Account Withdrawl Amount] ], )</f>
        <v>#VALUE!</v>
      </c>
      <c r="V59" s="19">
        <f>IF(Table37[[#This Row],[CODE]]=18, Table37[ [#This Row],[Account Deposit Amount] ]-Table37[ [#This Row],[Account Withdrawl Amount] ], )</f>
        <v>0</v>
      </c>
    </row>
    <row r="60" spans="21:22" ht="12.6" thickBot="1">
      <c r="U60" s="17" t="e">
        <f>IF(Table38[[#This Row],[CODE]]=17, Table38[ [#This Row],[Account Deposit Amount] ]-Table38[ [#This Row],[Account Withdrawl Amount] ], )</f>
        <v>#VALUE!</v>
      </c>
      <c r="V60" s="19">
        <f>IF(Table37[[#This Row],[CODE]]=18, Table37[ [#This Row],[Account Deposit Amount] ]-Table37[ [#This Row],[Account Withdrawl Amount] ], )</f>
        <v>0</v>
      </c>
    </row>
    <row r="61" spans="21:22" ht="12.6" thickBot="1">
      <c r="U61" s="17" t="e">
        <f>IF(Table38[[#This Row],[CODE]]=17, Table38[ [#This Row],[Account Deposit Amount] ]-Table38[ [#This Row],[Account Withdrawl Amount] ], )</f>
        <v>#VALUE!</v>
      </c>
      <c r="V61" s="19">
        <f>IF(Table37[[#This Row],[CODE]]=18, Table37[ [#This Row],[Account Deposit Amount] ]-Table37[ [#This Row],[Account Withdrawl Amount] ], )</f>
        <v>0</v>
      </c>
    </row>
    <row r="62" spans="21:22" ht="12.6" thickBot="1">
      <c r="U62" s="17" t="e">
        <f>IF(Table38[[#This Row],[CODE]]=17, Table38[ [#This Row],[Account Deposit Amount] ]-Table38[ [#This Row],[Account Withdrawl Amount] ], )</f>
        <v>#VALUE!</v>
      </c>
      <c r="V62" s="19">
        <f>IF(Table37[[#This Row],[CODE]]=18, Table37[ [#This Row],[Account Deposit Amount] ]-Table37[ [#This Row],[Account Withdrawl Amount] ], )</f>
        <v>0</v>
      </c>
    </row>
    <row r="63" spans="21:22" ht="12.6" thickBot="1">
      <c r="U63" s="17" t="e">
        <f>IF(Table38[[#This Row],[CODE]]=17, Table38[ [#This Row],[Account Deposit Amount] ]-Table38[ [#This Row],[Account Withdrawl Amount] ], )</f>
        <v>#VALUE!</v>
      </c>
      <c r="V63" s="19">
        <f>IF(Table37[[#This Row],[CODE]]=18, Table37[ [#This Row],[Account Deposit Amount] ]-Table37[ [#This Row],[Account Withdrawl Amount] ], )</f>
        <v>0</v>
      </c>
    </row>
    <row r="64" spans="21:22" ht="12.6" thickBot="1">
      <c r="U64" s="17" t="e">
        <f>IF(Table38[[#This Row],[CODE]]=17, Table38[ [#This Row],[Account Deposit Amount] ]-Table38[ [#This Row],[Account Withdrawl Amount] ], )</f>
        <v>#VALUE!</v>
      </c>
      <c r="V64" s="19">
        <f>IF(Table37[[#This Row],[CODE]]=18, Table37[ [#This Row],[Account Deposit Amount] ]-Table37[ [#This Row],[Account Withdrawl Amount] ], )</f>
        <v>0</v>
      </c>
    </row>
    <row r="65" spans="21:22" ht="12.6" thickBot="1">
      <c r="U65" s="17" t="e">
        <f>IF(Table38[[#This Row],[CODE]]=17, Table38[ [#This Row],[Account Deposit Amount] ]-Table38[ [#This Row],[Account Withdrawl Amount] ], )</f>
        <v>#VALUE!</v>
      </c>
      <c r="V65" s="19">
        <f>IF(Table37[[#This Row],[CODE]]=18, Table37[ [#This Row],[Account Deposit Amount] ]-Table37[ [#This Row],[Account Withdrawl Amount] ], )</f>
        <v>0</v>
      </c>
    </row>
    <row r="66" spans="21:22" ht="12.6" thickBot="1">
      <c r="U66" s="17" t="e">
        <f>IF(Table38[[#This Row],[CODE]]=17, Table38[ [#This Row],[Account Deposit Amount] ]-Table38[ [#This Row],[Account Withdrawl Amount] ], )</f>
        <v>#VALUE!</v>
      </c>
      <c r="V66" s="19">
        <f>IF(Table37[[#This Row],[CODE]]=18, Table37[ [#This Row],[Account Deposit Amount] ]-Table37[ [#This Row],[Account Withdrawl Amount] ], )</f>
        <v>0</v>
      </c>
    </row>
    <row r="67" spans="21:22" ht="12.6" thickBot="1">
      <c r="U67" s="17" t="e">
        <f>IF(Table38[[#This Row],[CODE]]=17, Table38[ [#This Row],[Account Deposit Amount] ]-Table38[ [#This Row],[Account Withdrawl Amount] ], )</f>
        <v>#VALUE!</v>
      </c>
      <c r="V67" s="19">
        <f>IF(Table37[[#This Row],[CODE]]=18, Table37[ [#This Row],[Account Deposit Amount] ]-Table37[ [#This Row],[Account Withdrawl Amount] ], )</f>
        <v>0</v>
      </c>
    </row>
    <row r="68" spans="21:22" ht="12.6" thickBot="1">
      <c r="U68" s="17" t="e">
        <f>IF(Table38[[#This Row],[CODE]]=17, Table38[ [#This Row],[Account Deposit Amount] ]-Table38[ [#This Row],[Account Withdrawl Amount] ], )</f>
        <v>#VALUE!</v>
      </c>
      <c r="V68" s="19">
        <f>IF(Table37[[#This Row],[CODE]]=18, Table37[ [#This Row],[Account Deposit Amount] ]-Table37[ [#This Row],[Account Withdrawl Amount] ], )</f>
        <v>0</v>
      </c>
    </row>
    <row r="69" spans="21:22" ht="12.6" thickBot="1">
      <c r="U69" s="17" t="e">
        <f>IF(Table38[[#This Row],[CODE]]=17, Table38[ [#This Row],[Account Deposit Amount] ]-Table38[ [#This Row],[Account Withdrawl Amount] ], )</f>
        <v>#VALUE!</v>
      </c>
      <c r="V69" s="19">
        <f>IF(Table37[[#This Row],[CODE]]=18, Table37[ [#This Row],[Account Deposit Amount] ]-Table37[ [#This Row],[Account Withdrawl Amount] ], )</f>
        <v>0</v>
      </c>
    </row>
    <row r="70" spans="21:22" ht="12.6" thickBot="1">
      <c r="U70" s="17" t="e">
        <f>IF(Table38[[#This Row],[CODE]]=17, Table38[ [#This Row],[Account Deposit Amount] ]-Table38[ [#This Row],[Account Withdrawl Amount] ], )</f>
        <v>#VALUE!</v>
      </c>
      <c r="V70" s="19">
        <f>IF(Table37[[#This Row],[CODE]]=18, Table37[ [#This Row],[Account Deposit Amount] ]-Table37[ [#This Row],[Account Withdrawl Amount] ], )</f>
        <v>0</v>
      </c>
    </row>
    <row r="71" spans="21:22" ht="12.6" thickBot="1">
      <c r="U71" s="17" t="e">
        <f>IF(Table38[[#This Row],[CODE]]=17, Table38[ [#This Row],[Account Deposit Amount] ]-Table38[ [#This Row],[Account Withdrawl Amount] ], )</f>
        <v>#VALUE!</v>
      </c>
      <c r="V71" s="19">
        <f>IF(Table37[[#This Row],[CODE]]=18, Table37[ [#This Row],[Account Deposit Amount] ]-Table37[ [#This Row],[Account Withdrawl Amount] ], )</f>
        <v>0</v>
      </c>
    </row>
    <row r="72" spans="21:22" ht="12.6" thickBot="1">
      <c r="U72" s="17" t="e">
        <f>IF(Table38[[#This Row],[CODE]]=17, Table38[ [#This Row],[Account Deposit Amount] ]-Table38[ [#This Row],[Account Withdrawl Amount] ], )</f>
        <v>#VALUE!</v>
      </c>
      <c r="V72" s="19">
        <f>IF(Table37[[#This Row],[CODE]]=18, Table37[ [#This Row],[Account Deposit Amount] ]-Table37[ [#This Row],[Account Withdrawl Amount] ], )</f>
        <v>0</v>
      </c>
    </row>
    <row r="73" spans="21:22" ht="12.6" thickBot="1">
      <c r="U73" s="17" t="e">
        <f>IF(Table38[[#This Row],[CODE]]=17, Table38[ [#This Row],[Account Deposit Amount] ]-Table38[ [#This Row],[Account Withdrawl Amount] ], )</f>
        <v>#VALUE!</v>
      </c>
      <c r="V73" s="19">
        <f>IF(Table37[[#This Row],[CODE]]=18, Table37[ [#This Row],[Account Deposit Amount] ]-Table37[ [#This Row],[Account Withdrawl Amount] ], )</f>
        <v>0</v>
      </c>
    </row>
    <row r="74" spans="21:22" ht="12.6" thickBot="1">
      <c r="U74" s="17" t="e">
        <f>IF(Table38[[#This Row],[CODE]]=17, Table38[ [#This Row],[Account Deposit Amount] ]-Table38[ [#This Row],[Account Withdrawl Amount] ], )</f>
        <v>#VALUE!</v>
      </c>
      <c r="V74" s="19">
        <f>IF(Table37[[#This Row],[CODE]]=18, Table37[ [#This Row],[Account Deposit Amount] ]-Table37[ [#This Row],[Account Withdrawl Amount] ], )</f>
        <v>0</v>
      </c>
    </row>
    <row r="75" spans="21:22" ht="12.6" thickBot="1">
      <c r="U75" s="17" t="e">
        <f>IF(Table38[[#This Row],[CODE]]=17, Table38[ [#This Row],[Account Deposit Amount] ]-Table38[ [#This Row],[Account Withdrawl Amount] ], )</f>
        <v>#VALUE!</v>
      </c>
      <c r="V75" s="19">
        <f>IF(Table37[[#This Row],[CODE]]=18, Table37[ [#This Row],[Account Deposit Amount] ]-Table37[ [#This Row],[Account Withdrawl Amount] ], )</f>
        <v>0</v>
      </c>
    </row>
    <row r="76" spans="21:22" ht="12.6" thickBot="1">
      <c r="U76" s="17" t="e">
        <f>IF(Table38[[#This Row],[CODE]]=17, Table38[ [#This Row],[Account Deposit Amount] ]-Table38[ [#This Row],[Account Withdrawl Amount] ], )</f>
        <v>#VALUE!</v>
      </c>
      <c r="V76" s="19">
        <f>IF(Table37[[#This Row],[CODE]]=18, Table37[ [#This Row],[Account Deposit Amount] ]-Table37[ [#This Row],[Account Withdrawl Amount] ], )</f>
        <v>0</v>
      </c>
    </row>
    <row r="77" spans="21:22" ht="12.6" thickBot="1">
      <c r="U77" s="17" t="e">
        <f>IF(Table38[[#This Row],[CODE]]=17, Table38[ [#This Row],[Account Deposit Amount] ]-Table38[ [#This Row],[Account Withdrawl Amount] ], )</f>
        <v>#VALUE!</v>
      </c>
      <c r="V77" s="19">
        <f>IF(Table37[[#This Row],[CODE]]=18, Table37[ [#This Row],[Account Deposit Amount] ]-Table37[ [#This Row],[Account Withdrawl Amount] ], )</f>
        <v>0</v>
      </c>
    </row>
    <row r="78" spans="21:22" ht="12.6" thickBot="1">
      <c r="U78" s="17" t="e">
        <f>IF(Table38[[#This Row],[CODE]]=17, Table38[ [#This Row],[Account Deposit Amount] ]-Table38[ [#This Row],[Account Withdrawl Amount] ], )</f>
        <v>#VALUE!</v>
      </c>
      <c r="V78" s="19">
        <f>IF(Table37[[#This Row],[CODE]]=18, Table37[ [#This Row],[Account Deposit Amount] ]-Table37[ [#This Row],[Account Withdrawl Amount] ], )</f>
        <v>0</v>
      </c>
    </row>
    <row r="79" spans="21:22" ht="12.6" thickBot="1">
      <c r="U79" s="17" t="e">
        <f>IF(Table38[[#This Row],[CODE]]=17, Table38[ [#This Row],[Account Deposit Amount] ]-Table38[ [#This Row],[Account Withdrawl Amount] ], )</f>
        <v>#VALUE!</v>
      </c>
      <c r="V79" s="19">
        <f>IF(Table37[[#This Row],[CODE]]=18, Table37[ [#This Row],[Account Deposit Amount] ]-Table37[ [#This Row],[Account Withdrawl Amount] ], )</f>
        <v>0</v>
      </c>
    </row>
    <row r="80" spans="21:22" ht="12.6" thickBot="1">
      <c r="U80" s="17" t="e">
        <f>IF(Table38[[#This Row],[CODE]]=17, Table38[ [#This Row],[Account Deposit Amount] ]-Table38[ [#This Row],[Account Withdrawl Amount] ], )</f>
        <v>#VALUE!</v>
      </c>
      <c r="V80" s="19">
        <f>IF(Table37[[#This Row],[CODE]]=18, Table37[ [#This Row],[Account Deposit Amount] ]-Table37[ [#This Row],[Account Withdrawl Amount] ], )</f>
        <v>0</v>
      </c>
    </row>
    <row r="81" spans="21:22" ht="12.6" thickBot="1">
      <c r="U81" s="17" t="e">
        <f>IF(Table38[[#This Row],[CODE]]=17, Table38[ [#This Row],[Account Deposit Amount] ]-Table38[ [#This Row],[Account Withdrawl Amount] ], )</f>
        <v>#VALUE!</v>
      </c>
      <c r="V81" s="19" t="e">
        <f>IF(Table37[[#This Row],[CODE]]=18, Table37[ [#This Row],[Account Deposit Amount] ]-Table37[ [#This Row],[Account Withdrawl Amount] ], )</f>
        <v>#VALUE!</v>
      </c>
    </row>
    <row r="82" spans="21:22" ht="12.6" thickBot="1">
      <c r="U82" s="17" t="e">
        <f>IF(Table38[[#This Row],[CODE]]=17, Table38[ [#This Row],[Account Deposit Amount] ]-Table38[ [#This Row],[Account Withdrawl Amount] ], )</f>
        <v>#VALUE!</v>
      </c>
      <c r="V82" s="19" t="e">
        <f>IF(Table37[[#This Row],[CODE]]=18, Table37[ [#This Row],[Account Deposit Amount] ]-Table37[ [#This Row],[Account Withdrawl Amount] ], )</f>
        <v>#VALUE!</v>
      </c>
    </row>
    <row r="83" spans="21:22" ht="12.6" thickBot="1">
      <c r="U83" s="17" t="e">
        <f>IF(Table38[[#This Row],[CODE]]=17, Table38[ [#This Row],[Account Deposit Amount] ]-Table38[ [#This Row],[Account Withdrawl Amount] ], )</f>
        <v>#VALUE!</v>
      </c>
      <c r="V83" s="19" t="e">
        <f>IF(Table37[[#This Row],[CODE]]=18, Table37[ [#This Row],[Account Deposit Amount] ]-Table37[ [#This Row],[Account Withdrawl Amount] ], )</f>
        <v>#VALUE!</v>
      </c>
    </row>
    <row r="84" spans="21:22" ht="12.6" thickBot="1">
      <c r="U84" s="17" t="e">
        <f>IF(Table38[[#This Row],[CODE]]=17, Table38[ [#This Row],[Account Deposit Amount] ]-Table38[ [#This Row],[Account Withdrawl Amount] ], )</f>
        <v>#VALUE!</v>
      </c>
      <c r="V84" s="19" t="e">
        <f>IF(Table37[[#This Row],[CODE]]=18, Table37[ [#This Row],[Account Deposit Amount] ]-Table37[ [#This Row],[Account Withdrawl Amount] ], )</f>
        <v>#VALUE!</v>
      </c>
    </row>
    <row r="85" spans="21:22" ht="12.6" thickBot="1">
      <c r="U85" s="17" t="e">
        <f>IF(Table38[[#This Row],[CODE]]=17, Table38[ [#This Row],[Account Deposit Amount] ]-Table38[ [#This Row],[Account Withdrawl Amount] ], )</f>
        <v>#VALUE!</v>
      </c>
      <c r="V85" s="19" t="e">
        <f>IF(Table37[[#This Row],[CODE]]=18, Table37[ [#This Row],[Account Deposit Amount] ]-Table37[ [#This Row],[Account Withdrawl Amount] ], )</f>
        <v>#VALUE!</v>
      </c>
    </row>
    <row r="86" spans="21:22" ht="12.6" thickBot="1">
      <c r="U86" s="17" t="e">
        <f>IF(Table38[[#This Row],[CODE]]=17, Table38[ [#This Row],[Account Deposit Amount] ]-Table38[ [#This Row],[Account Withdrawl Amount] ], )</f>
        <v>#VALUE!</v>
      </c>
      <c r="V86" s="19" t="e">
        <f>IF(Table37[[#This Row],[CODE]]=18, Table37[ [#This Row],[Account Deposit Amount] ]-Table37[ [#This Row],[Account Withdrawl Amount] ], )</f>
        <v>#VALUE!</v>
      </c>
    </row>
    <row r="87" spans="21:22" ht="12.6" thickBot="1">
      <c r="U87" s="17" t="e">
        <f>IF(Table38[[#This Row],[CODE]]=17, Table38[ [#This Row],[Account Deposit Amount] ]-Table38[ [#This Row],[Account Withdrawl Amount] ], )</f>
        <v>#VALUE!</v>
      </c>
      <c r="V87" s="19" t="e">
        <f>IF(Table37[[#This Row],[CODE]]=18, Table37[ [#This Row],[Account Deposit Amount] ]-Table37[ [#This Row],[Account Withdrawl Amount] ], )</f>
        <v>#VALUE!</v>
      </c>
    </row>
    <row r="88" spans="21:22" ht="12.6" thickBot="1">
      <c r="U88" s="17" t="e">
        <f>IF(Table38[[#This Row],[CODE]]=17, Table38[ [#This Row],[Account Deposit Amount] ]-Table38[ [#This Row],[Account Withdrawl Amount] ], )</f>
        <v>#VALUE!</v>
      </c>
      <c r="V88" s="19" t="e">
        <f>IF(Table37[[#This Row],[CODE]]=18, Table37[ [#This Row],[Account Deposit Amount] ]-Table37[ [#This Row],[Account Withdrawl Amount] ], )</f>
        <v>#VALUE!</v>
      </c>
    </row>
    <row r="89" spans="21:22" ht="12.6" thickBot="1">
      <c r="U89" s="17" t="e">
        <f>IF(Table38[[#This Row],[CODE]]=17, Table38[ [#This Row],[Account Deposit Amount] ]-Table38[ [#This Row],[Account Withdrawl Amount] ], )</f>
        <v>#VALUE!</v>
      </c>
      <c r="V89" s="19" t="e">
        <f>IF(Table37[[#This Row],[CODE]]=18, Table37[ [#This Row],[Account Deposit Amount] ]-Table37[ [#This Row],[Account Withdrawl Amount] ], )</f>
        <v>#VALUE!</v>
      </c>
    </row>
    <row r="90" spans="21:22" ht="12.6" thickBot="1">
      <c r="U90" s="17" t="e">
        <f>IF(Table38[[#This Row],[CODE]]=17, Table38[ [#This Row],[Account Deposit Amount] ]-Table38[ [#This Row],[Account Withdrawl Amount] ], )</f>
        <v>#VALUE!</v>
      </c>
      <c r="V90" s="19" t="e">
        <f>IF(Table37[[#This Row],[CODE]]=18, Table37[ [#This Row],[Account Deposit Amount] ]-Table37[ [#This Row],[Account Withdrawl Amount] ], )</f>
        <v>#VALUE!</v>
      </c>
    </row>
    <row r="91" spans="21:22" ht="12.6" thickBot="1">
      <c r="U91" s="17" t="e">
        <f>IF(Table38[[#This Row],[CODE]]=17, Table38[ [#This Row],[Account Deposit Amount] ]-Table38[ [#This Row],[Account Withdrawl Amount] ], )</f>
        <v>#VALUE!</v>
      </c>
      <c r="V91" s="19" t="e">
        <f>IF(Table37[[#This Row],[CODE]]=18, Table37[ [#This Row],[Account Deposit Amount] ]-Table37[ [#This Row],[Account Withdrawl Amount] ], )</f>
        <v>#VALUE!</v>
      </c>
    </row>
    <row r="92" spans="21:22" ht="12.6" thickBot="1">
      <c r="U92" s="17" t="e">
        <f>IF(Table38[[#This Row],[CODE]]=17, Table38[ [#This Row],[Account Deposit Amount] ]-Table38[ [#This Row],[Account Withdrawl Amount] ], )</f>
        <v>#VALUE!</v>
      </c>
      <c r="V92" s="19" t="e">
        <f>IF(Table37[[#This Row],[CODE]]=18, Table37[ [#This Row],[Account Deposit Amount] ]-Table37[ [#This Row],[Account Withdrawl Amount] ], )</f>
        <v>#VALUE!</v>
      </c>
    </row>
    <row r="93" spans="21:22" ht="12.6" thickBot="1">
      <c r="U93" s="17" t="e">
        <f>IF(Table38[[#This Row],[CODE]]=17, Table38[ [#This Row],[Account Deposit Amount] ]-Table38[ [#This Row],[Account Withdrawl Amount] ], )</f>
        <v>#VALUE!</v>
      </c>
      <c r="V93" s="19" t="e">
        <f>IF(Table37[[#This Row],[CODE]]=18, Table37[ [#This Row],[Account Deposit Amount] ]-Table37[ [#This Row],[Account Withdrawl Amount] ], )</f>
        <v>#VALUE!</v>
      </c>
    </row>
    <row r="94" spans="21:22" ht="12.6" thickBot="1">
      <c r="U94" s="17" t="e">
        <f>IF(Table38[[#This Row],[CODE]]=17, Table38[ [#This Row],[Account Deposit Amount] ]-Table38[ [#This Row],[Account Withdrawl Amount] ], )</f>
        <v>#VALUE!</v>
      </c>
      <c r="V94" s="19" t="e">
        <f>IF(Table37[[#This Row],[CODE]]=18, Table37[ [#This Row],[Account Deposit Amount] ]-Table37[ [#This Row],[Account Withdrawl Amount] ], )</f>
        <v>#VALUE!</v>
      </c>
    </row>
    <row r="95" spans="21:22" ht="12.6" thickBot="1">
      <c r="U95" s="17" t="e">
        <f>IF(Table38[[#This Row],[CODE]]=17, Table38[ [#This Row],[Account Deposit Amount] ]-Table38[ [#This Row],[Account Withdrawl Amount] ], )</f>
        <v>#VALUE!</v>
      </c>
      <c r="V95" s="19" t="e">
        <f>IF(Table37[[#This Row],[CODE]]=18, Table37[ [#This Row],[Account Deposit Amount] ]-Table37[ [#This Row],[Account Withdrawl Amount] ], )</f>
        <v>#VALUE!</v>
      </c>
    </row>
    <row r="96" spans="21:22" ht="12.6" thickBot="1">
      <c r="U96" s="17" t="e">
        <f>IF(Table38[[#This Row],[CODE]]=17, Table38[ [#This Row],[Account Deposit Amount] ]-Table38[ [#This Row],[Account Withdrawl Amount] ], )</f>
        <v>#VALUE!</v>
      </c>
      <c r="V96" s="19" t="e">
        <f>IF(Table37[[#This Row],[CODE]]=18, Table37[ [#This Row],[Account Deposit Amount] ]-Table37[ [#This Row],[Account Withdrawl Amount] ], )</f>
        <v>#VALUE!</v>
      </c>
    </row>
    <row r="97" spans="21:22" ht="12.6" thickBot="1">
      <c r="U97" s="17" t="e">
        <f>IF(Table38[[#This Row],[CODE]]=17, Table38[ [#This Row],[Account Deposit Amount] ]-Table38[ [#This Row],[Account Withdrawl Amount] ], )</f>
        <v>#VALUE!</v>
      </c>
      <c r="V97" s="19" t="e">
        <f>IF(Table37[[#This Row],[CODE]]=18, Table37[ [#This Row],[Account Deposit Amount] ]-Table37[ [#This Row],[Account Withdrawl Amount] ], )</f>
        <v>#VALUE!</v>
      </c>
    </row>
    <row r="98" spans="21:22" ht="12.6" thickBot="1">
      <c r="U98" s="17" t="e">
        <f>IF(Table38[[#This Row],[CODE]]=17, Table38[ [#This Row],[Account Deposit Amount] ]-Table38[ [#This Row],[Account Withdrawl Amount] ], )</f>
        <v>#VALUE!</v>
      </c>
      <c r="V98" s="19" t="e">
        <f>IF(Table37[[#This Row],[CODE]]=18, Table37[ [#This Row],[Account Deposit Amount] ]-Table37[ [#This Row],[Account Withdrawl Amount] ], )</f>
        <v>#VALUE!</v>
      </c>
    </row>
    <row r="99" spans="21:22" ht="12.6" thickBot="1">
      <c r="U99" s="17" t="e">
        <f>IF(Table38[[#This Row],[CODE]]=17, Table38[ [#This Row],[Account Deposit Amount] ]-Table38[ [#This Row],[Account Withdrawl Amount] ], )</f>
        <v>#VALUE!</v>
      </c>
      <c r="V99" s="19" t="e">
        <f>IF(Table37[[#This Row],[CODE]]=18, Table37[ [#This Row],[Account Deposit Amount] ]-Table37[ [#This Row],[Account Withdrawl Amount] ], )</f>
        <v>#VALUE!</v>
      </c>
    </row>
    <row r="100" spans="21:22" ht="12.6" thickBot="1">
      <c r="U100" s="17" t="e">
        <f>IF(Table38[[#This Row],[CODE]]=17, Table38[ [#This Row],[Account Deposit Amount] ]-Table38[ [#This Row],[Account Withdrawl Amount] ], )</f>
        <v>#VALUE!</v>
      </c>
      <c r="V100" s="19" t="e">
        <f>IF(Table37[[#This Row],[CODE]]=18, Table37[ [#This Row],[Account Deposit Amount] ]-Table37[ [#This Row],[Account Withdrawl Amount] ], )</f>
        <v>#VALUE!</v>
      </c>
    </row>
    <row r="101" spans="21:22" ht="12.6" thickBot="1">
      <c r="U101" s="17" t="e">
        <f>IF(Table38[[#This Row],[CODE]]=17, Table38[ [#This Row],[Account Deposit Amount] ]-Table38[ [#This Row],[Account Withdrawl Amount] ], )</f>
        <v>#VALUE!</v>
      </c>
      <c r="V101" s="19" t="e">
        <f>IF(Table37[[#This Row],[CODE]]=18, Table37[ [#This Row],[Account Deposit Amount] ]-Table37[ [#This Row],[Account Withdrawl Amount] ], )</f>
        <v>#VALUE!</v>
      </c>
    </row>
    <row r="102" spans="21:22" ht="12.6" thickBot="1">
      <c r="U102" s="17" t="e">
        <f>IF(Table38[[#This Row],[CODE]]=17, Table38[ [#This Row],[Account Deposit Amount] ]-Table38[ [#This Row],[Account Withdrawl Amount] ], )</f>
        <v>#VALUE!</v>
      </c>
      <c r="V102" s="19" t="e">
        <f>IF(Table37[[#This Row],[CODE]]=18, Table37[ [#This Row],[Account Deposit Amount] ]-Table37[ [#This Row],[Account Withdrawl Amount] ], )</f>
        <v>#VALUE!</v>
      </c>
    </row>
    <row r="103" spans="21:22" ht="12.6" thickBot="1">
      <c r="U103" s="17" t="e">
        <f>IF(Table38[[#This Row],[CODE]]=17, Table38[ [#This Row],[Account Deposit Amount] ]-Table38[ [#This Row],[Account Withdrawl Amount] ], )</f>
        <v>#VALUE!</v>
      </c>
      <c r="V103" s="19" t="e">
        <f>IF(Table37[[#This Row],[CODE]]=18, Table37[ [#This Row],[Account Deposit Amount] ]-Table37[ [#This Row],[Account Withdrawl Amount] ], )</f>
        <v>#VALUE!</v>
      </c>
    </row>
    <row r="104" spans="21:22" ht="12.6" thickBot="1">
      <c r="U104" s="17" t="e">
        <f>IF(Table38[[#This Row],[CODE]]=17, Table38[ [#This Row],[Account Deposit Amount] ]-Table38[ [#This Row],[Account Withdrawl Amount] ], )</f>
        <v>#VALUE!</v>
      </c>
      <c r="V104" s="19" t="e">
        <f>IF(Table37[[#This Row],[CODE]]=18, Table37[ [#This Row],[Account Deposit Amount] ]-Table37[ [#This Row],[Account Withdrawl Amount] ], )</f>
        <v>#VALUE!</v>
      </c>
    </row>
    <row r="105" spans="21:22" ht="12.6" thickBot="1">
      <c r="U105" s="17" t="e">
        <f>IF(Table38[[#This Row],[CODE]]=17, Table38[ [#This Row],[Account Deposit Amount] ]-Table38[ [#This Row],[Account Withdrawl Amount] ], )</f>
        <v>#VALUE!</v>
      </c>
      <c r="V105" s="19" t="e">
        <f>IF(Table37[[#This Row],[CODE]]=18, Table37[ [#This Row],[Account Deposit Amount] ]-Table37[ [#This Row],[Account Withdrawl Amount] ], )</f>
        <v>#VALUE!</v>
      </c>
    </row>
    <row r="106" spans="21:22" ht="12.6" thickBot="1">
      <c r="U106" s="17" t="e">
        <f>IF(Table38[[#This Row],[CODE]]=17, Table38[ [#This Row],[Account Deposit Amount] ]-Table38[ [#This Row],[Account Withdrawl Amount] ], )</f>
        <v>#VALUE!</v>
      </c>
      <c r="V106" s="19" t="e">
        <f>IF(Table37[[#This Row],[CODE]]=18, Table37[ [#This Row],[Account Deposit Amount] ]-Table37[ [#This Row],[Account Withdrawl Amount] ], )</f>
        <v>#VALUE!</v>
      </c>
    </row>
    <row r="107" spans="21:22" ht="12.6" thickBot="1">
      <c r="U107" s="17" t="e">
        <f>IF(Table38[[#This Row],[CODE]]=17, Table38[ [#This Row],[Account Deposit Amount] ]-Table38[ [#This Row],[Account Withdrawl Amount] ], )</f>
        <v>#VALUE!</v>
      </c>
      <c r="V107" s="19" t="e">
        <f>IF(Table37[[#This Row],[CODE]]=18, Table37[ [#This Row],[Account Deposit Amount] ]-Table37[ [#This Row],[Account Withdrawl Amount] ], )</f>
        <v>#VALUE!</v>
      </c>
    </row>
    <row r="108" spans="21:22" ht="12.6" thickBot="1">
      <c r="U108" s="17" t="e">
        <f>IF(Table38[[#This Row],[CODE]]=17, Table38[ [#This Row],[Account Deposit Amount] ]-Table38[ [#This Row],[Account Withdrawl Amount] ], )</f>
        <v>#VALUE!</v>
      </c>
      <c r="V108" s="19" t="e">
        <f>IF(Table37[[#This Row],[CODE]]=18, Table37[ [#This Row],[Account Deposit Amount] ]-Table37[ [#This Row],[Account Withdrawl Amount] ], )</f>
        <v>#VALUE!</v>
      </c>
    </row>
    <row r="109" spans="21:22" ht="12.6" thickBot="1">
      <c r="U109" s="17" t="e">
        <f>IF(Table38[[#This Row],[CODE]]=17, Table38[ [#This Row],[Account Deposit Amount] ]-Table38[ [#This Row],[Account Withdrawl Amount] ], )</f>
        <v>#VALUE!</v>
      </c>
      <c r="V109" s="19" t="e">
        <f>IF(Table37[[#This Row],[CODE]]=18, Table37[ [#This Row],[Account Deposit Amount] ]-Table37[ [#This Row],[Account Withdrawl Amount] ], )</f>
        <v>#VALUE!</v>
      </c>
    </row>
    <row r="110" spans="21:22" ht="12.6" thickBot="1">
      <c r="U110" s="17" t="e">
        <f>IF(Table38[[#This Row],[CODE]]=17, Table38[ [#This Row],[Account Deposit Amount] ]-Table38[ [#This Row],[Account Withdrawl Amount] ], )</f>
        <v>#VALUE!</v>
      </c>
      <c r="V110" s="19" t="e">
        <f>IF(Table37[[#This Row],[CODE]]=18, Table37[ [#This Row],[Account Deposit Amount] ]-Table37[ [#This Row],[Account Withdrawl Amount] ], )</f>
        <v>#VALUE!</v>
      </c>
    </row>
    <row r="111" spans="21:22" ht="12.6" thickBot="1">
      <c r="U111" s="17" t="e">
        <f>IF(Table38[[#This Row],[CODE]]=17, Table38[ [#This Row],[Account Deposit Amount] ]-Table38[ [#This Row],[Account Withdrawl Amount] ], )</f>
        <v>#VALUE!</v>
      </c>
      <c r="V111" s="19" t="e">
        <f>IF(Table37[[#This Row],[CODE]]=18, Table37[ [#This Row],[Account Deposit Amount] ]-Table37[ [#This Row],[Account Withdrawl Amount] ], )</f>
        <v>#VALUE!</v>
      </c>
    </row>
    <row r="112" spans="21:22" ht="12.6" thickBot="1">
      <c r="U112" s="17" t="e">
        <f>IF(Table38[[#This Row],[CODE]]=17, Table38[ [#This Row],[Account Deposit Amount] ]-Table38[ [#This Row],[Account Withdrawl Amount] ], )</f>
        <v>#VALUE!</v>
      </c>
      <c r="V112" s="19" t="e">
        <f>IF(Table37[[#This Row],[CODE]]=18, Table37[ [#This Row],[Account Deposit Amount] ]-Table37[ [#This Row],[Account Withdrawl Amount] ], )</f>
        <v>#VALUE!</v>
      </c>
    </row>
    <row r="113" spans="21:22" ht="12.6" thickBot="1">
      <c r="U113" s="17" t="e">
        <f>IF(Table38[[#This Row],[CODE]]=17, Table38[ [#This Row],[Account Deposit Amount] ]-Table38[ [#This Row],[Account Withdrawl Amount] ], )</f>
        <v>#VALUE!</v>
      </c>
      <c r="V113" s="19" t="e">
        <f>IF(Table37[[#This Row],[CODE]]=18, Table37[ [#This Row],[Account Deposit Amount] ]-Table37[ [#This Row],[Account Withdrawl Amount] ], )</f>
        <v>#VALUE!</v>
      </c>
    </row>
    <row r="114" spans="21:22" ht="12.6" thickBot="1">
      <c r="U114" s="17" t="e">
        <f>IF(Table38[[#This Row],[CODE]]=17, Table38[ [#This Row],[Account Deposit Amount] ]-Table38[ [#This Row],[Account Withdrawl Amount] ], )</f>
        <v>#VALUE!</v>
      </c>
      <c r="V114" s="19" t="e">
        <f>IF(Table37[[#This Row],[CODE]]=18, Table37[ [#This Row],[Account Deposit Amount] ]-Table37[ [#This Row],[Account Withdrawl Amount] ], )</f>
        <v>#VALUE!</v>
      </c>
    </row>
    <row r="115" spans="21:22" ht="12.6" thickBot="1">
      <c r="U115" s="17" t="e">
        <f>IF(Table38[[#This Row],[CODE]]=17, Table38[ [#This Row],[Account Deposit Amount] ]-Table38[ [#This Row],[Account Withdrawl Amount] ], )</f>
        <v>#VALUE!</v>
      </c>
      <c r="V115" s="19" t="e">
        <f>IF(Table37[[#This Row],[CODE]]=18, Table37[ [#This Row],[Account Deposit Amount] ]-Table37[ [#This Row],[Account Withdrawl Amount] ], )</f>
        <v>#VALUE!</v>
      </c>
    </row>
    <row r="116" spans="21:22" ht="12.6" thickBot="1">
      <c r="U116" s="17" t="e">
        <f>IF(Table38[[#This Row],[CODE]]=17, Table38[ [#This Row],[Account Deposit Amount] ]-Table38[ [#This Row],[Account Withdrawl Amount] ], )</f>
        <v>#VALUE!</v>
      </c>
      <c r="V116" s="19" t="e">
        <f>IF(Table37[[#This Row],[CODE]]=18, Table37[ [#This Row],[Account Deposit Amount] ]-Table37[ [#This Row],[Account Withdrawl Amount] ], )</f>
        <v>#VALUE!</v>
      </c>
    </row>
    <row r="117" spans="21:22" ht="12.6" thickBot="1">
      <c r="U117" s="17" t="e">
        <f>IF(Table38[[#This Row],[CODE]]=17, Table38[ [#This Row],[Account Deposit Amount] ]-Table38[ [#This Row],[Account Withdrawl Amount] ], )</f>
        <v>#VALUE!</v>
      </c>
      <c r="V117" s="19" t="e">
        <f>IF(Table37[[#This Row],[CODE]]=18, Table37[ [#This Row],[Account Deposit Amount] ]-Table37[ [#This Row],[Account Withdrawl Amount] ], )</f>
        <v>#VALUE!</v>
      </c>
    </row>
    <row r="118" spans="21:22" ht="12.6" thickBot="1">
      <c r="U118" s="17" t="e">
        <f>IF(Table38[[#This Row],[CODE]]=17, Table38[ [#This Row],[Account Deposit Amount] ]-Table38[ [#This Row],[Account Withdrawl Amount] ], )</f>
        <v>#VALUE!</v>
      </c>
      <c r="V118" s="19" t="e">
        <f>IF(Table37[[#This Row],[CODE]]=18, Table37[ [#This Row],[Account Deposit Amount] ]-Table37[ [#This Row],[Account Withdrawl Amount] ], )</f>
        <v>#VALUE!</v>
      </c>
    </row>
    <row r="119" spans="21:22" ht="12.6" thickBot="1">
      <c r="U119" s="17" t="e">
        <f>IF(Table38[[#This Row],[CODE]]=17, Table38[ [#This Row],[Account Deposit Amount] ]-Table38[ [#This Row],[Account Withdrawl Amount] ], )</f>
        <v>#VALUE!</v>
      </c>
      <c r="V119" s="19" t="e">
        <f>IF(Table37[[#This Row],[CODE]]=18, Table37[ [#This Row],[Account Deposit Amount] ]-Table37[ [#This Row],[Account Withdrawl Amount] ], )</f>
        <v>#VALUE!</v>
      </c>
    </row>
    <row r="120" spans="21:22" ht="12.6" thickBot="1">
      <c r="U120" s="17" t="e">
        <f>IF(Table38[[#This Row],[CODE]]=17, Table38[ [#This Row],[Account Deposit Amount] ]-Table38[ [#This Row],[Account Withdrawl Amount] ], )</f>
        <v>#VALUE!</v>
      </c>
      <c r="V120" s="19" t="e">
        <f>IF(Table37[[#This Row],[CODE]]=18, Table37[ [#This Row],[Account Deposit Amount] ]-Table37[ [#This Row],[Account Withdrawl Amount] ], )</f>
        <v>#VALUE!</v>
      </c>
    </row>
    <row r="121" spans="21:22" ht="12.6" thickBot="1">
      <c r="U121" s="17" t="e">
        <f>IF(Table38[[#This Row],[CODE]]=17, Table38[ [#This Row],[Account Deposit Amount] ]-Table38[ [#This Row],[Account Withdrawl Amount] ], )</f>
        <v>#VALUE!</v>
      </c>
      <c r="V121" s="19" t="e">
        <f>IF(Table37[[#This Row],[CODE]]=18, Table37[ [#This Row],[Account Deposit Amount] ]-Table37[ [#This Row],[Account Withdrawl Amount] ], )</f>
        <v>#VALUE!</v>
      </c>
    </row>
    <row r="122" spans="21:22" ht="12.6" thickBot="1">
      <c r="U122" s="17" t="e">
        <f>IF(Table38[[#This Row],[CODE]]=17, Table38[ [#This Row],[Account Deposit Amount] ]-Table38[ [#This Row],[Account Withdrawl Amount] ], )</f>
        <v>#VALUE!</v>
      </c>
      <c r="V122" s="19" t="e">
        <f>IF(Table37[[#This Row],[CODE]]=18, Table37[ [#This Row],[Account Deposit Amount] ]-Table37[ [#This Row],[Account Withdrawl Amount] ], )</f>
        <v>#VALUE!</v>
      </c>
    </row>
    <row r="123" spans="21:22" ht="12.6" thickBot="1">
      <c r="U123" s="17" t="e">
        <f>IF(Table38[[#This Row],[CODE]]=17, Table38[ [#This Row],[Account Deposit Amount] ]-Table38[ [#This Row],[Account Withdrawl Amount] ], )</f>
        <v>#VALUE!</v>
      </c>
      <c r="V123" s="19" t="e">
        <f>IF(Table37[[#This Row],[CODE]]=18, Table37[ [#This Row],[Account Deposit Amount] ]-Table37[ [#This Row],[Account Withdrawl Amount] ], )</f>
        <v>#VALUE!</v>
      </c>
    </row>
    <row r="124" spans="21:22" ht="12.6" thickBot="1">
      <c r="U124" s="17" t="e">
        <f>IF(Table38[[#This Row],[CODE]]=17, Table38[ [#This Row],[Account Deposit Amount] ]-Table38[ [#This Row],[Account Withdrawl Amount] ], )</f>
        <v>#VALUE!</v>
      </c>
      <c r="V124" s="19" t="e">
        <f>IF(Table37[[#This Row],[CODE]]=18, Table37[ [#This Row],[Account Deposit Amount] ]-Table37[ [#This Row],[Account Withdrawl Amount] ], )</f>
        <v>#VALUE!</v>
      </c>
    </row>
    <row r="125" spans="21:22" ht="12.6" thickBot="1">
      <c r="U125" s="17" t="e">
        <f>IF(Table38[[#This Row],[CODE]]=17, Table38[ [#This Row],[Account Deposit Amount] ]-Table38[ [#This Row],[Account Withdrawl Amount] ], )</f>
        <v>#VALUE!</v>
      </c>
      <c r="V125" s="19" t="e">
        <f>IF(Table37[[#This Row],[CODE]]=18, Table37[ [#This Row],[Account Deposit Amount] ]-Table37[ [#This Row],[Account Withdrawl Amount] ], )</f>
        <v>#VALUE!</v>
      </c>
    </row>
    <row r="126" spans="21:22" ht="12.6" thickBot="1">
      <c r="U126" s="17" t="e">
        <f>IF(Table38[[#This Row],[CODE]]=17, Table38[ [#This Row],[Account Deposit Amount] ]-Table38[ [#This Row],[Account Withdrawl Amount] ], )</f>
        <v>#VALUE!</v>
      </c>
      <c r="V126" s="19" t="e">
        <f>IF(Table37[[#This Row],[CODE]]=18, Table37[ [#This Row],[Account Deposit Amount] ]-Table37[ [#This Row],[Account Withdrawl Amount] ], )</f>
        <v>#VALUE!</v>
      </c>
    </row>
    <row r="127" spans="21:22" ht="12.6" thickBot="1">
      <c r="U127" s="17" t="e">
        <f>IF(Table38[[#This Row],[CODE]]=17, Table38[ [#This Row],[Account Deposit Amount] ]-Table38[ [#This Row],[Account Withdrawl Amount] ], )</f>
        <v>#VALUE!</v>
      </c>
      <c r="V127" s="19" t="e">
        <f>IF(Table37[[#This Row],[CODE]]=18, Table37[ [#This Row],[Account Deposit Amount] ]-Table37[ [#This Row],[Account Withdrawl Amount] ], )</f>
        <v>#VALUE!</v>
      </c>
    </row>
    <row r="128" spans="21:22" ht="12.6" thickBot="1">
      <c r="U128" s="17" t="e">
        <f>IF(Table38[[#This Row],[CODE]]=17, Table38[ [#This Row],[Account Deposit Amount] ]-Table38[ [#This Row],[Account Withdrawl Amount] ], )</f>
        <v>#VALUE!</v>
      </c>
      <c r="V128" s="19" t="e">
        <f>IF(Table37[[#This Row],[CODE]]=18, Table37[ [#This Row],[Account Deposit Amount] ]-Table37[ [#This Row],[Account Withdrawl Amount] ], )</f>
        <v>#VALUE!</v>
      </c>
    </row>
    <row r="129" spans="21:22" ht="12.6" thickBot="1">
      <c r="U129" s="17" t="e">
        <f>IF(Table38[[#This Row],[CODE]]=17, Table38[ [#This Row],[Account Deposit Amount] ]-Table38[ [#This Row],[Account Withdrawl Amount] ], )</f>
        <v>#VALUE!</v>
      </c>
      <c r="V129" s="19" t="e">
        <f>IF(Table37[[#This Row],[CODE]]=18, Table37[ [#This Row],[Account Deposit Amount] ]-Table37[ [#This Row],[Account Withdrawl Amount] ], )</f>
        <v>#VALUE!</v>
      </c>
    </row>
    <row r="130" spans="21:22" ht="12.6" thickBot="1">
      <c r="U130" s="17" t="e">
        <f>IF(Table38[[#This Row],[CODE]]=17, Table38[ [#This Row],[Account Deposit Amount] ]-Table38[ [#This Row],[Account Withdrawl Amount] ], )</f>
        <v>#VALUE!</v>
      </c>
      <c r="V130" s="19" t="e">
        <f>IF(Table37[[#This Row],[CODE]]=18, Table37[ [#This Row],[Account Deposit Amount] ]-Table37[ [#This Row],[Account Withdrawl Amount] ], )</f>
        <v>#VALUE!</v>
      </c>
    </row>
    <row r="131" spans="21:22" ht="12.6" thickBot="1">
      <c r="U131" s="17" t="e">
        <f>IF(Table38[[#This Row],[CODE]]=17, Table38[ [#This Row],[Account Deposit Amount] ]-Table38[ [#This Row],[Account Withdrawl Amount] ], )</f>
        <v>#VALUE!</v>
      </c>
      <c r="V131" s="19" t="e">
        <f>IF(Table37[[#This Row],[CODE]]=18, Table37[ [#This Row],[Account Deposit Amount] ]-Table37[ [#This Row],[Account Withdrawl Amount] ], )</f>
        <v>#VALUE!</v>
      </c>
    </row>
    <row r="132" spans="21:22" ht="12.6" thickBot="1">
      <c r="U132" s="17" t="e">
        <f>IF(Table38[[#This Row],[CODE]]=17, Table38[ [#This Row],[Account Deposit Amount] ]-Table38[ [#This Row],[Account Withdrawl Amount] ], )</f>
        <v>#VALUE!</v>
      </c>
      <c r="V132" s="19" t="e">
        <f>IF(Table37[[#This Row],[CODE]]=18, Table37[ [#This Row],[Account Deposit Amount] ]-Table37[ [#This Row],[Account Withdrawl Amount] ], )</f>
        <v>#VALUE!</v>
      </c>
    </row>
    <row r="133" spans="21:22" ht="12.6" thickBot="1">
      <c r="U133" s="17" t="e">
        <f>IF(Table38[[#This Row],[CODE]]=17, Table38[ [#This Row],[Account Deposit Amount] ]-Table38[ [#This Row],[Account Withdrawl Amount] ], )</f>
        <v>#VALUE!</v>
      </c>
      <c r="V133" s="19" t="e">
        <f>IF(Table37[[#This Row],[CODE]]=18, Table37[ [#This Row],[Account Deposit Amount] ]-Table37[ [#This Row],[Account Withdrawl Amount] ], )</f>
        <v>#VALUE!</v>
      </c>
    </row>
    <row r="134" spans="21:22" ht="12.6" thickBot="1">
      <c r="U134" s="17" t="e">
        <f>IF(Table38[[#This Row],[CODE]]=17, Table38[ [#This Row],[Account Deposit Amount] ]-Table38[ [#This Row],[Account Withdrawl Amount] ], )</f>
        <v>#VALUE!</v>
      </c>
      <c r="V134" s="19" t="e">
        <f>IF(Table37[[#This Row],[CODE]]=18, Table37[ [#This Row],[Account Deposit Amount] ]-Table37[ [#This Row],[Account Withdrawl Amount] ], )</f>
        <v>#VALUE!</v>
      </c>
    </row>
    <row r="135" spans="21:22" ht="12.6" thickBot="1">
      <c r="U135" s="17" t="e">
        <f>IF(Table38[[#This Row],[CODE]]=17, Table38[ [#This Row],[Account Deposit Amount] ]-Table38[ [#This Row],[Account Withdrawl Amount] ], )</f>
        <v>#VALUE!</v>
      </c>
      <c r="V135" s="19" t="e">
        <f>IF(Table37[[#This Row],[CODE]]=18, Table37[ [#This Row],[Account Deposit Amount] ]-Table37[ [#This Row],[Account Withdrawl Amount] ], )</f>
        <v>#VALUE!</v>
      </c>
    </row>
    <row r="136" spans="21:22" ht="12.6" thickBot="1">
      <c r="U136" s="17" t="e">
        <f>IF(Table38[[#This Row],[CODE]]=17, Table38[ [#This Row],[Account Deposit Amount] ]-Table38[ [#This Row],[Account Withdrawl Amount] ], )</f>
        <v>#VALUE!</v>
      </c>
      <c r="V136" s="19" t="e">
        <f>IF(Table37[[#This Row],[CODE]]=18, Table37[ [#This Row],[Account Deposit Amount] ]-Table37[ [#This Row],[Account Withdrawl Amount] ], )</f>
        <v>#VALUE!</v>
      </c>
    </row>
    <row r="137" spans="21:22" ht="12.6" thickBot="1">
      <c r="U137" s="17" t="e">
        <f>IF(Table38[[#This Row],[CODE]]=17, Table38[ [#This Row],[Account Deposit Amount] ]-Table38[ [#This Row],[Account Withdrawl Amount] ], )</f>
        <v>#VALUE!</v>
      </c>
      <c r="V137" s="19" t="e">
        <f>IF(Table37[[#This Row],[CODE]]=18, Table37[ [#This Row],[Account Deposit Amount] ]-Table37[ [#This Row],[Account Withdrawl Amount] ], )</f>
        <v>#VALUE!</v>
      </c>
    </row>
    <row r="138" spans="21:22" ht="12.6" thickBot="1">
      <c r="U138" s="17" t="e">
        <f>IF(Table38[[#This Row],[CODE]]=17, Table38[ [#This Row],[Account Deposit Amount] ]-Table38[ [#This Row],[Account Withdrawl Amount] ], )</f>
        <v>#VALUE!</v>
      </c>
      <c r="V138" s="19" t="e">
        <f>IF(Table37[[#This Row],[CODE]]=18, Table37[ [#This Row],[Account Deposit Amount] ]-Table37[ [#This Row],[Account Withdrawl Amount] ], )</f>
        <v>#VALUE!</v>
      </c>
    </row>
    <row r="139" spans="21:22" ht="12.6" thickBot="1">
      <c r="U139" s="17" t="e">
        <f>IF(Table38[[#This Row],[CODE]]=17, Table38[ [#This Row],[Account Deposit Amount] ]-Table38[ [#This Row],[Account Withdrawl Amount] ], )</f>
        <v>#VALUE!</v>
      </c>
      <c r="V139" s="19" t="e">
        <f>IF(Table37[[#This Row],[CODE]]=18, Table37[ [#This Row],[Account Deposit Amount] ]-Table37[ [#This Row],[Account Withdrawl Amount] ], )</f>
        <v>#VALUE!</v>
      </c>
    </row>
    <row r="140" spans="21:22" ht="12.6" thickBot="1">
      <c r="U140" s="17" t="e">
        <f>IF(Table38[[#This Row],[CODE]]=17, Table38[ [#This Row],[Account Deposit Amount] ]-Table38[ [#This Row],[Account Withdrawl Amount] ], )</f>
        <v>#VALUE!</v>
      </c>
      <c r="V140" s="19" t="e">
        <f>IF(Table37[[#This Row],[CODE]]=18, Table37[ [#This Row],[Account Deposit Amount] ]-Table37[ [#This Row],[Account Withdrawl Amount] ], )</f>
        <v>#VALUE!</v>
      </c>
    </row>
    <row r="141" spans="21:22" ht="12.6" thickBot="1">
      <c r="U141" s="17" t="e">
        <f>IF(Table38[[#This Row],[CODE]]=17, Table38[ [#This Row],[Account Deposit Amount] ]-Table38[ [#This Row],[Account Withdrawl Amount] ], )</f>
        <v>#VALUE!</v>
      </c>
      <c r="V141" s="19" t="e">
        <f>IF(Table37[[#This Row],[CODE]]=18, Table37[ [#This Row],[Account Deposit Amount] ]-Table37[ [#This Row],[Account Withdrawl Amount] ], )</f>
        <v>#VALUE!</v>
      </c>
    </row>
    <row r="142" spans="21:22" ht="12.6" thickBot="1">
      <c r="U142" s="17" t="e">
        <f>IF(Table38[[#This Row],[CODE]]=17, Table38[ [#This Row],[Account Deposit Amount] ]-Table38[ [#This Row],[Account Withdrawl Amount] ], )</f>
        <v>#VALUE!</v>
      </c>
      <c r="V142" s="19" t="e">
        <f>IF(Table37[[#This Row],[CODE]]=18, Table37[ [#This Row],[Account Deposit Amount] ]-Table37[ [#This Row],[Account Withdrawl Amount] ], )</f>
        <v>#VALUE!</v>
      </c>
    </row>
    <row r="143" spans="21:22" ht="12.6" thickBot="1">
      <c r="U143" s="17" t="e">
        <f>IF(Table38[[#This Row],[CODE]]=17, Table38[ [#This Row],[Account Deposit Amount] ]-Table38[ [#This Row],[Account Withdrawl Amount] ], )</f>
        <v>#VALUE!</v>
      </c>
      <c r="V143" s="19" t="e">
        <f>IF(Table37[[#This Row],[CODE]]=18, Table37[ [#This Row],[Account Deposit Amount] ]-Table37[ [#This Row],[Account Withdrawl Amount] ], )</f>
        <v>#VALUE!</v>
      </c>
    </row>
    <row r="144" spans="21:22" ht="12.6" thickBot="1">
      <c r="U144" s="17" t="e">
        <f>IF(Table38[[#This Row],[CODE]]=17, Table38[ [#This Row],[Account Deposit Amount] ]-Table38[ [#This Row],[Account Withdrawl Amount] ], )</f>
        <v>#VALUE!</v>
      </c>
      <c r="V144" s="19" t="e">
        <f>IF(Table37[[#This Row],[CODE]]=18, Table37[ [#This Row],[Account Deposit Amount] ]-Table37[ [#This Row],[Account Withdrawl Amount] ], )</f>
        <v>#VALUE!</v>
      </c>
    </row>
    <row r="145" spans="21:22" ht="12.6" thickBot="1">
      <c r="U145" s="17" t="e">
        <f>IF(Table38[[#This Row],[CODE]]=17, Table38[ [#This Row],[Account Deposit Amount] ]-Table38[ [#This Row],[Account Withdrawl Amount] ], )</f>
        <v>#VALUE!</v>
      </c>
      <c r="V145" s="19" t="e">
        <f>IF(Table37[[#This Row],[CODE]]=18, Table37[ [#This Row],[Account Deposit Amount] ]-Table37[ [#This Row],[Account Withdrawl Amount] ], )</f>
        <v>#VALUE!</v>
      </c>
    </row>
    <row r="146" spans="21:22" ht="12.6" thickBot="1">
      <c r="U146" s="17" t="e">
        <f>IF(Table38[[#This Row],[CODE]]=17, Table38[ [#This Row],[Account Deposit Amount] ]-Table38[ [#This Row],[Account Withdrawl Amount] ], )</f>
        <v>#VALUE!</v>
      </c>
      <c r="V146" s="19" t="e">
        <f>IF(Table37[[#This Row],[CODE]]=18, Table37[ [#This Row],[Account Deposit Amount] ]-Table37[ [#This Row],[Account Withdrawl Amount] ], )</f>
        <v>#VALUE!</v>
      </c>
    </row>
    <row r="147" spans="21:22" ht="12.6" thickBot="1">
      <c r="U147" s="17" t="e">
        <f>IF(Table38[[#This Row],[CODE]]=17, Table38[ [#This Row],[Account Deposit Amount] ]-Table38[ [#This Row],[Account Withdrawl Amount] ], )</f>
        <v>#VALUE!</v>
      </c>
      <c r="V147" s="19" t="e">
        <f>IF(Table37[[#This Row],[CODE]]=18, Table37[ [#This Row],[Account Deposit Amount] ]-Table37[ [#This Row],[Account Withdrawl Amount] ], )</f>
        <v>#VALUE!</v>
      </c>
    </row>
    <row r="148" spans="21:22" ht="12.6" thickBot="1">
      <c r="U148" s="17" t="e">
        <f>IF(Table38[[#This Row],[CODE]]=17, Table38[ [#This Row],[Account Deposit Amount] ]-Table38[ [#This Row],[Account Withdrawl Amount] ], )</f>
        <v>#VALUE!</v>
      </c>
      <c r="V148" s="19" t="e">
        <f>IF(Table37[[#This Row],[CODE]]=18, Table37[ [#This Row],[Account Deposit Amount] ]-Table37[ [#This Row],[Account Withdrawl Amount] ], )</f>
        <v>#VALUE!</v>
      </c>
    </row>
    <row r="149" spans="21:22" ht="12.6" thickBot="1">
      <c r="U149" s="17" t="e">
        <f>IF(Table38[[#This Row],[CODE]]=17, Table38[ [#This Row],[Account Deposit Amount] ]-Table38[ [#This Row],[Account Withdrawl Amount] ], )</f>
        <v>#VALUE!</v>
      </c>
      <c r="V149" s="19" t="e">
        <f>IF(Table37[[#This Row],[CODE]]=18, Table37[ [#This Row],[Account Deposit Amount] ]-Table37[ [#This Row],[Account Withdrawl Amount] ], )</f>
        <v>#VALUE!</v>
      </c>
    </row>
    <row r="150" spans="21:22" ht="12.6" thickBot="1">
      <c r="U150" s="17" t="e">
        <f>IF(Table38[[#This Row],[CODE]]=17, Table38[ [#This Row],[Account Deposit Amount] ]-Table38[ [#This Row],[Account Withdrawl Amount] ], )</f>
        <v>#VALUE!</v>
      </c>
      <c r="V150" s="19" t="e">
        <f>IF(Table37[[#This Row],[CODE]]=18, Table37[ [#This Row],[Account Deposit Amount] ]-Table37[ [#This Row],[Account Withdrawl Amount] ], )</f>
        <v>#VALUE!</v>
      </c>
    </row>
    <row r="151" spans="21:22" ht="12.6" thickBot="1">
      <c r="U151" s="17" t="e">
        <f>IF(Table38[[#This Row],[CODE]]=17, Table38[ [#This Row],[Account Deposit Amount] ]-Table38[ [#This Row],[Account Withdrawl Amount] ], )</f>
        <v>#VALUE!</v>
      </c>
      <c r="V151" s="19" t="e">
        <f>IF(Table37[[#This Row],[CODE]]=18, Table37[ [#This Row],[Account Deposit Amount] ]-Table37[ [#This Row],[Account Withdrawl Amount] ], )</f>
        <v>#VALUE!</v>
      </c>
    </row>
    <row r="152" spans="21:22" ht="12.6" thickBot="1">
      <c r="U152" s="17" t="e">
        <f>IF(Table38[[#This Row],[CODE]]=17, Table38[ [#This Row],[Account Deposit Amount] ]-Table38[ [#This Row],[Account Withdrawl Amount] ], )</f>
        <v>#VALUE!</v>
      </c>
      <c r="V152" s="19" t="e">
        <f>IF(Table37[[#This Row],[CODE]]=18, Table37[ [#This Row],[Account Deposit Amount] ]-Table37[ [#This Row],[Account Withdrawl Amount] ], )</f>
        <v>#VALUE!</v>
      </c>
    </row>
    <row r="153" spans="21:22" ht="12.6" thickBot="1">
      <c r="U153" s="17" t="e">
        <f>IF(Table38[[#This Row],[CODE]]=17, Table38[ [#This Row],[Account Deposit Amount] ]-Table38[ [#This Row],[Account Withdrawl Amount] ], )</f>
        <v>#VALUE!</v>
      </c>
      <c r="V153" s="19" t="e">
        <f>IF(Table37[[#This Row],[CODE]]=18, Table37[ [#This Row],[Account Deposit Amount] ]-Table37[ [#This Row],[Account Withdrawl Amount] ], )</f>
        <v>#VALUE!</v>
      </c>
    </row>
    <row r="154" spans="21:22" ht="12.6" thickBot="1">
      <c r="U154" s="17" t="e">
        <f>IF(Table38[[#This Row],[CODE]]=17, Table38[ [#This Row],[Account Deposit Amount] ]-Table38[ [#This Row],[Account Withdrawl Amount] ], )</f>
        <v>#VALUE!</v>
      </c>
      <c r="V154" s="19" t="e">
        <f>IF(Table37[[#This Row],[CODE]]=18, Table37[ [#This Row],[Account Deposit Amount] ]-Table37[ [#This Row],[Account Withdrawl Amount] ], )</f>
        <v>#VALUE!</v>
      </c>
    </row>
    <row r="155" spans="21:22" ht="12.6" thickBot="1">
      <c r="U155" s="17" t="e">
        <f>IF(Table38[[#This Row],[CODE]]=17, Table38[ [#This Row],[Account Deposit Amount] ]-Table38[ [#This Row],[Account Withdrawl Amount] ], )</f>
        <v>#VALUE!</v>
      </c>
      <c r="V155" s="19" t="e">
        <f>IF(Table37[[#This Row],[CODE]]=18, Table37[ [#This Row],[Account Deposit Amount] ]-Table37[ [#This Row],[Account Withdrawl Amount] ], )</f>
        <v>#VALUE!</v>
      </c>
    </row>
    <row r="156" spans="21:22" ht="12.6" thickBot="1">
      <c r="U156" s="17" t="e">
        <f>IF(Table38[[#This Row],[CODE]]=17, Table38[ [#This Row],[Account Deposit Amount] ]-Table38[ [#This Row],[Account Withdrawl Amount] ], )</f>
        <v>#VALUE!</v>
      </c>
      <c r="V156" s="19" t="e">
        <f>IF(Table37[[#This Row],[CODE]]=18, Table37[ [#This Row],[Account Deposit Amount] ]-Table37[ [#This Row],[Account Withdrawl Amount] ], )</f>
        <v>#VALUE!</v>
      </c>
    </row>
    <row r="157" spans="21:22" ht="12.6" thickBot="1">
      <c r="U157" s="17" t="e">
        <f>IF(Table38[[#This Row],[CODE]]=17, Table38[ [#This Row],[Account Deposit Amount] ]-Table38[ [#This Row],[Account Withdrawl Amount] ], )</f>
        <v>#VALUE!</v>
      </c>
      <c r="V157" s="19" t="e">
        <f>IF(Table37[[#This Row],[CODE]]=18, Table37[ [#This Row],[Account Deposit Amount] ]-Table37[ [#This Row],[Account Withdrawl Amount] ], )</f>
        <v>#VALUE!</v>
      </c>
    </row>
    <row r="158" spans="21:22" ht="12.6" thickBot="1">
      <c r="U158" s="17" t="e">
        <f>IF(Table38[[#This Row],[CODE]]=17, Table38[ [#This Row],[Account Deposit Amount] ]-Table38[ [#This Row],[Account Withdrawl Amount] ], )</f>
        <v>#VALUE!</v>
      </c>
      <c r="V158" s="19" t="e">
        <f>IF(Table37[[#This Row],[CODE]]=18, Table37[ [#This Row],[Account Deposit Amount] ]-Table37[ [#This Row],[Account Withdrawl Amount] ], )</f>
        <v>#VALUE!</v>
      </c>
    </row>
    <row r="159" spans="21:22" ht="12.6" thickBot="1">
      <c r="U159" s="17" t="e">
        <f>IF(Table38[[#This Row],[CODE]]=17, Table38[ [#This Row],[Account Deposit Amount] ]-Table38[ [#This Row],[Account Withdrawl Amount] ], )</f>
        <v>#VALUE!</v>
      </c>
      <c r="V159" s="19" t="e">
        <f>IF(Table37[[#This Row],[CODE]]=18, Table37[ [#This Row],[Account Deposit Amount] ]-Table37[ [#This Row],[Account Withdrawl Amount] ], )</f>
        <v>#VALUE!</v>
      </c>
    </row>
    <row r="160" spans="21:22" ht="12.6" thickBot="1">
      <c r="U160" s="17" t="e">
        <f>IF(Table38[[#This Row],[CODE]]=17, Table38[ [#This Row],[Account Deposit Amount] ]-Table38[ [#This Row],[Account Withdrawl Amount] ], )</f>
        <v>#VALUE!</v>
      </c>
      <c r="V160" s="19" t="e">
        <f>IF(Table37[[#This Row],[CODE]]=18, Table37[ [#This Row],[Account Deposit Amount] ]-Table37[ [#This Row],[Account Withdrawl Amount] ], )</f>
        <v>#VALUE!</v>
      </c>
    </row>
    <row r="161" spans="21:22" ht="12.6" thickBot="1">
      <c r="U161" s="17" t="e">
        <f>IF(Table38[[#This Row],[CODE]]=17, Table38[ [#This Row],[Account Deposit Amount] ]-Table38[ [#This Row],[Account Withdrawl Amount] ], )</f>
        <v>#VALUE!</v>
      </c>
      <c r="V161" s="19" t="e">
        <f>IF(Table37[[#This Row],[CODE]]=18, Table37[ [#This Row],[Account Deposit Amount] ]-Table37[ [#This Row],[Account Withdrawl Amount] ], )</f>
        <v>#VALUE!</v>
      </c>
    </row>
    <row r="162" spans="21:22" ht="12.6" thickBot="1">
      <c r="U162" s="17" t="e">
        <f>IF(Table38[[#This Row],[CODE]]=17, Table38[ [#This Row],[Account Deposit Amount] ]-Table38[ [#This Row],[Account Withdrawl Amount] ], )</f>
        <v>#VALUE!</v>
      </c>
      <c r="V162" s="19" t="e">
        <f>IF(Table37[[#This Row],[CODE]]=18, Table37[ [#This Row],[Account Deposit Amount] ]-Table37[ [#This Row],[Account Withdrawl Amount] ], )</f>
        <v>#VALUE!</v>
      </c>
    </row>
    <row r="163" spans="21:22" ht="12.6" thickBot="1">
      <c r="U163" s="17" t="e">
        <f>IF(Table38[[#This Row],[CODE]]=17, Table38[ [#This Row],[Account Deposit Amount] ]-Table38[ [#This Row],[Account Withdrawl Amount] ], )</f>
        <v>#VALUE!</v>
      </c>
      <c r="V163" s="19" t="e">
        <f>IF(Table37[[#This Row],[CODE]]=18, Table37[ [#This Row],[Account Deposit Amount] ]-Table37[ [#This Row],[Account Withdrawl Amount] ], )</f>
        <v>#VALUE!</v>
      </c>
    </row>
    <row r="164" spans="21:22" ht="12.6" thickBot="1">
      <c r="U164" s="17" t="e">
        <f>IF(Table38[[#This Row],[CODE]]=17, Table38[ [#This Row],[Account Deposit Amount] ]-Table38[ [#This Row],[Account Withdrawl Amount] ], )</f>
        <v>#VALUE!</v>
      </c>
      <c r="V164" s="19" t="e">
        <f>IF(Table37[[#This Row],[CODE]]=18, Table37[ [#This Row],[Account Deposit Amount] ]-Table37[ [#This Row],[Account Withdrawl Amount] ], )</f>
        <v>#VALUE!</v>
      </c>
    </row>
    <row r="165" spans="21:22" ht="12.6" thickBot="1">
      <c r="U165" s="17" t="e">
        <f>IF(Table38[[#This Row],[CODE]]=17, Table38[ [#This Row],[Account Deposit Amount] ]-Table38[ [#This Row],[Account Withdrawl Amount] ], )</f>
        <v>#VALUE!</v>
      </c>
      <c r="V165" s="19" t="e">
        <f>IF(Table37[[#This Row],[CODE]]=18, Table37[ [#This Row],[Account Deposit Amount] ]-Table37[ [#This Row],[Account Withdrawl Amount] ], )</f>
        <v>#VALUE!</v>
      </c>
    </row>
    <row r="166" spans="21:22" ht="12.6" thickBot="1">
      <c r="U166" s="17" t="e">
        <f>IF(Table38[[#This Row],[CODE]]=17, Table38[ [#This Row],[Account Deposit Amount] ]-Table38[ [#This Row],[Account Withdrawl Amount] ], )</f>
        <v>#VALUE!</v>
      </c>
      <c r="V166" s="19" t="e">
        <f>IF(Table37[[#This Row],[CODE]]=18, Table37[ [#This Row],[Account Deposit Amount] ]-Table37[ [#This Row],[Account Withdrawl Amount] ], )</f>
        <v>#VALUE!</v>
      </c>
    </row>
    <row r="167" spans="21:22" ht="12.6" thickBot="1">
      <c r="U167" s="17" t="e">
        <f>IF(Table38[[#This Row],[CODE]]=17, Table38[ [#This Row],[Account Deposit Amount] ]-Table38[ [#This Row],[Account Withdrawl Amount] ], )</f>
        <v>#VALUE!</v>
      </c>
      <c r="V167" s="19" t="e">
        <f>IF(Table37[[#This Row],[CODE]]=18, Table37[ [#This Row],[Account Deposit Amount] ]-Table37[ [#This Row],[Account Withdrawl Amount] ], )</f>
        <v>#VALUE!</v>
      </c>
    </row>
    <row r="168" spans="21:22" ht="12.6" thickBot="1">
      <c r="U168" s="17" t="e">
        <f>IF(Table38[[#This Row],[CODE]]=17, Table38[ [#This Row],[Account Deposit Amount] ]-Table38[ [#This Row],[Account Withdrawl Amount] ], )</f>
        <v>#VALUE!</v>
      </c>
      <c r="V168" s="19" t="e">
        <f>IF(Table37[[#This Row],[CODE]]=18, Table37[ [#This Row],[Account Deposit Amount] ]-Table37[ [#This Row],[Account Withdrawl Amount] ], )</f>
        <v>#VALUE!</v>
      </c>
    </row>
    <row r="169" spans="21:22" ht="12.6" thickBot="1">
      <c r="U169" s="17" t="e">
        <f>IF(Table38[[#This Row],[CODE]]=17, Table38[ [#This Row],[Account Deposit Amount] ]-Table38[ [#This Row],[Account Withdrawl Amount] ], )</f>
        <v>#VALUE!</v>
      </c>
      <c r="V169" s="19" t="e">
        <f>IF(Table37[[#This Row],[CODE]]=18, Table37[ [#This Row],[Account Deposit Amount] ]-Table37[ [#This Row],[Account Withdrawl Amount] ], )</f>
        <v>#VALUE!</v>
      </c>
    </row>
    <row r="170" spans="21:22" ht="12.6" thickBot="1">
      <c r="U170" s="17" t="e">
        <f>IF(Table38[[#This Row],[CODE]]=17, Table38[ [#This Row],[Account Deposit Amount] ]-Table38[ [#This Row],[Account Withdrawl Amount] ], )</f>
        <v>#VALUE!</v>
      </c>
      <c r="V170" s="19" t="e">
        <f>IF(Table37[[#This Row],[CODE]]=18, Table37[ [#This Row],[Account Deposit Amount] ]-Table37[ [#This Row],[Account Withdrawl Amount] ], )</f>
        <v>#VALUE!</v>
      </c>
    </row>
    <row r="171" spans="21:22" ht="12.6" thickBot="1">
      <c r="U171" s="17" t="e">
        <f>IF(Table38[[#This Row],[CODE]]=17, Table38[ [#This Row],[Account Deposit Amount] ]-Table38[ [#This Row],[Account Withdrawl Amount] ], )</f>
        <v>#VALUE!</v>
      </c>
      <c r="V171" s="19" t="e">
        <f>IF(Table37[[#This Row],[CODE]]=18, Table37[ [#This Row],[Account Deposit Amount] ]-Table37[ [#This Row],[Account Withdrawl Amount] ], )</f>
        <v>#VALUE!</v>
      </c>
    </row>
    <row r="172" spans="21:22" ht="12.6" thickBot="1">
      <c r="U172" s="17" t="e">
        <f>IF(Table38[[#This Row],[CODE]]=17, Table38[ [#This Row],[Account Deposit Amount] ]-Table38[ [#This Row],[Account Withdrawl Amount] ], )</f>
        <v>#VALUE!</v>
      </c>
      <c r="V172" s="19" t="e">
        <f>IF(Table37[[#This Row],[CODE]]=18, Table37[ [#This Row],[Account Deposit Amount] ]-Table37[ [#This Row],[Account Withdrawl Amount] ], )</f>
        <v>#VALUE!</v>
      </c>
    </row>
    <row r="173" spans="21:22" ht="12.6" thickBot="1">
      <c r="U173" s="17" t="e">
        <f>IF(Table38[[#This Row],[CODE]]=17, Table38[ [#This Row],[Account Deposit Amount] ]-Table38[ [#This Row],[Account Withdrawl Amount] ], )</f>
        <v>#VALUE!</v>
      </c>
      <c r="V173" s="19" t="e">
        <f>IF(Table37[[#This Row],[CODE]]=18, Table37[ [#This Row],[Account Deposit Amount] ]-Table37[ [#This Row],[Account Withdrawl Amount] ], )</f>
        <v>#VALUE!</v>
      </c>
    </row>
    <row r="174" spans="21:22" ht="12.6" thickBot="1">
      <c r="U174" s="17" t="e">
        <f>IF(Table38[[#This Row],[CODE]]=17, Table38[ [#This Row],[Account Deposit Amount] ]-Table38[ [#This Row],[Account Withdrawl Amount] ], )</f>
        <v>#VALUE!</v>
      </c>
      <c r="V174" s="19" t="e">
        <f>IF(Table37[[#This Row],[CODE]]=18, Table37[ [#This Row],[Account Deposit Amount] ]-Table37[ [#This Row],[Account Withdrawl Amount] ], )</f>
        <v>#VALUE!</v>
      </c>
    </row>
    <row r="175" spans="21:22" ht="12.6" thickBot="1">
      <c r="U175" s="17" t="e">
        <f>IF(Table38[[#This Row],[CODE]]=17, Table38[ [#This Row],[Account Deposit Amount] ]-Table38[ [#This Row],[Account Withdrawl Amount] ], )</f>
        <v>#VALUE!</v>
      </c>
      <c r="V175" s="19" t="e">
        <f>IF(Table37[[#This Row],[CODE]]=18, Table37[ [#This Row],[Account Deposit Amount] ]-Table37[ [#This Row],[Account Withdrawl Amount] ], )</f>
        <v>#VALUE!</v>
      </c>
    </row>
    <row r="176" spans="21:22" ht="12.6" thickBot="1">
      <c r="U176" s="17" t="e">
        <f>IF(Table38[[#This Row],[CODE]]=17, Table38[ [#This Row],[Account Deposit Amount] ]-Table38[ [#This Row],[Account Withdrawl Amount] ], )</f>
        <v>#VALUE!</v>
      </c>
      <c r="V176" s="19" t="e">
        <f>IF(Table37[[#This Row],[CODE]]=18, Table37[ [#This Row],[Account Deposit Amount] ]-Table37[ [#This Row],[Account Withdrawl Amount] ], )</f>
        <v>#VALUE!</v>
      </c>
    </row>
    <row r="177" spans="21:22" ht="12.6" thickBot="1">
      <c r="U177" s="17" t="e">
        <f>IF(Table38[[#This Row],[CODE]]=17, Table38[ [#This Row],[Account Deposit Amount] ]-Table38[ [#This Row],[Account Withdrawl Amount] ], )</f>
        <v>#VALUE!</v>
      </c>
      <c r="V177" s="19" t="e">
        <f>IF(Table37[[#This Row],[CODE]]=18, Table37[ [#This Row],[Account Deposit Amount] ]-Table37[ [#This Row],[Account Withdrawl Amount] ], )</f>
        <v>#VALUE!</v>
      </c>
    </row>
    <row r="178" spans="21:22" ht="12.6" thickBot="1">
      <c r="U178" s="17" t="e">
        <f>IF(Table38[[#This Row],[CODE]]=17, Table38[ [#This Row],[Account Deposit Amount] ]-Table38[ [#This Row],[Account Withdrawl Amount] ], )</f>
        <v>#VALUE!</v>
      </c>
      <c r="V178" s="19" t="e">
        <f>IF(Table37[[#This Row],[CODE]]=18, Table37[ [#This Row],[Account Deposit Amount] ]-Table37[ [#This Row],[Account Withdrawl Amount] ], )</f>
        <v>#VALUE!</v>
      </c>
    </row>
    <row r="179" spans="21:22" ht="12.6" thickBot="1">
      <c r="U179" s="17" t="e">
        <f>IF(Table38[[#This Row],[CODE]]=17, Table38[ [#This Row],[Account Deposit Amount] ]-Table38[ [#This Row],[Account Withdrawl Amount] ], )</f>
        <v>#VALUE!</v>
      </c>
      <c r="V179" s="19" t="e">
        <f>IF(Table37[[#This Row],[CODE]]=18, Table37[ [#This Row],[Account Deposit Amount] ]-Table37[ [#This Row],[Account Withdrawl Amount] ], )</f>
        <v>#VALUE!</v>
      </c>
    </row>
    <row r="180" spans="21:22" ht="12.6" thickBot="1">
      <c r="U180" s="17" t="e">
        <f>IF(Table38[[#This Row],[CODE]]=17, Table38[ [#This Row],[Account Deposit Amount] ]-Table38[ [#This Row],[Account Withdrawl Amount] ], )</f>
        <v>#VALUE!</v>
      </c>
      <c r="V180" s="19" t="e">
        <f>IF(Table37[[#This Row],[CODE]]=18, Table37[ [#This Row],[Account Deposit Amount] ]-Table37[ [#This Row],[Account Withdrawl Amount] ], )</f>
        <v>#VALUE!</v>
      </c>
    </row>
    <row r="181" spans="21:22" ht="12.6" thickBot="1">
      <c r="U181" s="17" t="e">
        <f>IF(Table38[[#This Row],[CODE]]=17, Table38[ [#This Row],[Account Deposit Amount] ]-Table38[ [#This Row],[Account Withdrawl Amount] ], )</f>
        <v>#VALUE!</v>
      </c>
      <c r="V181" s="19" t="e">
        <f>IF(Table37[[#This Row],[CODE]]=18, Table37[ [#This Row],[Account Deposit Amount] ]-Table37[ [#This Row],[Account Withdrawl Amount] ], )</f>
        <v>#VALUE!</v>
      </c>
    </row>
    <row r="182" spans="21:22" ht="12.6" thickBot="1">
      <c r="U182" s="17" t="e">
        <f>IF(Table38[[#This Row],[CODE]]=17, Table38[ [#This Row],[Account Deposit Amount] ]-Table38[ [#This Row],[Account Withdrawl Amount] ], )</f>
        <v>#VALUE!</v>
      </c>
      <c r="V182" s="19" t="e">
        <f>IF(Table37[[#This Row],[CODE]]=18, Table37[ [#This Row],[Account Deposit Amount] ]-Table37[ [#This Row],[Account Withdrawl Amount] ], )</f>
        <v>#VALUE!</v>
      </c>
    </row>
    <row r="183" spans="21:22" ht="12.6" thickBot="1">
      <c r="U183" s="17" t="e">
        <f>IF(Table38[[#This Row],[CODE]]=17, Table38[ [#This Row],[Account Deposit Amount] ]-Table38[ [#This Row],[Account Withdrawl Amount] ], )</f>
        <v>#VALUE!</v>
      </c>
      <c r="V183" s="19" t="e">
        <f>IF(Table37[[#This Row],[CODE]]=18, Table37[ [#This Row],[Account Deposit Amount] ]-Table37[ [#This Row],[Account Withdrawl Amount] ], )</f>
        <v>#VALUE!</v>
      </c>
    </row>
    <row r="184" spans="21:22" ht="12.6" thickBot="1">
      <c r="U184" s="17" t="e">
        <f>IF(Table38[[#This Row],[CODE]]=17, Table38[ [#This Row],[Account Deposit Amount] ]-Table38[ [#This Row],[Account Withdrawl Amount] ], )</f>
        <v>#VALUE!</v>
      </c>
      <c r="V184" s="19" t="e">
        <f>IF(Table37[[#This Row],[CODE]]=18, Table37[ [#This Row],[Account Deposit Amount] ]-Table37[ [#This Row],[Account Withdrawl Amount] ], )</f>
        <v>#VALUE!</v>
      </c>
    </row>
    <row r="185" spans="21:22" ht="12.6" thickBot="1">
      <c r="U185" s="17" t="e">
        <f>IF(Table38[[#This Row],[CODE]]=17, Table38[ [#This Row],[Account Deposit Amount] ]-Table38[ [#This Row],[Account Withdrawl Amount] ], )</f>
        <v>#VALUE!</v>
      </c>
      <c r="V185" s="19" t="e">
        <f>IF(Table37[[#This Row],[CODE]]=18, Table37[ [#This Row],[Account Deposit Amount] ]-Table37[ [#This Row],[Account Withdrawl Amount] ], )</f>
        <v>#VALUE!</v>
      </c>
    </row>
    <row r="186" spans="21:22" ht="12.6" thickBot="1">
      <c r="U186" s="17" t="e">
        <f>IF(Table38[[#This Row],[CODE]]=17, Table38[ [#This Row],[Account Deposit Amount] ]-Table38[ [#This Row],[Account Withdrawl Amount] ], )</f>
        <v>#VALUE!</v>
      </c>
      <c r="V186" s="19" t="e">
        <f>IF(Table37[[#This Row],[CODE]]=18, Table37[ [#This Row],[Account Deposit Amount] ]-Table37[ [#This Row],[Account Withdrawl Amount] ], )</f>
        <v>#VALUE!</v>
      </c>
    </row>
    <row r="187" spans="21:22" ht="12.6" thickBot="1">
      <c r="U187" s="17" t="e">
        <f>IF(Table38[[#This Row],[CODE]]=17, Table38[ [#This Row],[Account Deposit Amount] ]-Table38[ [#This Row],[Account Withdrawl Amount] ], )</f>
        <v>#VALUE!</v>
      </c>
      <c r="V187" s="19" t="e">
        <f>IF(Table37[[#This Row],[CODE]]=18, Table37[ [#This Row],[Account Deposit Amount] ]-Table37[ [#This Row],[Account Withdrawl Amount] ], )</f>
        <v>#VALUE!</v>
      </c>
    </row>
    <row r="188" spans="21:22" ht="12.6" thickBot="1">
      <c r="U188" s="17" t="e">
        <f>IF(Table38[[#This Row],[CODE]]=17, Table38[ [#This Row],[Account Deposit Amount] ]-Table38[ [#This Row],[Account Withdrawl Amount] ], )</f>
        <v>#VALUE!</v>
      </c>
      <c r="V188" s="19" t="e">
        <f>IF(Table37[[#This Row],[CODE]]=18, Table37[ [#This Row],[Account Deposit Amount] ]-Table37[ [#This Row],[Account Withdrawl Amount] ], )</f>
        <v>#VALUE!</v>
      </c>
    </row>
    <row r="189" spans="21:22" ht="12.6" thickBot="1">
      <c r="U189" s="17" t="e">
        <f>IF(Table38[[#This Row],[CODE]]=17, Table38[ [#This Row],[Account Deposit Amount] ]-Table38[ [#This Row],[Account Withdrawl Amount] ], )</f>
        <v>#VALUE!</v>
      </c>
      <c r="V189" s="19" t="e">
        <f>IF(Table37[[#This Row],[CODE]]=18, Table37[ [#This Row],[Account Deposit Amount] ]-Table37[ [#This Row],[Account Withdrawl Amount] ], )</f>
        <v>#VALUE!</v>
      </c>
    </row>
    <row r="190" spans="21:22" ht="12.6" thickBot="1">
      <c r="U190" s="17" t="e">
        <f>IF(Table38[[#This Row],[CODE]]=17, Table38[ [#This Row],[Account Deposit Amount] ]-Table38[ [#This Row],[Account Withdrawl Amount] ], )</f>
        <v>#VALUE!</v>
      </c>
      <c r="V190" s="19" t="e">
        <f>IF(Table37[[#This Row],[CODE]]=18, Table37[ [#This Row],[Account Deposit Amount] ]-Table37[ [#This Row],[Account Withdrawl Amount] ], )</f>
        <v>#VALUE!</v>
      </c>
    </row>
    <row r="191" spans="21:22" ht="12.6" thickBot="1">
      <c r="U191" s="17" t="e">
        <f>IF(Table38[[#This Row],[CODE]]=17, Table38[ [#This Row],[Account Deposit Amount] ]-Table38[ [#This Row],[Account Withdrawl Amount] ], )</f>
        <v>#VALUE!</v>
      </c>
      <c r="V191" s="19" t="e">
        <f>IF(Table37[[#This Row],[CODE]]=18, Table37[ [#This Row],[Account Deposit Amount] ]-Table37[ [#This Row],[Account Withdrawl Amount] ], )</f>
        <v>#VALUE!</v>
      </c>
    </row>
    <row r="192" spans="21:22" ht="12.6" thickBot="1">
      <c r="U192" s="17" t="e">
        <f>IF(Table38[[#This Row],[CODE]]=17, Table38[ [#This Row],[Account Deposit Amount] ]-Table38[ [#This Row],[Account Withdrawl Amount] ], )</f>
        <v>#VALUE!</v>
      </c>
      <c r="V192" s="19" t="e">
        <f>IF(Table37[[#This Row],[CODE]]=18, Table37[ [#This Row],[Account Deposit Amount] ]-Table37[ [#This Row],[Account Withdrawl Amount] ], )</f>
        <v>#VALUE!</v>
      </c>
    </row>
    <row r="193" spans="21:22" ht="12.6" thickBot="1">
      <c r="U193" s="17" t="e">
        <f>IF(Table38[[#This Row],[CODE]]=17, Table38[ [#This Row],[Account Deposit Amount] ]-Table38[ [#This Row],[Account Withdrawl Amount] ], )</f>
        <v>#VALUE!</v>
      </c>
      <c r="V193" s="19" t="e">
        <f>IF(Table37[[#This Row],[CODE]]=18, Table37[ [#This Row],[Account Deposit Amount] ]-Table37[ [#This Row],[Account Withdrawl Amount] ], )</f>
        <v>#VALUE!</v>
      </c>
    </row>
    <row r="194" spans="21:22" ht="12.6" thickBot="1">
      <c r="U194" s="17" t="e">
        <f>IF(Table38[[#This Row],[CODE]]=17, Table38[ [#This Row],[Account Deposit Amount] ]-Table38[ [#This Row],[Account Withdrawl Amount] ], )</f>
        <v>#VALUE!</v>
      </c>
      <c r="V194" s="19" t="e">
        <f>IF(Table37[[#This Row],[CODE]]=18, Table37[ [#This Row],[Account Deposit Amount] ]-Table37[ [#This Row],[Account Withdrawl Amount] ], )</f>
        <v>#VALUE!</v>
      </c>
    </row>
    <row r="195" spans="21:22" ht="12.6" thickBot="1">
      <c r="U195" s="17" t="e">
        <f>IF(Table38[[#This Row],[CODE]]=17, Table38[ [#This Row],[Account Deposit Amount] ]-Table38[ [#This Row],[Account Withdrawl Amount] ], )</f>
        <v>#VALUE!</v>
      </c>
      <c r="V195" s="19" t="e">
        <f>IF(Table37[[#This Row],[CODE]]=18, Table37[ [#This Row],[Account Deposit Amount] ]-Table37[ [#This Row],[Account Withdrawl Amount] ], )</f>
        <v>#VALUE!</v>
      </c>
    </row>
    <row r="196" spans="21:22" ht="12.6" thickBot="1">
      <c r="U196" s="17" t="e">
        <f>IF(Table38[[#This Row],[CODE]]=17, Table38[ [#This Row],[Account Deposit Amount] ]-Table38[ [#This Row],[Account Withdrawl Amount] ], )</f>
        <v>#VALUE!</v>
      </c>
      <c r="V196" s="19" t="e">
        <f>IF(Table37[[#This Row],[CODE]]=18, Table37[ [#This Row],[Account Deposit Amount] ]-Table37[ [#This Row],[Account Withdrawl Amount] ], )</f>
        <v>#VALUE!</v>
      </c>
    </row>
    <row r="197" spans="21:22" ht="12.6" thickBot="1">
      <c r="U197" s="17" t="e">
        <f>IF(Table38[[#This Row],[CODE]]=17, Table38[ [#This Row],[Account Deposit Amount] ]-Table38[ [#This Row],[Account Withdrawl Amount] ], )</f>
        <v>#VALUE!</v>
      </c>
      <c r="V197" s="19" t="e">
        <f>IF(Table37[[#This Row],[CODE]]=18, Table37[ [#This Row],[Account Deposit Amount] ]-Table37[ [#This Row],[Account Withdrawl Amount] ], )</f>
        <v>#VALUE!</v>
      </c>
    </row>
    <row r="198" spans="21:22" ht="12.6" thickBot="1">
      <c r="U198" s="17" t="e">
        <f>IF(Table38[[#This Row],[CODE]]=17, Table38[ [#This Row],[Account Deposit Amount] ]-Table38[ [#This Row],[Account Withdrawl Amount] ], )</f>
        <v>#VALUE!</v>
      </c>
      <c r="V198" s="19" t="e">
        <f>IF(Table37[[#This Row],[CODE]]=18, Table37[ [#This Row],[Account Deposit Amount] ]-Table37[ [#This Row],[Account Withdrawl Amount] ], )</f>
        <v>#VALUE!</v>
      </c>
    </row>
    <row r="199" spans="21:22" ht="12.6" thickBot="1">
      <c r="U199" s="17" t="e">
        <f>IF(Table38[[#This Row],[CODE]]=17, Table38[ [#This Row],[Account Deposit Amount] ]-Table38[ [#This Row],[Account Withdrawl Amount] ], )</f>
        <v>#VALUE!</v>
      </c>
      <c r="V199" s="19" t="e">
        <f>IF(Table37[[#This Row],[CODE]]=18, Table37[ [#This Row],[Account Deposit Amount] ]-Table37[ [#This Row],[Account Withdrawl Amount] ], )</f>
        <v>#VALUE!</v>
      </c>
    </row>
    <row r="200" spans="21:22" ht="12.6" thickBot="1">
      <c r="U200" s="17" t="e">
        <f>IF(Table38[[#This Row],[CODE]]=17, Table38[ [#This Row],[Account Deposit Amount] ]-Table38[ [#This Row],[Account Withdrawl Amount] ], )</f>
        <v>#VALUE!</v>
      </c>
      <c r="V200" s="19" t="e">
        <f>IF(Table37[[#This Row],[CODE]]=18, Table37[ [#This Row],[Account Deposit Amount] ]-Table37[ [#This Row],[Account Withdrawl Amount] ], )</f>
        <v>#VALUE!</v>
      </c>
    </row>
    <row r="201" spans="21:22" ht="12.6" thickBot="1">
      <c r="U201" s="17" t="e">
        <f>IF(Table38[[#This Row],[CODE]]=17, Table38[ [#This Row],[Account Deposit Amount] ]-Table38[ [#This Row],[Account Withdrawl Amount] ], )</f>
        <v>#VALUE!</v>
      </c>
      <c r="V201" s="19" t="e">
        <f>IF(Table37[[#This Row],[CODE]]=18, Table37[ [#This Row],[Account Deposit Amount] ]-Table37[ [#This Row],[Account Withdrawl Amount] ], )</f>
        <v>#VALUE!</v>
      </c>
    </row>
    <row r="202" spans="21:22" ht="12.6" thickBot="1">
      <c r="U202" s="17" t="e">
        <f>IF(Table38[[#This Row],[CODE]]=17, Table38[ [#This Row],[Account Deposit Amount] ]-Table38[ [#This Row],[Account Withdrawl Amount] ], )</f>
        <v>#VALUE!</v>
      </c>
      <c r="V202" s="19" t="e">
        <f>IF(Table37[[#This Row],[CODE]]=18, Table37[ [#This Row],[Account Deposit Amount] ]-Table37[ [#This Row],[Account Withdrawl Amount] ], )</f>
        <v>#VALUE!</v>
      </c>
    </row>
    <row r="203" spans="21:22" ht="12.6" thickBot="1">
      <c r="U203" s="17" t="e">
        <f>IF(Table38[[#This Row],[CODE]]=17, Table38[ [#This Row],[Account Deposit Amount] ]-Table38[ [#This Row],[Account Withdrawl Amount] ], )</f>
        <v>#VALUE!</v>
      </c>
      <c r="V203" s="19" t="e">
        <f>IF(Table37[[#This Row],[CODE]]=18, Table37[ [#This Row],[Account Deposit Amount] ]-Table37[ [#This Row],[Account Withdrawl Amount] ], )</f>
        <v>#VALUE!</v>
      </c>
    </row>
    <row r="204" spans="21:22" ht="12.6" thickBot="1">
      <c r="U204" s="17" t="e">
        <f>IF(Table38[[#This Row],[CODE]]=17, Table38[ [#This Row],[Account Deposit Amount] ]-Table38[ [#This Row],[Account Withdrawl Amount] ], )</f>
        <v>#VALUE!</v>
      </c>
      <c r="V204" s="19" t="e">
        <f>IF(Table37[[#This Row],[CODE]]=18, Table37[ [#This Row],[Account Deposit Amount] ]-Table37[ [#This Row],[Account Withdrawl Amount] ], )</f>
        <v>#VALUE!</v>
      </c>
    </row>
    <row r="205" spans="21:22" ht="12.6" thickBot="1">
      <c r="U205" s="17" t="e">
        <f>IF(Table38[[#This Row],[CODE]]=17, Table38[ [#This Row],[Account Deposit Amount] ]-Table38[ [#This Row],[Account Withdrawl Amount] ], )</f>
        <v>#VALUE!</v>
      </c>
      <c r="V205" s="19" t="e">
        <f>IF(Table37[[#This Row],[CODE]]=18, Table37[ [#This Row],[Account Deposit Amount] ]-Table37[ [#This Row],[Account Withdrawl Amount] ], )</f>
        <v>#VALUE!</v>
      </c>
    </row>
    <row r="206" spans="21:22" ht="12.6" thickBot="1">
      <c r="U206" s="17" t="e">
        <f>IF(Table38[[#This Row],[CODE]]=17, Table38[ [#This Row],[Account Deposit Amount] ]-Table38[ [#This Row],[Account Withdrawl Amount] ], )</f>
        <v>#VALUE!</v>
      </c>
      <c r="V206" s="19" t="e">
        <f>IF(Table37[[#This Row],[CODE]]=18, Table37[ [#This Row],[Account Deposit Amount] ]-Table37[ [#This Row],[Account Withdrawl Amount] ], )</f>
        <v>#VALUE!</v>
      </c>
    </row>
    <row r="207" spans="21:22" ht="12.6" thickBot="1">
      <c r="U207" s="17" t="e">
        <f>IF(Table38[[#This Row],[CODE]]=17, Table38[ [#This Row],[Account Deposit Amount] ]-Table38[ [#This Row],[Account Withdrawl Amount] ], )</f>
        <v>#VALUE!</v>
      </c>
      <c r="V207" s="19" t="e">
        <f>IF(Table37[[#This Row],[CODE]]=18, Table37[ [#This Row],[Account Deposit Amount] ]-Table37[ [#This Row],[Account Withdrawl Amount] ], )</f>
        <v>#VALUE!</v>
      </c>
    </row>
    <row r="208" spans="21:22" ht="12.6" thickBot="1">
      <c r="U208" s="17" t="e">
        <f>IF(Table38[[#This Row],[CODE]]=17, Table38[ [#This Row],[Account Deposit Amount] ]-Table38[ [#This Row],[Account Withdrawl Amount] ], )</f>
        <v>#VALUE!</v>
      </c>
      <c r="V208" s="19" t="e">
        <f>IF(Table37[[#This Row],[CODE]]=18, Table37[ [#This Row],[Account Deposit Amount] ]-Table37[ [#This Row],[Account Withdrawl Amount] ], )</f>
        <v>#VALUE!</v>
      </c>
    </row>
    <row r="209" spans="21:22" ht="12.6" thickBot="1">
      <c r="U209" s="17" t="e">
        <f>IF(Table38[[#This Row],[CODE]]=17, Table38[ [#This Row],[Account Deposit Amount] ]-Table38[ [#This Row],[Account Withdrawl Amount] ], )</f>
        <v>#VALUE!</v>
      </c>
      <c r="V209" s="19" t="e">
        <f>IF(Table37[[#This Row],[CODE]]=18, Table37[ [#This Row],[Account Deposit Amount] ]-Table37[ [#This Row],[Account Withdrawl Amount] ], )</f>
        <v>#VALUE!</v>
      </c>
    </row>
    <row r="210" spans="21:22" ht="12.6" thickBot="1">
      <c r="U210" s="17" t="e">
        <f>IF(Table38[[#This Row],[CODE]]=17, Table38[ [#This Row],[Account Deposit Amount] ]-Table38[ [#This Row],[Account Withdrawl Amount] ], )</f>
        <v>#VALUE!</v>
      </c>
      <c r="V210" s="19" t="e">
        <f>IF(Table37[[#This Row],[CODE]]=18, Table37[ [#This Row],[Account Deposit Amount] ]-Table37[ [#This Row],[Account Withdrawl Amount] ], )</f>
        <v>#VALUE!</v>
      </c>
    </row>
    <row r="211" spans="21:22" ht="12.6" thickBot="1">
      <c r="U211" s="17" t="e">
        <f>IF(Table38[[#This Row],[CODE]]=17, Table38[ [#This Row],[Account Deposit Amount] ]-Table38[ [#This Row],[Account Withdrawl Amount] ], )</f>
        <v>#VALUE!</v>
      </c>
      <c r="V211" s="19" t="e">
        <f>IF(Table37[[#This Row],[CODE]]=18, Table37[ [#This Row],[Account Deposit Amount] ]-Table37[ [#This Row],[Account Withdrawl Amount] ], )</f>
        <v>#VALUE!</v>
      </c>
    </row>
    <row r="212" spans="21:22" ht="12.6" thickBot="1">
      <c r="U212" s="17" t="e">
        <f>IF(Table38[[#This Row],[CODE]]=17, Table38[ [#This Row],[Account Deposit Amount] ]-Table38[ [#This Row],[Account Withdrawl Amount] ], )</f>
        <v>#VALUE!</v>
      </c>
      <c r="V212" s="19" t="e">
        <f>IF(Table37[[#This Row],[CODE]]=18, Table37[ [#This Row],[Account Deposit Amount] ]-Table37[ [#This Row],[Account Withdrawl Amount] ], )</f>
        <v>#VALUE!</v>
      </c>
    </row>
    <row r="213" spans="21:22" ht="12.6" thickBot="1">
      <c r="U213" s="17" t="e">
        <f>IF(Table38[[#This Row],[CODE]]=17, Table38[ [#This Row],[Account Deposit Amount] ]-Table38[ [#This Row],[Account Withdrawl Amount] ], )</f>
        <v>#VALUE!</v>
      </c>
      <c r="V213" s="19" t="e">
        <f>IF(Table37[[#This Row],[CODE]]=18, Table37[ [#This Row],[Account Deposit Amount] ]-Table37[ [#This Row],[Account Withdrawl Amount] ], )</f>
        <v>#VALUE!</v>
      </c>
    </row>
    <row r="214" spans="21:22" ht="12.6" thickBot="1">
      <c r="U214" s="17" t="e">
        <f>IF(Table38[[#This Row],[CODE]]=17, Table38[ [#This Row],[Account Deposit Amount] ]-Table38[ [#This Row],[Account Withdrawl Amount] ], )</f>
        <v>#VALUE!</v>
      </c>
      <c r="V214" s="19" t="e">
        <f>IF(Table37[[#This Row],[CODE]]=18, Table37[ [#This Row],[Account Deposit Amount] ]-Table37[ [#This Row],[Account Withdrawl Amount] ], )</f>
        <v>#VALUE!</v>
      </c>
    </row>
    <row r="215" spans="21:22" ht="12.6" thickBot="1">
      <c r="U215" s="17" t="e">
        <f>IF(Table38[[#This Row],[CODE]]=17, Table38[ [#This Row],[Account Deposit Amount] ]-Table38[ [#This Row],[Account Withdrawl Amount] ], )</f>
        <v>#VALUE!</v>
      </c>
      <c r="V215" s="19" t="e">
        <f>IF(Table37[[#This Row],[CODE]]=18, Table37[ [#This Row],[Account Deposit Amount] ]-Table37[ [#This Row],[Account Withdrawl Amount] ], )</f>
        <v>#VALUE!</v>
      </c>
    </row>
    <row r="216" spans="21:22" ht="12.6" thickBot="1">
      <c r="U216" s="17" t="e">
        <f>IF(Table38[[#This Row],[CODE]]=17, Table38[ [#This Row],[Account Deposit Amount] ]-Table38[ [#This Row],[Account Withdrawl Amount] ], )</f>
        <v>#VALUE!</v>
      </c>
      <c r="V216" s="19" t="e">
        <f>IF(Table37[[#This Row],[CODE]]=18, Table37[ [#This Row],[Account Deposit Amount] ]-Table37[ [#This Row],[Account Withdrawl Amount] ], )</f>
        <v>#VALUE!</v>
      </c>
    </row>
    <row r="217" spans="21:22" ht="12.6" thickBot="1">
      <c r="U217" s="17" t="e">
        <f>IF(Table38[[#This Row],[CODE]]=17, Table38[ [#This Row],[Account Deposit Amount] ]-Table38[ [#This Row],[Account Withdrawl Amount] ], )</f>
        <v>#VALUE!</v>
      </c>
      <c r="V217" s="19" t="e">
        <f>IF(Table37[[#This Row],[CODE]]=18, Table37[ [#This Row],[Account Deposit Amount] ]-Table37[ [#This Row],[Account Withdrawl Amount] ], )</f>
        <v>#VALUE!</v>
      </c>
    </row>
    <row r="218" spans="21:22" ht="12.6" thickBot="1">
      <c r="U218" s="17" t="e">
        <f>IF(Table38[[#This Row],[CODE]]=17, Table38[ [#This Row],[Account Deposit Amount] ]-Table38[ [#This Row],[Account Withdrawl Amount] ], )</f>
        <v>#VALUE!</v>
      </c>
      <c r="V218" s="19" t="e">
        <f>IF(Table37[[#This Row],[CODE]]=18, Table37[ [#This Row],[Account Deposit Amount] ]-Table37[ [#This Row],[Account Withdrawl Amount] ], )</f>
        <v>#VALUE!</v>
      </c>
    </row>
    <row r="219" spans="21:22" ht="12.6" thickBot="1">
      <c r="U219" s="17" t="e">
        <f>IF(Table38[[#This Row],[CODE]]=17, Table38[ [#This Row],[Account Deposit Amount] ]-Table38[ [#This Row],[Account Withdrawl Amount] ], )</f>
        <v>#VALUE!</v>
      </c>
      <c r="V219" s="19" t="e">
        <f>IF(Table37[[#This Row],[CODE]]=18, Table37[ [#This Row],[Account Deposit Amount] ]-Table37[ [#This Row],[Account Withdrawl Amount] ], )</f>
        <v>#VALUE!</v>
      </c>
    </row>
    <row r="220" spans="21:22" ht="12.6" thickBot="1">
      <c r="U220" s="17" t="e">
        <f>IF(Table38[[#This Row],[CODE]]=17, Table38[ [#This Row],[Account Deposit Amount] ]-Table38[ [#This Row],[Account Withdrawl Amount] ], )</f>
        <v>#VALUE!</v>
      </c>
      <c r="V220" s="19" t="e">
        <f>IF(Table37[[#This Row],[CODE]]=18, Table37[ [#This Row],[Account Deposit Amount] ]-Table37[ [#This Row],[Account Withdrawl Amount] ], )</f>
        <v>#VALUE!</v>
      </c>
    </row>
    <row r="221" spans="21:22" ht="12.6" thickBot="1">
      <c r="U221" s="17" t="e">
        <f>IF(Table38[[#This Row],[CODE]]=17, Table38[ [#This Row],[Account Deposit Amount] ]-Table38[ [#This Row],[Account Withdrawl Amount] ], )</f>
        <v>#VALUE!</v>
      </c>
      <c r="V221" s="19" t="e">
        <f>IF(Table37[[#This Row],[CODE]]=18, Table37[ [#This Row],[Account Deposit Amount] ]-Table37[ [#This Row],[Account Withdrawl Amount] ], )</f>
        <v>#VALUE!</v>
      </c>
    </row>
    <row r="222" spans="21:22" ht="12.6" thickBot="1">
      <c r="U222" s="17" t="e">
        <f>IF(Table38[[#This Row],[CODE]]=17, Table38[ [#This Row],[Account Deposit Amount] ]-Table38[ [#This Row],[Account Withdrawl Amount] ], )</f>
        <v>#VALUE!</v>
      </c>
      <c r="V222" s="19" t="e">
        <f>IF(Table37[[#This Row],[CODE]]=18, Table37[ [#This Row],[Account Deposit Amount] ]-Table37[ [#This Row],[Account Withdrawl Amount] ], )</f>
        <v>#VALUE!</v>
      </c>
    </row>
    <row r="223" spans="21:22" ht="12.6" thickBot="1">
      <c r="U223" s="17" t="e">
        <f>IF(Table38[[#This Row],[CODE]]=17, Table38[ [#This Row],[Account Deposit Amount] ]-Table38[ [#This Row],[Account Withdrawl Amount] ], )</f>
        <v>#VALUE!</v>
      </c>
      <c r="V223" s="19" t="e">
        <f>IF(Table37[[#This Row],[CODE]]=18, Table37[ [#This Row],[Account Deposit Amount] ]-Table37[ [#This Row],[Account Withdrawl Amount] ], )</f>
        <v>#VALUE!</v>
      </c>
    </row>
    <row r="224" spans="21:22" ht="12.6" thickBot="1">
      <c r="U224" s="17" t="e">
        <f>IF(Table38[[#This Row],[CODE]]=17, Table38[ [#This Row],[Account Deposit Amount] ]-Table38[ [#This Row],[Account Withdrawl Amount] ], )</f>
        <v>#VALUE!</v>
      </c>
      <c r="V224" s="19" t="e">
        <f>IF(Table37[[#This Row],[CODE]]=18, Table37[ [#This Row],[Account Deposit Amount] ]-Table37[ [#This Row],[Account Withdrawl Amount] ], )</f>
        <v>#VALUE!</v>
      </c>
    </row>
    <row r="225" spans="21:22" ht="12.6" thickBot="1">
      <c r="U225" s="17" t="e">
        <f>IF(Table38[[#This Row],[CODE]]=17, Table38[ [#This Row],[Account Deposit Amount] ]-Table38[ [#This Row],[Account Withdrawl Amount] ], )</f>
        <v>#VALUE!</v>
      </c>
      <c r="V225" s="19" t="e">
        <f>IF(Table37[[#This Row],[CODE]]=18, Table37[ [#This Row],[Account Deposit Amount] ]-Table37[ [#This Row],[Account Withdrawl Amount] ], )</f>
        <v>#VALUE!</v>
      </c>
    </row>
    <row r="226" spans="21:22" ht="12.6" thickBot="1">
      <c r="U226" s="17" t="e">
        <f>IF(Table38[[#This Row],[CODE]]=17, Table38[ [#This Row],[Account Deposit Amount] ]-Table38[ [#This Row],[Account Withdrawl Amount] ], )</f>
        <v>#VALUE!</v>
      </c>
      <c r="V226" s="19" t="e">
        <f>IF(Table37[[#This Row],[CODE]]=18, Table37[ [#This Row],[Account Deposit Amount] ]-Table37[ [#This Row],[Account Withdrawl Amount] ], )</f>
        <v>#VALUE!</v>
      </c>
    </row>
    <row r="227" spans="21:22" ht="12.6" thickBot="1">
      <c r="U227" s="17" t="e">
        <f>IF(Table38[[#This Row],[CODE]]=17, Table38[ [#This Row],[Account Deposit Amount] ]-Table38[ [#This Row],[Account Withdrawl Amount] ], )</f>
        <v>#VALUE!</v>
      </c>
      <c r="V227" s="19" t="e">
        <f>IF(Table37[[#This Row],[CODE]]=18, Table37[ [#This Row],[Account Deposit Amount] ]-Table37[ [#This Row],[Account Withdrawl Amount] ], )</f>
        <v>#VALUE!</v>
      </c>
    </row>
    <row r="228" spans="21:22" ht="12.6" thickBot="1">
      <c r="U228" s="17" t="e">
        <f>IF(Table38[[#This Row],[CODE]]=17, Table38[ [#This Row],[Account Deposit Amount] ]-Table38[ [#This Row],[Account Withdrawl Amount] ], )</f>
        <v>#VALUE!</v>
      </c>
      <c r="V228" s="19" t="e">
        <f>IF(Table37[[#This Row],[CODE]]=18, Table37[ [#This Row],[Account Deposit Amount] ]-Table37[ [#This Row],[Account Withdrawl Amount] ], )</f>
        <v>#VALUE!</v>
      </c>
    </row>
    <row r="229" spans="21:22" ht="12.6" thickBot="1">
      <c r="U229" s="17" t="e">
        <f>IF(Table38[[#This Row],[CODE]]=17, Table38[ [#This Row],[Account Deposit Amount] ]-Table38[ [#This Row],[Account Withdrawl Amount] ], )</f>
        <v>#VALUE!</v>
      </c>
      <c r="V229" s="19" t="e">
        <f>IF(Table37[[#This Row],[CODE]]=18, Table37[ [#This Row],[Account Deposit Amount] ]-Table37[ [#This Row],[Account Withdrawl Amount] ], )</f>
        <v>#VALUE!</v>
      </c>
    </row>
    <row r="230" spans="21:22" ht="12.6" thickBot="1">
      <c r="U230" s="17" t="e">
        <f>IF(Table38[[#This Row],[CODE]]=17, Table38[ [#This Row],[Account Deposit Amount] ]-Table38[ [#This Row],[Account Withdrawl Amount] ], )</f>
        <v>#VALUE!</v>
      </c>
      <c r="V230" s="19" t="e">
        <f>IF(Table37[[#This Row],[CODE]]=18, Table37[ [#This Row],[Account Deposit Amount] ]-Table37[ [#This Row],[Account Withdrawl Amount] ], )</f>
        <v>#VALUE!</v>
      </c>
    </row>
    <row r="231" spans="21:22" ht="12.6" thickBot="1">
      <c r="U231" s="17" t="e">
        <f>IF(Table38[[#This Row],[CODE]]=17, Table38[ [#This Row],[Account Deposit Amount] ]-Table38[ [#This Row],[Account Withdrawl Amount] ], )</f>
        <v>#VALUE!</v>
      </c>
      <c r="V231" s="19" t="e">
        <f>IF(Table37[[#This Row],[CODE]]=18, Table37[ [#This Row],[Account Deposit Amount] ]-Table37[ [#This Row],[Account Withdrawl Amount] ], )</f>
        <v>#VALUE!</v>
      </c>
    </row>
    <row r="232" spans="21:22" ht="12.6" thickBot="1">
      <c r="U232" s="17" t="e">
        <f>IF(Table38[[#This Row],[CODE]]=17, Table38[ [#This Row],[Account Deposit Amount] ]-Table38[ [#This Row],[Account Withdrawl Amount] ], )</f>
        <v>#VALUE!</v>
      </c>
      <c r="V232" s="19" t="e">
        <f>IF(Table37[[#This Row],[CODE]]=18, Table37[ [#This Row],[Account Deposit Amount] ]-Table37[ [#This Row],[Account Withdrawl Amount] ], )</f>
        <v>#VALUE!</v>
      </c>
    </row>
    <row r="233" spans="21:22" ht="12.6" thickBot="1">
      <c r="U233" s="17" t="e">
        <f>IF(Table38[[#This Row],[CODE]]=17, Table38[ [#This Row],[Account Deposit Amount] ]-Table38[ [#This Row],[Account Withdrawl Amount] ], )</f>
        <v>#VALUE!</v>
      </c>
      <c r="V233" s="19" t="e">
        <f>IF(Table37[[#This Row],[CODE]]=18, Table37[ [#This Row],[Account Deposit Amount] ]-Table37[ [#This Row],[Account Withdrawl Amount] ], )</f>
        <v>#VALUE!</v>
      </c>
    </row>
    <row r="234" spans="21:22" ht="12.6" thickBot="1">
      <c r="U234" s="17" t="e">
        <f>IF(Table38[[#This Row],[CODE]]=17, Table38[ [#This Row],[Account Deposit Amount] ]-Table38[ [#This Row],[Account Withdrawl Amount] ], )</f>
        <v>#VALUE!</v>
      </c>
      <c r="V234" s="19" t="e">
        <f>IF(Table37[[#This Row],[CODE]]=18, Table37[ [#This Row],[Account Deposit Amount] ]-Table37[ [#This Row],[Account Withdrawl Amount] ], )</f>
        <v>#VALUE!</v>
      </c>
    </row>
    <row r="235" spans="21:22" ht="12.6" thickBot="1">
      <c r="U235" s="17" t="e">
        <f>IF(Table38[[#This Row],[CODE]]=17, Table38[ [#This Row],[Account Deposit Amount] ]-Table38[ [#This Row],[Account Withdrawl Amount] ], )</f>
        <v>#VALUE!</v>
      </c>
      <c r="V235" s="19" t="e">
        <f>IF(Table37[[#This Row],[CODE]]=18, Table37[ [#This Row],[Account Deposit Amount] ]-Table37[ [#This Row],[Account Withdrawl Amount] ], )</f>
        <v>#VALUE!</v>
      </c>
    </row>
    <row r="236" spans="21:22" ht="12.6" thickBot="1">
      <c r="U236" s="17" t="e">
        <f>IF(Table38[[#This Row],[CODE]]=17, Table38[ [#This Row],[Account Deposit Amount] ]-Table38[ [#This Row],[Account Withdrawl Amount] ], )</f>
        <v>#VALUE!</v>
      </c>
      <c r="V236" s="19" t="e">
        <f>IF(Table37[[#This Row],[CODE]]=18, Table37[ [#This Row],[Account Deposit Amount] ]-Table37[ [#This Row],[Account Withdrawl Amount] ], )</f>
        <v>#VALUE!</v>
      </c>
    </row>
    <row r="237" spans="21:22" ht="12.6" thickBot="1">
      <c r="U237" s="17" t="e">
        <f>IF(Table38[[#This Row],[CODE]]=17, Table38[ [#This Row],[Account Deposit Amount] ]-Table38[ [#This Row],[Account Withdrawl Amount] ], )</f>
        <v>#VALUE!</v>
      </c>
      <c r="V237" s="19" t="e">
        <f>IF(Table37[[#This Row],[CODE]]=18, Table37[ [#This Row],[Account Deposit Amount] ]-Table37[ [#This Row],[Account Withdrawl Amount] ], )</f>
        <v>#VALUE!</v>
      </c>
    </row>
    <row r="238" spans="21:22" ht="12.6" thickBot="1">
      <c r="U238" s="17" t="e">
        <f>IF(Table38[[#This Row],[CODE]]=17, Table38[ [#This Row],[Account Deposit Amount] ]-Table38[ [#This Row],[Account Withdrawl Amount] ], )</f>
        <v>#VALUE!</v>
      </c>
      <c r="V238" s="19" t="e">
        <f>IF(Table37[[#This Row],[CODE]]=18, Table37[ [#This Row],[Account Deposit Amount] ]-Table37[ [#This Row],[Account Withdrawl Amount] ], )</f>
        <v>#VALUE!</v>
      </c>
    </row>
    <row r="239" spans="21:22" ht="12.6" thickBot="1">
      <c r="U239" s="17" t="e">
        <f>IF(Table38[[#This Row],[CODE]]=17, Table38[ [#This Row],[Account Deposit Amount] ]-Table38[ [#This Row],[Account Withdrawl Amount] ], )</f>
        <v>#VALUE!</v>
      </c>
      <c r="V239" s="19" t="e">
        <f>IF(Table37[[#This Row],[CODE]]=18, Table37[ [#This Row],[Account Deposit Amount] ]-Table37[ [#This Row],[Account Withdrawl Amount] ], )</f>
        <v>#VALUE!</v>
      </c>
    </row>
    <row r="240" spans="21:22" ht="12.6" thickBot="1">
      <c r="U240" s="17" t="e">
        <f>IF(Table38[[#This Row],[CODE]]=17, Table38[ [#This Row],[Account Deposit Amount] ]-Table38[ [#This Row],[Account Withdrawl Amount] ], )</f>
        <v>#VALUE!</v>
      </c>
      <c r="V240" s="19" t="e">
        <f>IF(Table37[[#This Row],[CODE]]=18, Table37[ [#This Row],[Account Deposit Amount] ]-Table37[ [#This Row],[Account Withdrawl Amount] ], )</f>
        <v>#VALUE!</v>
      </c>
    </row>
    <row r="241" spans="21:22" ht="12.6" thickBot="1">
      <c r="U241" s="17" t="e">
        <f>IF(Table38[[#This Row],[CODE]]=17, Table38[ [#This Row],[Account Deposit Amount] ]-Table38[ [#This Row],[Account Withdrawl Amount] ], )</f>
        <v>#VALUE!</v>
      </c>
      <c r="V241" s="19" t="e">
        <f>IF(Table37[[#This Row],[CODE]]=18, Table37[ [#This Row],[Account Deposit Amount] ]-Table37[ [#This Row],[Account Withdrawl Amount] ], )</f>
        <v>#VALUE!</v>
      </c>
    </row>
    <row r="242" spans="21:22" ht="12.6" thickBot="1">
      <c r="U242" s="17" t="e">
        <f>IF(Table38[[#This Row],[CODE]]=17, Table38[ [#This Row],[Account Deposit Amount] ]-Table38[ [#This Row],[Account Withdrawl Amount] ], )</f>
        <v>#VALUE!</v>
      </c>
      <c r="V242" s="19" t="e">
        <f>IF(Table37[[#This Row],[CODE]]=18, Table37[ [#This Row],[Account Deposit Amount] ]-Table37[ [#This Row],[Account Withdrawl Amount] ], )</f>
        <v>#VALUE!</v>
      </c>
    </row>
    <row r="243" spans="21:22" ht="12.6" thickBot="1">
      <c r="U243" s="17" t="e">
        <f>IF(Table38[[#This Row],[CODE]]=17, Table38[ [#This Row],[Account Deposit Amount] ]-Table38[ [#This Row],[Account Withdrawl Amount] ], )</f>
        <v>#VALUE!</v>
      </c>
      <c r="V243" s="19" t="e">
        <f>IF(Table37[[#This Row],[CODE]]=18, Table37[ [#This Row],[Account Deposit Amount] ]-Table37[ [#This Row],[Account Withdrawl Amount] ], )</f>
        <v>#VALUE!</v>
      </c>
    </row>
    <row r="244" spans="21:22" ht="12.6" thickBot="1">
      <c r="U244" s="17" t="e">
        <f>IF(Table38[[#This Row],[CODE]]=17, Table38[ [#This Row],[Account Deposit Amount] ]-Table38[ [#This Row],[Account Withdrawl Amount] ], )</f>
        <v>#VALUE!</v>
      </c>
      <c r="V244" s="19" t="e">
        <f>IF(Table37[[#This Row],[CODE]]=18, Table37[ [#This Row],[Account Deposit Amount] ]-Table37[ [#This Row],[Account Withdrawl Amount] ], )</f>
        <v>#VALUE!</v>
      </c>
    </row>
    <row r="245" spans="21:22" ht="12.6" thickBot="1">
      <c r="U245" s="17" t="e">
        <f>IF(Table38[[#This Row],[CODE]]=17, Table38[ [#This Row],[Account Deposit Amount] ]-Table38[ [#This Row],[Account Withdrawl Amount] ], )</f>
        <v>#VALUE!</v>
      </c>
      <c r="V245" s="19" t="e">
        <f>IF(Table37[[#This Row],[CODE]]=18, Table37[ [#This Row],[Account Deposit Amount] ]-Table37[ [#This Row],[Account Withdrawl Amount] ], )</f>
        <v>#VALUE!</v>
      </c>
    </row>
    <row r="246" spans="21:22" ht="12.6" thickBot="1">
      <c r="U246" s="17" t="e">
        <f>IF(Table38[[#This Row],[CODE]]=17, Table38[ [#This Row],[Account Deposit Amount] ]-Table38[ [#This Row],[Account Withdrawl Amount] ], )</f>
        <v>#VALUE!</v>
      </c>
      <c r="V246" s="19" t="e">
        <f>IF(Table37[[#This Row],[CODE]]=18, Table37[ [#This Row],[Account Deposit Amount] ]-Table37[ [#This Row],[Account Withdrawl Amount] ], )</f>
        <v>#VALUE!</v>
      </c>
    </row>
    <row r="247" spans="21:22" ht="12.6" thickBot="1">
      <c r="U247" s="17" t="e">
        <f>IF(Table38[[#This Row],[CODE]]=17, Table38[ [#This Row],[Account Deposit Amount] ]-Table38[ [#This Row],[Account Withdrawl Amount] ], )</f>
        <v>#VALUE!</v>
      </c>
      <c r="V247" s="19" t="e">
        <f>IF(Table37[[#This Row],[CODE]]=18, Table37[ [#This Row],[Account Deposit Amount] ]-Table37[ [#This Row],[Account Withdrawl Amount] ], )</f>
        <v>#VALUE!</v>
      </c>
    </row>
    <row r="248" spans="21:22" ht="12.6" thickBot="1">
      <c r="U248" s="17" t="e">
        <f>IF(Table38[[#This Row],[CODE]]=17, Table38[ [#This Row],[Account Deposit Amount] ]-Table38[ [#This Row],[Account Withdrawl Amount] ], )</f>
        <v>#VALUE!</v>
      </c>
      <c r="V248" s="19" t="e">
        <f>IF(Table37[[#This Row],[CODE]]=18, Table37[ [#This Row],[Account Deposit Amount] ]-Table37[ [#This Row],[Account Withdrawl Amount] ], )</f>
        <v>#VALUE!</v>
      </c>
    </row>
    <row r="249" spans="21:22" ht="12.6" thickBot="1">
      <c r="U249" s="17" t="e">
        <f>IF(Table38[[#This Row],[CODE]]=17, Table38[ [#This Row],[Account Deposit Amount] ]-Table38[ [#This Row],[Account Withdrawl Amount] ], )</f>
        <v>#VALUE!</v>
      </c>
      <c r="V249" s="19" t="e">
        <f>IF(Table37[[#This Row],[CODE]]=18, Table37[ [#This Row],[Account Deposit Amount] ]-Table37[ [#This Row],[Account Withdrawl Amount] ], )</f>
        <v>#VALUE!</v>
      </c>
    </row>
    <row r="250" spans="21:22" ht="12.6" thickBot="1">
      <c r="U250" s="17" t="e">
        <f>IF(Table38[[#This Row],[CODE]]=17, Table38[ [#This Row],[Account Deposit Amount] ]-Table38[ [#This Row],[Account Withdrawl Amount] ], )</f>
        <v>#VALUE!</v>
      </c>
      <c r="V250" s="19" t="e">
        <f>IF(Table37[[#This Row],[CODE]]=18, Table37[ [#This Row],[Account Deposit Amount] ]-Table37[ [#This Row],[Account Withdrawl Amount] ], )</f>
        <v>#VALUE!</v>
      </c>
    </row>
    <row r="251" spans="21:22" ht="12.6" thickBot="1">
      <c r="U251" s="17" t="e">
        <f>IF(Table38[[#This Row],[CODE]]=17, Table38[ [#This Row],[Account Deposit Amount] ]-Table38[ [#This Row],[Account Withdrawl Amount] ], )</f>
        <v>#VALUE!</v>
      </c>
      <c r="V251" s="19" t="e">
        <f>IF(Table37[[#This Row],[CODE]]=18, Table37[ [#This Row],[Account Deposit Amount] ]-Table37[ [#This Row],[Account Withdrawl Amount] ], )</f>
        <v>#VALUE!</v>
      </c>
    </row>
    <row r="252" spans="21:22" ht="12.6" thickBot="1">
      <c r="U252" s="17" t="e">
        <f>IF(Table38[[#This Row],[CODE]]=17, Table38[ [#This Row],[Account Deposit Amount] ]-Table38[ [#This Row],[Account Withdrawl Amount] ], )</f>
        <v>#VALUE!</v>
      </c>
      <c r="V252" s="19" t="e">
        <f>IF(Table37[[#This Row],[CODE]]=18, Table37[ [#This Row],[Account Deposit Amount] ]-Table37[ [#This Row],[Account Withdrawl Amount] ], )</f>
        <v>#VALUE!</v>
      </c>
    </row>
    <row r="253" spans="21:22" ht="12.6" thickBot="1">
      <c r="U253" s="17" t="e">
        <f>IF(Table38[[#This Row],[CODE]]=17, Table38[ [#This Row],[Account Deposit Amount] ]-Table38[ [#This Row],[Account Withdrawl Amount] ], )</f>
        <v>#VALUE!</v>
      </c>
      <c r="V253" s="19" t="e">
        <f>IF(Table37[[#This Row],[CODE]]=18, Table37[ [#This Row],[Account Deposit Amount] ]-Table37[ [#This Row],[Account Withdrawl Amount] ], )</f>
        <v>#VALUE!</v>
      </c>
    </row>
    <row r="254" spans="21:22" ht="12.6" thickBot="1">
      <c r="U254" s="17" t="e">
        <f>IF(Table38[[#This Row],[CODE]]=17, Table38[ [#This Row],[Account Deposit Amount] ]-Table38[ [#This Row],[Account Withdrawl Amount] ], )</f>
        <v>#VALUE!</v>
      </c>
      <c r="V254" s="19" t="e">
        <f>IF(Table37[[#This Row],[CODE]]=18, Table37[ [#This Row],[Account Deposit Amount] ]-Table37[ [#This Row],[Account Withdrawl Amount] ], )</f>
        <v>#VALUE!</v>
      </c>
    </row>
    <row r="255" spans="21:22" ht="12.6" thickBot="1">
      <c r="U255" s="17" t="e">
        <f>IF(Table38[[#This Row],[CODE]]=17, Table38[ [#This Row],[Account Deposit Amount] ]-Table38[ [#This Row],[Account Withdrawl Amount] ], )</f>
        <v>#VALUE!</v>
      </c>
      <c r="V255" s="19" t="e">
        <f>IF(Table37[[#This Row],[CODE]]=18, Table37[ [#This Row],[Account Deposit Amount] ]-Table37[ [#This Row],[Account Withdrawl Amount] ], )</f>
        <v>#VALUE!</v>
      </c>
    </row>
    <row r="256" spans="21:22" ht="12.6" thickBot="1">
      <c r="U256" s="17" t="e">
        <f>IF(Table38[[#This Row],[CODE]]=17, Table38[ [#This Row],[Account Deposit Amount] ]-Table38[ [#This Row],[Account Withdrawl Amount] ], )</f>
        <v>#VALUE!</v>
      </c>
      <c r="V256" s="19" t="e">
        <f>IF(Table37[[#This Row],[CODE]]=18, Table37[ [#This Row],[Account Deposit Amount] ]-Table37[ [#This Row],[Account Withdrawl Amount] ], )</f>
        <v>#VALUE!</v>
      </c>
    </row>
    <row r="257" spans="21:22" ht="12.6" thickBot="1">
      <c r="U257" s="17" t="e">
        <f>IF(Table38[[#This Row],[CODE]]=17, Table38[ [#This Row],[Account Deposit Amount] ]-Table38[ [#This Row],[Account Withdrawl Amount] ], )</f>
        <v>#VALUE!</v>
      </c>
      <c r="V257" s="19" t="e">
        <f>IF(Table37[[#This Row],[CODE]]=18, Table37[ [#This Row],[Account Deposit Amount] ]-Table37[ [#This Row],[Account Withdrawl Amount] ], )</f>
        <v>#VALUE!</v>
      </c>
    </row>
    <row r="258" spans="21:22" ht="12.6" thickBot="1">
      <c r="U258" s="17" t="e">
        <f>IF(Table38[[#This Row],[CODE]]=17, Table38[ [#This Row],[Account Deposit Amount] ]-Table38[ [#This Row],[Account Withdrawl Amount] ], )</f>
        <v>#VALUE!</v>
      </c>
      <c r="V258" s="19" t="e">
        <f>IF(Table37[[#This Row],[CODE]]=18, Table37[ [#This Row],[Account Deposit Amount] ]-Table37[ [#This Row],[Account Withdrawl Amount] ], )</f>
        <v>#VALUE!</v>
      </c>
    </row>
    <row r="259" spans="21:22" ht="12.6" thickBot="1">
      <c r="U259" s="17" t="e">
        <f>IF(Table38[[#This Row],[CODE]]=17, Table38[ [#This Row],[Account Deposit Amount] ]-Table38[ [#This Row],[Account Withdrawl Amount] ], )</f>
        <v>#VALUE!</v>
      </c>
      <c r="V259" s="19" t="e">
        <f>IF(Table37[[#This Row],[CODE]]=18, Table37[ [#This Row],[Account Deposit Amount] ]-Table37[ [#This Row],[Account Withdrawl Amount] ], )</f>
        <v>#VALUE!</v>
      </c>
    </row>
    <row r="260" spans="21:22" ht="12.6" thickBot="1">
      <c r="U260" s="17" t="e">
        <f>IF(Table38[[#This Row],[CODE]]=17, Table38[ [#This Row],[Account Deposit Amount] ]-Table38[ [#This Row],[Account Withdrawl Amount] ], )</f>
        <v>#VALUE!</v>
      </c>
      <c r="V260" s="19" t="e">
        <f>IF(Table37[[#This Row],[CODE]]=18, Table37[ [#This Row],[Account Deposit Amount] ]-Table37[ [#This Row],[Account Withdrawl Amount] ], )</f>
        <v>#VALUE!</v>
      </c>
    </row>
    <row r="261" spans="21:22" ht="12.6" thickBot="1">
      <c r="U261" s="17" t="e">
        <f>IF(Table38[[#This Row],[CODE]]=17, Table38[ [#This Row],[Account Deposit Amount] ]-Table38[ [#This Row],[Account Withdrawl Amount] ], )</f>
        <v>#VALUE!</v>
      </c>
      <c r="V261" s="19" t="e">
        <f>IF(Table37[[#This Row],[CODE]]=18, Table37[ [#This Row],[Account Deposit Amount] ]-Table37[ [#This Row],[Account Withdrawl Amount] ], )</f>
        <v>#VALUE!</v>
      </c>
    </row>
    <row r="262" spans="21:22" ht="12.6" thickBot="1">
      <c r="U262" s="17" t="e">
        <f>IF(Table38[[#This Row],[CODE]]=17, Table38[ [#This Row],[Account Deposit Amount] ]-Table38[ [#This Row],[Account Withdrawl Amount] ], )</f>
        <v>#VALUE!</v>
      </c>
      <c r="V262" s="19" t="e">
        <f>IF(Table37[[#This Row],[CODE]]=18, Table37[ [#This Row],[Account Deposit Amount] ]-Table37[ [#This Row],[Account Withdrawl Amount] ], )</f>
        <v>#VALUE!</v>
      </c>
    </row>
    <row r="263" spans="21:22" ht="12.6" thickBot="1">
      <c r="U263" s="17" t="e">
        <f>IF(Table38[[#This Row],[CODE]]=17, Table38[ [#This Row],[Account Deposit Amount] ]-Table38[ [#This Row],[Account Withdrawl Amount] ], )</f>
        <v>#VALUE!</v>
      </c>
      <c r="V263" s="19" t="e">
        <f>IF(Table37[[#This Row],[CODE]]=18, Table37[ [#This Row],[Account Deposit Amount] ]-Table37[ [#This Row],[Account Withdrawl Amount] ], )</f>
        <v>#VALUE!</v>
      </c>
    </row>
    <row r="264" spans="21:22" ht="12.6" thickBot="1">
      <c r="U264" s="17" t="e">
        <f>IF(Table38[[#This Row],[CODE]]=17, Table38[ [#This Row],[Account Deposit Amount] ]-Table38[ [#This Row],[Account Withdrawl Amount] ], )</f>
        <v>#VALUE!</v>
      </c>
      <c r="V264" s="19" t="e">
        <f>IF(Table37[[#This Row],[CODE]]=18, Table37[ [#This Row],[Account Deposit Amount] ]-Table37[ [#This Row],[Account Withdrawl Amount] ], )</f>
        <v>#VALUE!</v>
      </c>
    </row>
    <row r="265" spans="21:22" ht="12.6" thickBot="1">
      <c r="U265" s="17" t="e">
        <f>IF(Table38[[#This Row],[CODE]]=17, Table38[ [#This Row],[Account Deposit Amount] ]-Table38[ [#This Row],[Account Withdrawl Amount] ], )</f>
        <v>#VALUE!</v>
      </c>
      <c r="V265" s="19" t="e">
        <f>IF(Table37[[#This Row],[CODE]]=18, Table37[ [#This Row],[Account Deposit Amount] ]-Table37[ [#This Row],[Account Withdrawl Amount] ], )</f>
        <v>#VALUE!</v>
      </c>
    </row>
    <row r="266" spans="21:22" ht="12.6" thickBot="1">
      <c r="U266" s="17" t="e">
        <f>IF(Table38[[#This Row],[CODE]]=17, Table38[ [#This Row],[Account Deposit Amount] ]-Table38[ [#This Row],[Account Withdrawl Amount] ], )</f>
        <v>#VALUE!</v>
      </c>
      <c r="V266" s="19" t="e">
        <f>IF(Table37[[#This Row],[CODE]]=18, Table37[ [#This Row],[Account Deposit Amount] ]-Table37[ [#This Row],[Account Withdrawl Amount] ], )</f>
        <v>#VALUE!</v>
      </c>
    </row>
    <row r="267" spans="21:22" ht="12.6" thickBot="1">
      <c r="U267" s="17" t="e">
        <f>IF(Table38[[#This Row],[CODE]]=17, Table38[ [#This Row],[Account Deposit Amount] ]-Table38[ [#This Row],[Account Withdrawl Amount] ], )</f>
        <v>#VALUE!</v>
      </c>
      <c r="V267" s="19" t="e">
        <f>IF(Table37[[#This Row],[CODE]]=18, Table37[ [#This Row],[Account Deposit Amount] ]-Table37[ [#This Row],[Account Withdrawl Amount] ], )</f>
        <v>#VALUE!</v>
      </c>
    </row>
    <row r="268" spans="21:22" ht="12.6" thickBot="1">
      <c r="U268" s="17" t="e">
        <f>IF(Table38[[#This Row],[CODE]]=17, Table38[ [#This Row],[Account Deposit Amount] ]-Table38[ [#This Row],[Account Withdrawl Amount] ], )</f>
        <v>#VALUE!</v>
      </c>
      <c r="V268" s="19" t="e">
        <f>IF(Table37[[#This Row],[CODE]]=18, Table37[ [#This Row],[Account Deposit Amount] ]-Table37[ [#This Row],[Account Withdrawl Amount] ], )</f>
        <v>#VALUE!</v>
      </c>
    </row>
    <row r="269" spans="21:22" ht="12.6" thickBot="1">
      <c r="U269" s="17" t="e">
        <f>IF(Table38[[#This Row],[CODE]]=17, Table38[ [#This Row],[Account Deposit Amount] ]-Table38[ [#This Row],[Account Withdrawl Amount] ], )</f>
        <v>#VALUE!</v>
      </c>
      <c r="V269" s="19" t="e">
        <f>IF(Table37[[#This Row],[CODE]]=18, Table37[ [#This Row],[Account Deposit Amount] ]-Table37[ [#This Row],[Account Withdrawl Amount] ], )</f>
        <v>#VALUE!</v>
      </c>
    </row>
    <row r="270" spans="21:22" ht="12.6" thickBot="1">
      <c r="U270" s="17">
        <v>235</v>
      </c>
      <c r="V270" s="19" t="e">
        <f>IF(Table37[[#This Row],[CODE]]=18, Table37[ [#This Row],[Account Deposit Amount] ]-Table37[ [#This Row],[Account Withdrawl Amount] ], )</f>
        <v>#VALUE!</v>
      </c>
    </row>
    <row r="271" spans="21:22" ht="12.6" thickBot="1">
      <c r="U271" s="17" t="e">
        <f>IF(Table38[[#This Row],[CODE]]=17, Table38[ [#This Row],[Account Deposit Amount] ]-Table38[ [#This Row],[Account Withdrawl Amount] ], )</f>
        <v>#VALUE!</v>
      </c>
      <c r="V271" s="19" t="e">
        <f>IF(Table37[[#This Row],[CODE]]=18, Table37[ [#This Row],[Account Deposit Amount] ]-Table37[ [#This Row],[Account Withdrawl Amount] ], )</f>
        <v>#VALUE!</v>
      </c>
    </row>
    <row r="272" spans="21:22" ht="12.6" thickBot="1">
      <c r="U272" s="17" t="e">
        <f>IF(Table38[[#This Row],[CODE]]=17, Table38[ [#This Row],[Account Deposit Amount] ]-Table38[ [#This Row],[Account Withdrawl Amount] ], )</f>
        <v>#VALUE!</v>
      </c>
      <c r="V272" s="19" t="e">
        <f>IF(Table37[[#This Row],[CODE]]=18, Table37[ [#This Row],[Account Deposit Amount] ]-Table37[ [#This Row],[Account Withdrawl Amount] ], )</f>
        <v>#VALUE!</v>
      </c>
    </row>
    <row r="273" spans="21:22" ht="12.6" thickBot="1">
      <c r="U273" s="17" t="e">
        <f>IF(Table38[[#This Row],[CODE]]=17, Table38[ [#This Row],[Account Deposit Amount] ]-Table38[ [#This Row],[Account Withdrawl Amount] ], )</f>
        <v>#VALUE!</v>
      </c>
      <c r="V273" s="19" t="e">
        <f>IF(Table37[[#This Row],[CODE]]=18, Table37[ [#This Row],[Account Deposit Amount] ]-Table37[ [#This Row],[Account Withdrawl Amount] ], )</f>
        <v>#VALUE!</v>
      </c>
    </row>
  </sheetData>
  <sheetProtection formatCells="0" formatColumns="0" formatRows="0" insertColumns="0" insertRows="0" selectLockedCells="1" sort="0" autoFilter="0"/>
  <mergeCells count="4">
    <mergeCell ref="I1:L1"/>
    <mergeCell ref="M1:N1"/>
    <mergeCell ref="O1:T1"/>
    <mergeCell ref="U1:V1"/>
  </mergeCells>
  <pageMargins left="0.7" right="0.7" top="0.75" bottom="0.75" header="0.3" footer="0.3"/>
  <pageSetup orientation="portrait" r:id="rId1"/>
  <legacy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8394-B649-4F64-975D-F124DE2526C7}">
  <dimension ref="A1:AA80"/>
  <sheetViews>
    <sheetView topLeftCell="E1" zoomScale="70" zoomScaleNormal="70" workbookViewId="0">
      <selection activeCell="J4" sqref="J4"/>
    </sheetView>
  </sheetViews>
  <sheetFormatPr defaultColWidth="9.109375" defaultRowHeight="12"/>
  <cols>
    <col min="1" max="1" width="9.109375" style="21"/>
    <col min="2" max="2" width="10.109375" style="27" bestFit="1" customWidth="1"/>
    <col min="3" max="4" width="23.44140625" style="21" customWidth="1"/>
    <col min="5" max="6" width="10.88671875" style="28" customWidth="1"/>
    <col min="7" max="7" width="13.5546875" style="4" customWidth="1"/>
    <col min="8" max="8" width="9.109375" style="21"/>
    <col min="9" max="9" width="9.109375" style="38"/>
    <col min="10" max="11" width="9.109375" style="39"/>
    <col min="12" max="21" width="9.109375" style="38"/>
    <col min="22" max="22" width="9.109375" style="4"/>
    <col min="23" max="16384" width="9.109375" style="21"/>
  </cols>
  <sheetData>
    <row r="1" spans="1:27" s="4" customFormat="1" ht="15.75" customHeight="1" thickBot="1">
      <c r="A1" s="16"/>
      <c r="B1" s="2"/>
      <c r="C1" s="1"/>
      <c r="D1" s="1"/>
      <c r="E1" s="29"/>
      <c r="F1" s="30"/>
      <c r="G1" s="3" t="s">
        <v>180</v>
      </c>
      <c r="H1" s="3"/>
      <c r="I1" s="338" t="s">
        <v>49</v>
      </c>
      <c r="J1" s="339"/>
      <c r="K1" s="339"/>
      <c r="L1" s="339"/>
      <c r="M1" s="340">
        <f>SUM(I2:N2)</f>
        <v>371.64</v>
      </c>
      <c r="N1" s="340"/>
      <c r="O1" s="344" t="s">
        <v>50</v>
      </c>
      <c r="P1" s="344"/>
      <c r="Q1" s="344"/>
      <c r="R1" s="344"/>
      <c r="S1" s="344"/>
      <c r="T1" s="344"/>
      <c r="U1" s="342">
        <f>SUM(O2:V2)</f>
        <v>-2582.02</v>
      </c>
      <c r="V1" s="343"/>
      <c r="W1" s="1"/>
      <c r="X1" s="1"/>
      <c r="Y1" s="1"/>
      <c r="Z1" s="1"/>
      <c r="AA1" s="1"/>
    </row>
    <row r="2" spans="1:27" s="4" customFormat="1" ht="12.6" thickBot="1">
      <c r="A2" s="1"/>
      <c r="B2" s="2"/>
      <c r="C2" s="1"/>
      <c r="D2" s="1" t="s">
        <v>51</v>
      </c>
      <c r="E2" s="5">
        <f>SUM(E4:E980)</f>
        <v>383.57</v>
      </c>
      <c r="F2" s="5">
        <f>SUM(F4:F980)</f>
        <v>2593.9500000000003</v>
      </c>
      <c r="G2" s="6">
        <f>G4+E2-F2</f>
        <v>21774.26</v>
      </c>
      <c r="H2" s="81"/>
      <c r="I2" s="7">
        <f t="shared" ref="I2:T2" si="0">SUM(I4:I980)</f>
        <v>0</v>
      </c>
      <c r="J2" s="8">
        <f t="shared" si="0"/>
        <v>0</v>
      </c>
      <c r="K2" s="8">
        <f t="shared" si="0"/>
        <v>0</v>
      </c>
      <c r="L2" s="7">
        <f t="shared" si="0"/>
        <v>0</v>
      </c>
      <c r="M2" s="7">
        <f t="shared" si="0"/>
        <v>0</v>
      </c>
      <c r="N2" s="7">
        <f t="shared" si="0"/>
        <v>371.64</v>
      </c>
      <c r="O2" s="9">
        <f t="shared" si="0"/>
        <v>-150</v>
      </c>
      <c r="P2" s="9">
        <f t="shared" si="0"/>
        <v>-109.9</v>
      </c>
      <c r="Q2" s="9">
        <f t="shared" si="0"/>
        <v>-1737.59</v>
      </c>
      <c r="R2" s="9">
        <f t="shared" si="0"/>
        <v>-155.38999999999999</v>
      </c>
      <c r="S2" s="9">
        <f t="shared" si="0"/>
        <v>-291.24</v>
      </c>
      <c r="T2" s="9">
        <f t="shared" si="0"/>
        <v>-137.9</v>
      </c>
      <c r="U2" s="9">
        <f>SUM(U4:U813)</f>
        <v>0</v>
      </c>
      <c r="V2" s="9">
        <f>SUM(V4:V813)</f>
        <v>0</v>
      </c>
      <c r="W2" s="1"/>
      <c r="X2" s="1"/>
      <c r="Y2" s="1"/>
      <c r="Z2" s="1"/>
      <c r="AA2" s="1"/>
    </row>
    <row r="3" spans="1:27" s="15" customFormat="1" ht="52.2" thickBot="1">
      <c r="A3" s="10" t="s">
        <v>181</v>
      </c>
      <c r="B3" s="11" t="s">
        <v>53</v>
      </c>
      <c r="C3" s="12" t="s">
        <v>54</v>
      </c>
      <c r="D3" s="10" t="s">
        <v>182</v>
      </c>
      <c r="E3" s="31" t="s">
        <v>56</v>
      </c>
      <c r="F3" s="31" t="s">
        <v>57</v>
      </c>
      <c r="G3" s="13" t="s">
        <v>183</v>
      </c>
      <c r="H3" s="154" t="s">
        <v>184</v>
      </c>
      <c r="I3" s="32" t="s">
        <v>233</v>
      </c>
      <c r="J3" s="33" t="s">
        <v>234</v>
      </c>
      <c r="K3" s="33" t="s">
        <v>187</v>
      </c>
      <c r="L3" s="32" t="s">
        <v>235</v>
      </c>
      <c r="M3" s="32" t="s">
        <v>189</v>
      </c>
      <c r="N3" s="32" t="s">
        <v>190</v>
      </c>
      <c r="O3" s="32" t="s">
        <v>191</v>
      </c>
      <c r="P3" s="32" t="s">
        <v>192</v>
      </c>
      <c r="Q3" s="32" t="s">
        <v>236</v>
      </c>
      <c r="R3" s="32" t="s">
        <v>194</v>
      </c>
      <c r="S3" s="34" t="s">
        <v>195</v>
      </c>
      <c r="T3" s="34" t="s">
        <v>196</v>
      </c>
      <c r="U3" s="35" t="s">
        <v>197</v>
      </c>
      <c r="V3" s="36" t="s">
        <v>198</v>
      </c>
      <c r="W3" s="14"/>
      <c r="X3" s="14"/>
      <c r="Y3" s="14"/>
      <c r="Z3" s="14"/>
      <c r="AA3" s="14"/>
    </row>
    <row r="4" spans="1:27" s="23" customFormat="1" ht="12.6" thickBot="1">
      <c r="A4" s="101"/>
      <c r="B4" s="102">
        <v>44682</v>
      </c>
      <c r="C4" s="103" t="s">
        <v>199</v>
      </c>
      <c r="D4" s="101"/>
      <c r="E4" s="104"/>
      <c r="F4" s="105"/>
      <c r="G4" s="44">
        <v>23984.639999999999</v>
      </c>
      <c r="H4" s="106"/>
      <c r="I4" s="17">
        <f>IF(Table37[[#This Row],[CODE]]=1, Table37[ [#This Row],[Account Deposit Amount] ]-Table37[ [#This Row],[Account Withdrawl Amount] ], )</f>
        <v>0</v>
      </c>
      <c r="J4" s="18">
        <f>IF(Table37[[#This Row],[CODE]]=2, Table37[ [#This Row],[Account Deposit Amount] ]-Table37[ [#This Row],[Account Withdrawl Amount] ], )</f>
        <v>0</v>
      </c>
      <c r="K4" s="18">
        <f>IF(Table37[[#This Row],[CODE]]=3, Table37[ [#This Row],[Account Deposit Amount] ]-Table37[ [#This Row],[Account Withdrawl Amount] ], )</f>
        <v>0</v>
      </c>
      <c r="L4" s="18">
        <f>IF(Table37[[#This Row],[CODE]]=4, Table37[ [#This Row],[Account Deposit Amount] ]-Table37[ [#This Row],[Account Withdrawl Amount] ], )</f>
        <v>0</v>
      </c>
      <c r="M4" s="18">
        <f>IF(Table37[[#This Row],[CODE]]=5, Table37[ [#This Row],[Account Deposit Amount] ]-Table37[ [#This Row],[Account Withdrawl Amount] ], )</f>
        <v>0</v>
      </c>
      <c r="N4" s="18">
        <f>IF(Table37[[#This Row],[CODE]]=6, Table37[ [#This Row],[Account Deposit Amount] ]-Table37[ [#This Row],[Account Withdrawl Amount] ], )</f>
        <v>0</v>
      </c>
      <c r="O4" s="18">
        <f>IF(Table37[[#This Row],[CODE]]=11, Table37[ [#This Row],[Account Deposit Amount] ]-Table37[ [#This Row],[Account Withdrawl Amount] ], )</f>
        <v>0</v>
      </c>
      <c r="P4" s="18">
        <f>IF(Table37[[#This Row],[CODE]]=12, Table37[ [#This Row],[Account Deposit Amount] ]-Table37[ [#This Row],[Account Withdrawl Amount] ], )</f>
        <v>0</v>
      </c>
      <c r="Q4" s="18">
        <f>IF(Table37[[#This Row],[CODE]]=13, Table37[ [#This Row],[Account Deposit Amount] ]-Table37[ [#This Row],[Account Withdrawl Amount] ], )</f>
        <v>0</v>
      </c>
      <c r="R4" s="18">
        <f>IF(Table37[[#This Row],[CODE]]=14, Table37[ [#This Row],[Account Deposit Amount] ]-Table37[ [#This Row],[Account Withdrawl Amount] ], )</f>
        <v>0</v>
      </c>
      <c r="S4" s="18">
        <f>IF(Table37[[#This Row],[CODE]]=15, Table37[ [#This Row],[Account Deposit Amount] ]-Table37[ [#This Row],[Account Withdrawl Amount] ], )</f>
        <v>0</v>
      </c>
      <c r="T4" s="18">
        <f>IF(Table37[[#This Row],[CODE]]=16, Table37[ [#This Row],[Account Deposit Amount] ]-Table37[ [#This Row],[Account Withdrawl Amount] ], )</f>
        <v>0</v>
      </c>
      <c r="U4" s="17">
        <f>IF(Table37[[#This Row],[CODE]]=17, Table37[ [#This Row],[Account Deposit Amount] ]-Table37[ [#This Row],[Account Withdrawl Amount] ], )</f>
        <v>0</v>
      </c>
      <c r="V4" s="19">
        <f>IF(Table37[[#This Row],[CODE]]=18, Table37[ [#This Row],[Account Deposit Amount] ]-Table37[ [#This Row],[Account Withdrawl Amount] ], )</f>
        <v>0</v>
      </c>
      <c r="W4" s="22"/>
      <c r="X4" s="22"/>
      <c r="Y4" s="22"/>
      <c r="Z4" s="22"/>
      <c r="AA4" s="22"/>
    </row>
    <row r="5" spans="1:27" ht="15" thickBot="1">
      <c r="A5" t="s">
        <v>241</v>
      </c>
      <c r="B5" s="107">
        <v>44683</v>
      </c>
      <c r="C5" s="108" t="s">
        <v>242</v>
      </c>
      <c r="D5" s="108" t="s">
        <v>280</v>
      </c>
      <c r="E5"/>
      <c r="F5">
        <v>45.23</v>
      </c>
      <c r="G5" s="82">
        <f>G4+E5-F5</f>
        <v>23939.41</v>
      </c>
      <c r="H5" s="108">
        <v>13</v>
      </c>
      <c r="I5" s="17">
        <f>IF(Table37[[#This Row],[CODE]]=1, Table37[ [#This Row],[Account Deposit Amount] ]-Table37[ [#This Row],[Account Withdrawl Amount] ], )</f>
        <v>0</v>
      </c>
      <c r="J5" s="18">
        <f>IF(Table37[[#This Row],[CODE]]=2, Table37[ [#This Row],[Account Deposit Amount] ]-Table37[ [#This Row],[Account Withdrawl Amount] ], )</f>
        <v>0</v>
      </c>
      <c r="K5" s="18">
        <f>IF(Table37[[#This Row],[CODE]]=3, Table37[ [#This Row],[Account Deposit Amount] ]-Table37[ [#This Row],[Account Withdrawl Amount] ], )</f>
        <v>0</v>
      </c>
      <c r="L5" s="18">
        <f>IF(Table37[[#This Row],[CODE]]=4, Table37[ [#This Row],[Account Deposit Amount] ]-Table37[ [#This Row],[Account Withdrawl Amount] ], )</f>
        <v>0</v>
      </c>
      <c r="M5" s="18">
        <f>IF(Table37[[#This Row],[CODE]]=5, Table37[ [#This Row],[Account Deposit Amount] ]-Table37[ [#This Row],[Account Withdrawl Amount] ], )</f>
        <v>0</v>
      </c>
      <c r="N5" s="18">
        <f>IF(Table37[[#This Row],[CODE]]=6, Table37[ [#This Row],[Account Deposit Amount] ]-Table37[ [#This Row],[Account Withdrawl Amount] ], )</f>
        <v>0</v>
      </c>
      <c r="O5" s="18">
        <f>IF(Table37[[#This Row],[CODE]]=11, Table37[ [#This Row],[Account Deposit Amount] ]-Table37[ [#This Row],[Account Withdrawl Amount] ], )</f>
        <v>0</v>
      </c>
      <c r="P5" s="18">
        <f>IF(Table37[[#This Row],[CODE]]=12, Table37[ [#This Row],[Account Deposit Amount] ]-Table37[ [#This Row],[Account Withdrawl Amount] ], )</f>
        <v>0</v>
      </c>
      <c r="Q5" s="18">
        <f>IF(Table37[[#This Row],[CODE]]=13, Table37[ [#This Row],[Account Deposit Amount] ]-Table37[ [#This Row],[Account Withdrawl Amount] ], )</f>
        <v>-45.23</v>
      </c>
      <c r="R5" s="18">
        <f>IF(Table37[[#This Row],[CODE]]=14, Table37[ [#This Row],[Account Deposit Amount] ]-Table37[ [#This Row],[Account Withdrawl Amount] ], )</f>
        <v>0</v>
      </c>
      <c r="S5" s="18">
        <f>IF(Table37[[#This Row],[CODE]]=15, Table37[ [#This Row],[Account Deposit Amount] ]-Table37[ [#This Row],[Account Withdrawl Amount] ], )</f>
        <v>0</v>
      </c>
      <c r="T5" s="18">
        <f>IF(Table37[[#This Row],[CODE]]=16, Table37[ [#This Row],[Account Deposit Amount] ]-Table37[ [#This Row],[Account Withdrawl Amount] ], )</f>
        <v>0</v>
      </c>
      <c r="U5" s="17">
        <f>IF(Table37[[#This Row],[CODE]]=17, Table37[ [#This Row],[Account Deposit Amount] ]-Table37[ [#This Row],[Account Withdrawl Amount] ], )</f>
        <v>0</v>
      </c>
      <c r="V5" s="19">
        <f>IF(Table37[[#This Row],[CODE]]=18, Table37[ [#This Row],[Account Deposit Amount] ]-Table37[ [#This Row],[Account Withdrawl Amount] ], )</f>
        <v>0</v>
      </c>
      <c r="W5" s="20"/>
      <c r="X5" s="20"/>
      <c r="Y5" s="20"/>
      <c r="Z5" s="20"/>
      <c r="AA5" s="20"/>
    </row>
    <row r="6" spans="1:27" ht="15" thickBot="1">
      <c r="A6" t="s">
        <v>238</v>
      </c>
      <c r="B6" s="107">
        <v>44684</v>
      </c>
      <c r="C6" s="108" t="s">
        <v>281</v>
      </c>
      <c r="D6" s="108" t="s">
        <v>282</v>
      </c>
      <c r="E6"/>
      <c r="F6">
        <v>150</v>
      </c>
      <c r="G6" s="82">
        <f t="shared" ref="G6:G50" si="1">G5+E6-F6</f>
        <v>23789.41</v>
      </c>
      <c r="H6" s="108">
        <v>11</v>
      </c>
      <c r="I6" s="17">
        <f>IF(Table37[[#This Row],[CODE]]=1, Table37[ [#This Row],[Account Deposit Amount] ]-Table37[ [#This Row],[Account Withdrawl Amount] ], )</f>
        <v>0</v>
      </c>
      <c r="J6" s="18">
        <f>IF(Table37[[#This Row],[CODE]]=2, Table37[ [#This Row],[Account Deposit Amount] ]-Table37[ [#This Row],[Account Withdrawl Amount] ], )</f>
        <v>0</v>
      </c>
      <c r="K6" s="18">
        <f>IF(Table37[[#This Row],[CODE]]=3, Table37[ [#This Row],[Account Deposit Amount] ]-Table37[ [#This Row],[Account Withdrawl Amount] ], )</f>
        <v>0</v>
      </c>
      <c r="L6" s="18">
        <f>IF(Table37[[#This Row],[CODE]]=4, Table37[ [#This Row],[Account Deposit Amount] ]-Table37[ [#This Row],[Account Withdrawl Amount] ], )</f>
        <v>0</v>
      </c>
      <c r="M6" s="18">
        <f>IF(Table37[[#This Row],[CODE]]=5, Table37[ [#This Row],[Account Deposit Amount] ]-Table37[ [#This Row],[Account Withdrawl Amount] ], )</f>
        <v>0</v>
      </c>
      <c r="N6" s="18">
        <f>IF(Table37[[#This Row],[CODE]]=6, Table37[ [#This Row],[Account Deposit Amount] ]-Table37[ [#This Row],[Account Withdrawl Amount] ], )</f>
        <v>0</v>
      </c>
      <c r="O6" s="18">
        <f>IF(Table37[[#This Row],[CODE]]=11, Table37[ [#This Row],[Account Deposit Amount] ]-Table37[ [#This Row],[Account Withdrawl Amount] ], )</f>
        <v>-150</v>
      </c>
      <c r="P6" s="18">
        <f>IF(Table37[[#This Row],[CODE]]=12, Table37[ [#This Row],[Account Deposit Amount] ]-Table37[ [#This Row],[Account Withdrawl Amount] ], )</f>
        <v>0</v>
      </c>
      <c r="Q6" s="18">
        <f>IF(Table37[[#This Row],[CODE]]=13, Table37[ [#This Row],[Account Deposit Amount] ]-Table37[ [#This Row],[Account Withdrawl Amount] ], )</f>
        <v>0</v>
      </c>
      <c r="R6" s="18">
        <f>IF(Table37[[#This Row],[CODE]]=14, Table37[ [#This Row],[Account Deposit Amount] ]-Table37[ [#This Row],[Account Withdrawl Amount] ], )</f>
        <v>0</v>
      </c>
      <c r="S6" s="18">
        <f>IF(Table37[[#This Row],[CODE]]=15, Table37[ [#This Row],[Account Deposit Amount] ]-Table37[ [#This Row],[Account Withdrawl Amount] ], )</f>
        <v>0</v>
      </c>
      <c r="T6" s="18">
        <f>IF(Table37[[#This Row],[CODE]]=16, Table37[ [#This Row],[Account Deposit Amount] ]-Table37[ [#This Row],[Account Withdrawl Amount] ], )</f>
        <v>0</v>
      </c>
      <c r="U6" s="17">
        <f>IF(Table37[[#This Row],[CODE]]=17, Table37[ [#This Row],[Account Deposit Amount] ]-Table37[ [#This Row],[Account Withdrawl Amount] ], )</f>
        <v>0</v>
      </c>
      <c r="V6" s="19">
        <f>IF(Table37[[#This Row],[CODE]]=18, Table37[ [#This Row],[Account Deposit Amount] ]-Table37[ [#This Row],[Account Withdrawl Amount] ], )</f>
        <v>0</v>
      </c>
    </row>
    <row r="7" spans="1:27" ht="15" thickBot="1">
      <c r="A7" t="s">
        <v>241</v>
      </c>
      <c r="B7" s="107">
        <v>44684</v>
      </c>
      <c r="C7" s="108" t="s">
        <v>201</v>
      </c>
      <c r="D7" s="108" t="s">
        <v>283</v>
      </c>
      <c r="E7"/>
      <c r="F7">
        <v>15</v>
      </c>
      <c r="G7" s="82">
        <f t="shared" si="1"/>
        <v>23774.41</v>
      </c>
      <c r="H7" s="108">
        <v>13</v>
      </c>
      <c r="I7" s="17">
        <f>IF(Table37[[#This Row],[CODE]]=1, Table37[ [#This Row],[Account Deposit Amount] ]-Table37[ [#This Row],[Account Withdrawl Amount] ], )</f>
        <v>0</v>
      </c>
      <c r="J7" s="18">
        <f>IF(Table37[[#This Row],[CODE]]=2, Table37[ [#This Row],[Account Deposit Amount] ]-Table37[ [#This Row],[Account Withdrawl Amount] ], )</f>
        <v>0</v>
      </c>
      <c r="K7" s="18">
        <f>IF(Table37[[#This Row],[CODE]]=3, Table37[ [#This Row],[Account Deposit Amount] ]-Table37[ [#This Row],[Account Withdrawl Amount] ], )</f>
        <v>0</v>
      </c>
      <c r="L7" s="18">
        <f>IF(Table37[[#This Row],[CODE]]=4, Table37[ [#This Row],[Account Deposit Amount] ]-Table37[ [#This Row],[Account Withdrawl Amount] ], )</f>
        <v>0</v>
      </c>
      <c r="M7" s="18">
        <f>IF(Table37[[#This Row],[CODE]]=5, Table37[ [#This Row],[Account Deposit Amount] ]-Table37[ [#This Row],[Account Withdrawl Amount] ], )</f>
        <v>0</v>
      </c>
      <c r="N7" s="18">
        <f>IF(Table37[[#This Row],[CODE]]=6, Table37[ [#This Row],[Account Deposit Amount] ]-Table37[ [#This Row],[Account Withdrawl Amount] ], )</f>
        <v>0</v>
      </c>
      <c r="O7" s="18">
        <f>IF(Table37[[#This Row],[CODE]]=11, Table37[ [#This Row],[Account Deposit Amount] ]-Table37[ [#This Row],[Account Withdrawl Amount] ], )</f>
        <v>0</v>
      </c>
      <c r="P7" s="18">
        <f>IF(Table37[[#This Row],[CODE]]=12, Table37[ [#This Row],[Account Deposit Amount] ]-Table37[ [#This Row],[Account Withdrawl Amount] ], )</f>
        <v>0</v>
      </c>
      <c r="Q7" s="18">
        <f>IF(Table37[[#This Row],[CODE]]=13, Table37[ [#This Row],[Account Deposit Amount] ]-Table37[ [#This Row],[Account Withdrawl Amount] ], )</f>
        <v>-15</v>
      </c>
      <c r="R7" s="18">
        <f>IF(Table37[[#This Row],[CODE]]=14, Table37[ [#This Row],[Account Deposit Amount] ]-Table37[ [#This Row],[Account Withdrawl Amount] ], )</f>
        <v>0</v>
      </c>
      <c r="S7" s="18">
        <f>IF(Table37[[#This Row],[CODE]]=15, Table37[ [#This Row],[Account Deposit Amount] ]-Table37[ [#This Row],[Account Withdrawl Amount] ], )</f>
        <v>0</v>
      </c>
      <c r="T7" s="18">
        <f>IF(Table37[[#This Row],[CODE]]=16, Table37[ [#This Row],[Account Deposit Amount] ]-Table37[ [#This Row],[Account Withdrawl Amount] ], )</f>
        <v>0</v>
      </c>
      <c r="U7" s="17">
        <f>IF(Table37[[#This Row],[CODE]]=17, Table37[ [#This Row],[Account Deposit Amount] ]-Table37[ [#This Row],[Account Withdrawl Amount] ], )</f>
        <v>0</v>
      </c>
      <c r="V7" s="19">
        <f>IF(Table37[[#This Row],[CODE]]=18, Table37[ [#This Row],[Account Deposit Amount] ]-Table37[ [#This Row],[Account Withdrawl Amount] ], )</f>
        <v>0</v>
      </c>
    </row>
    <row r="8" spans="1:27" ht="15" thickBot="1">
      <c r="A8" t="s">
        <v>241</v>
      </c>
      <c r="B8" s="107">
        <v>44684</v>
      </c>
      <c r="C8" s="108" t="s">
        <v>201</v>
      </c>
      <c r="D8" s="108" t="s">
        <v>284</v>
      </c>
      <c r="E8"/>
      <c r="F8">
        <v>15</v>
      </c>
      <c r="G8" s="82">
        <f t="shared" si="1"/>
        <v>23759.41</v>
      </c>
      <c r="H8" s="108">
        <v>13</v>
      </c>
      <c r="I8" s="17">
        <f>IF(Table37[[#This Row],[CODE]]=1, Table37[ [#This Row],[Account Deposit Amount] ]-Table37[ [#This Row],[Account Withdrawl Amount] ], )</f>
        <v>0</v>
      </c>
      <c r="J8" s="18">
        <f>IF(Table37[[#This Row],[CODE]]=2, Table37[ [#This Row],[Account Deposit Amount] ]-Table37[ [#This Row],[Account Withdrawl Amount] ], )</f>
        <v>0</v>
      </c>
      <c r="K8" s="18">
        <f>IF(Table37[[#This Row],[CODE]]=3, Table37[ [#This Row],[Account Deposit Amount] ]-Table37[ [#This Row],[Account Withdrawl Amount] ], )</f>
        <v>0</v>
      </c>
      <c r="L8" s="18">
        <f>IF(Table37[[#This Row],[CODE]]=4, Table37[ [#This Row],[Account Deposit Amount] ]-Table37[ [#This Row],[Account Withdrawl Amount] ], )</f>
        <v>0</v>
      </c>
      <c r="M8" s="18">
        <f>IF(Table37[[#This Row],[CODE]]=5, Table37[ [#This Row],[Account Deposit Amount] ]-Table37[ [#This Row],[Account Withdrawl Amount] ], )</f>
        <v>0</v>
      </c>
      <c r="N8" s="18">
        <f>IF(Table37[[#This Row],[CODE]]=6, Table37[ [#This Row],[Account Deposit Amount] ]-Table37[ [#This Row],[Account Withdrawl Amount] ], )</f>
        <v>0</v>
      </c>
      <c r="O8" s="18">
        <f>IF(Table37[[#This Row],[CODE]]=11, Table37[ [#This Row],[Account Deposit Amount] ]-Table37[ [#This Row],[Account Withdrawl Amount] ], )</f>
        <v>0</v>
      </c>
      <c r="P8" s="18">
        <f>IF(Table37[[#This Row],[CODE]]=12, Table37[ [#This Row],[Account Deposit Amount] ]-Table37[ [#This Row],[Account Withdrawl Amount] ], )</f>
        <v>0</v>
      </c>
      <c r="Q8" s="18">
        <f>IF(Table37[[#This Row],[CODE]]=13, Table37[ [#This Row],[Account Deposit Amount] ]-Table37[ [#This Row],[Account Withdrawl Amount] ], )</f>
        <v>-15</v>
      </c>
      <c r="R8" s="18">
        <f>IF(Table37[[#This Row],[CODE]]=14, Table37[ [#This Row],[Account Deposit Amount] ]-Table37[ [#This Row],[Account Withdrawl Amount] ], )</f>
        <v>0</v>
      </c>
      <c r="S8" s="18">
        <f>IF(Table37[[#This Row],[CODE]]=15, Table37[ [#This Row],[Account Deposit Amount] ]-Table37[ [#This Row],[Account Withdrawl Amount] ], )</f>
        <v>0</v>
      </c>
      <c r="T8" s="18">
        <f>IF(Table37[[#This Row],[CODE]]=16, Table37[ [#This Row],[Account Deposit Amount] ]-Table37[ [#This Row],[Account Withdrawl Amount] ], )</f>
        <v>0</v>
      </c>
      <c r="U8" s="17">
        <f>IF(Table37[[#This Row],[CODE]]=17, Table37[ [#This Row],[Account Deposit Amount] ]-Table37[ [#This Row],[Account Withdrawl Amount] ], )</f>
        <v>0</v>
      </c>
      <c r="V8" s="19">
        <f>IF(Table37[[#This Row],[CODE]]=18, Table37[ [#This Row],[Account Deposit Amount] ]-Table37[ [#This Row],[Account Withdrawl Amount] ], )</f>
        <v>0</v>
      </c>
    </row>
    <row r="9" spans="1:27" ht="15" thickBot="1">
      <c r="A9" t="s">
        <v>238</v>
      </c>
      <c r="B9" s="107">
        <v>44684</v>
      </c>
      <c r="C9" s="108" t="s">
        <v>276</v>
      </c>
      <c r="D9" s="108" t="s">
        <v>285</v>
      </c>
      <c r="E9">
        <v>225</v>
      </c>
      <c r="F9"/>
      <c r="G9" s="82">
        <f t="shared" si="1"/>
        <v>23984.41</v>
      </c>
      <c r="H9" s="108">
        <v>6</v>
      </c>
      <c r="I9" s="17">
        <f>IF(Table37[[#This Row],[CODE]]=1, Table37[ [#This Row],[Account Deposit Amount] ]-Table37[ [#This Row],[Account Withdrawl Amount] ], )</f>
        <v>0</v>
      </c>
      <c r="J9" s="18">
        <f>IF(Table37[[#This Row],[CODE]]=2, Table37[ [#This Row],[Account Deposit Amount] ]-Table37[ [#This Row],[Account Withdrawl Amount] ], )</f>
        <v>0</v>
      </c>
      <c r="K9" s="18">
        <f>IF(Table37[[#This Row],[CODE]]=3, Table37[ [#This Row],[Account Deposit Amount] ]-Table37[ [#This Row],[Account Withdrawl Amount] ], )</f>
        <v>0</v>
      </c>
      <c r="L9" s="18">
        <f>IF(Table37[[#This Row],[CODE]]=4, Table37[ [#This Row],[Account Deposit Amount] ]-Table37[ [#This Row],[Account Withdrawl Amount] ], )</f>
        <v>0</v>
      </c>
      <c r="M9" s="18">
        <f>IF(Table37[[#This Row],[CODE]]=5, Table37[ [#This Row],[Account Deposit Amount] ]-Table37[ [#This Row],[Account Withdrawl Amount] ], )</f>
        <v>0</v>
      </c>
      <c r="N9" s="18">
        <f>IF(Table37[[#This Row],[CODE]]=6, Table37[ [#This Row],[Account Deposit Amount] ]-Table37[ [#This Row],[Account Withdrawl Amount] ], )</f>
        <v>225</v>
      </c>
      <c r="O9" s="18">
        <f>IF(Table37[[#This Row],[CODE]]=11, Table37[ [#This Row],[Account Deposit Amount] ]-Table37[ [#This Row],[Account Withdrawl Amount] ], )</f>
        <v>0</v>
      </c>
      <c r="P9" s="18">
        <f>IF(Table37[[#This Row],[CODE]]=12, Table37[ [#This Row],[Account Deposit Amount] ]-Table37[ [#This Row],[Account Withdrawl Amount] ], )</f>
        <v>0</v>
      </c>
      <c r="Q9" s="18">
        <f>IF(Table37[[#This Row],[CODE]]=13, Table37[ [#This Row],[Account Deposit Amount] ]-Table37[ [#This Row],[Account Withdrawl Amount] ], )</f>
        <v>0</v>
      </c>
      <c r="R9" s="18">
        <f>IF(Table37[[#This Row],[CODE]]=14, Table37[ [#This Row],[Account Deposit Amount] ]-Table37[ [#This Row],[Account Withdrawl Amount] ], )</f>
        <v>0</v>
      </c>
      <c r="S9" s="18">
        <f>IF(Table37[[#This Row],[CODE]]=15, Table37[ [#This Row],[Account Deposit Amount] ]-Table37[ [#This Row],[Account Withdrawl Amount] ], )</f>
        <v>0</v>
      </c>
      <c r="T9" s="18">
        <f>IF(Table37[[#This Row],[CODE]]=16, Table37[ [#This Row],[Account Deposit Amount] ]-Table37[ [#This Row],[Account Withdrawl Amount] ], )</f>
        <v>0</v>
      </c>
      <c r="U9" s="17">
        <f>IF(Table37[[#This Row],[CODE]]=17, Table37[ [#This Row],[Account Deposit Amount] ]-Table37[ [#This Row],[Account Withdrawl Amount] ], )</f>
        <v>0</v>
      </c>
      <c r="V9" s="19">
        <f>IF(Table37[[#This Row],[CODE]]=18, Table37[ [#This Row],[Account Deposit Amount] ]-Table37[ [#This Row],[Account Withdrawl Amount] ], )</f>
        <v>0</v>
      </c>
    </row>
    <row r="10" spans="1:27" ht="15" thickBot="1">
      <c r="A10" t="s">
        <v>241</v>
      </c>
      <c r="B10" s="107">
        <v>44684</v>
      </c>
      <c r="C10" s="108" t="s">
        <v>201</v>
      </c>
      <c r="D10" s="108" t="s">
        <v>67</v>
      </c>
      <c r="E10"/>
      <c r="F10">
        <v>31.8</v>
      </c>
      <c r="G10" s="82">
        <f t="shared" si="1"/>
        <v>23952.61</v>
      </c>
      <c r="H10" s="108">
        <v>12</v>
      </c>
      <c r="I10" s="17">
        <f>IF(Table37[[#This Row],[CODE]]=1, Table37[ [#This Row],[Account Deposit Amount] ]-Table37[ [#This Row],[Account Withdrawl Amount] ], )</f>
        <v>0</v>
      </c>
      <c r="J10" s="18">
        <f>IF(Table37[[#This Row],[CODE]]=2, Table37[ [#This Row],[Account Deposit Amount] ]-Table37[ [#This Row],[Account Withdrawl Amount] ], )</f>
        <v>0</v>
      </c>
      <c r="K10" s="18">
        <f>IF(Table37[[#This Row],[CODE]]=3, Table37[ [#This Row],[Account Deposit Amount] ]-Table37[ [#This Row],[Account Withdrawl Amount] ], )</f>
        <v>0</v>
      </c>
      <c r="L10" s="18">
        <f>IF(Table37[[#This Row],[CODE]]=4, Table37[ [#This Row],[Account Deposit Amount] ]-Table37[ [#This Row],[Account Withdrawl Amount] ], )</f>
        <v>0</v>
      </c>
      <c r="M10" s="18">
        <f>IF(Table37[[#This Row],[CODE]]=5, Table37[ [#This Row],[Account Deposit Amount] ]-Table37[ [#This Row],[Account Withdrawl Amount] ], )</f>
        <v>0</v>
      </c>
      <c r="N10" s="18">
        <f>IF(Table37[[#This Row],[CODE]]=6, Table37[ [#This Row],[Account Deposit Amount] ]-Table37[ [#This Row],[Account Withdrawl Amount] ], )</f>
        <v>0</v>
      </c>
      <c r="O10" s="18">
        <f>IF(Table37[[#This Row],[CODE]]=11, Table37[ [#This Row],[Account Deposit Amount] ]-Table37[ [#This Row],[Account Withdrawl Amount] ], )</f>
        <v>0</v>
      </c>
      <c r="P10" s="18">
        <f>IF(Table37[[#This Row],[CODE]]=12, Table37[ [#This Row],[Account Deposit Amount] ]-Table37[ [#This Row],[Account Withdrawl Amount] ], )</f>
        <v>-31.8</v>
      </c>
      <c r="Q10" s="18">
        <f>IF(Table37[[#This Row],[CODE]]=13, Table37[ [#This Row],[Account Deposit Amount] ]-Table37[ [#This Row],[Account Withdrawl Amount] ], )</f>
        <v>0</v>
      </c>
      <c r="R10" s="18">
        <f>IF(Table37[[#This Row],[CODE]]=14, Table37[ [#This Row],[Account Deposit Amount] ]-Table37[ [#This Row],[Account Withdrawl Amount] ], )</f>
        <v>0</v>
      </c>
      <c r="S10" s="18">
        <f>IF(Table37[[#This Row],[CODE]]=15, Table37[ [#This Row],[Account Deposit Amount] ]-Table37[ [#This Row],[Account Withdrawl Amount] ], )</f>
        <v>0</v>
      </c>
      <c r="T10" s="18">
        <f>IF(Table37[[#This Row],[CODE]]=16, Table37[ [#This Row],[Account Deposit Amount] ]-Table37[ [#This Row],[Account Withdrawl Amount] ], )</f>
        <v>0</v>
      </c>
      <c r="U10" s="17">
        <f>IF(Table37[[#This Row],[CODE]]=17, Table37[ [#This Row],[Account Deposit Amount] ]-Table37[ [#This Row],[Account Withdrawl Amount] ], )</f>
        <v>0</v>
      </c>
      <c r="V10" s="19">
        <f>IF(Table37[[#This Row],[CODE]]=18, Table37[ [#This Row],[Account Deposit Amount] ]-Table37[ [#This Row],[Account Withdrawl Amount] ], )</f>
        <v>0</v>
      </c>
    </row>
    <row r="11" spans="1:27" ht="15" thickBot="1">
      <c r="A11" t="s">
        <v>241</v>
      </c>
      <c r="B11" s="107">
        <v>44684</v>
      </c>
      <c r="C11" s="108" t="s">
        <v>201</v>
      </c>
      <c r="D11" s="108" t="s">
        <v>67</v>
      </c>
      <c r="E11"/>
      <c r="F11">
        <v>90.03</v>
      </c>
      <c r="G11" s="82">
        <f t="shared" si="1"/>
        <v>23862.58</v>
      </c>
      <c r="H11" s="108">
        <v>12</v>
      </c>
      <c r="I11" s="17">
        <f>IF(Table37[[#This Row],[CODE]]=1, Table37[ [#This Row],[Account Deposit Amount] ]-Table37[ [#This Row],[Account Withdrawl Amount] ], )</f>
        <v>0</v>
      </c>
      <c r="J11" s="18">
        <f>IF(Table37[[#This Row],[CODE]]=2, Table37[ [#This Row],[Account Deposit Amount] ]-Table37[ [#This Row],[Account Withdrawl Amount] ], )</f>
        <v>0</v>
      </c>
      <c r="K11" s="18">
        <f>IF(Table37[[#This Row],[CODE]]=3, Table37[ [#This Row],[Account Deposit Amount] ]-Table37[ [#This Row],[Account Withdrawl Amount] ], )</f>
        <v>0</v>
      </c>
      <c r="L11" s="18">
        <f>IF(Table37[[#This Row],[CODE]]=4, Table37[ [#This Row],[Account Deposit Amount] ]-Table37[ [#This Row],[Account Withdrawl Amount] ], )</f>
        <v>0</v>
      </c>
      <c r="M11" s="18">
        <f>IF(Table37[[#This Row],[CODE]]=5, Table37[ [#This Row],[Account Deposit Amount] ]-Table37[ [#This Row],[Account Withdrawl Amount] ], )</f>
        <v>0</v>
      </c>
      <c r="N11" s="18">
        <f>IF(Table37[[#This Row],[CODE]]=6, Table37[ [#This Row],[Account Deposit Amount] ]-Table37[ [#This Row],[Account Withdrawl Amount] ], )</f>
        <v>0</v>
      </c>
      <c r="O11" s="18">
        <f>IF(Table37[[#This Row],[CODE]]=11, Table37[ [#This Row],[Account Deposit Amount] ]-Table37[ [#This Row],[Account Withdrawl Amount] ], )</f>
        <v>0</v>
      </c>
      <c r="P11" s="18">
        <f>IF(Table37[[#This Row],[CODE]]=12, Table37[ [#This Row],[Account Deposit Amount] ]-Table37[ [#This Row],[Account Withdrawl Amount] ], )</f>
        <v>-90.03</v>
      </c>
      <c r="Q11" s="18">
        <f>IF(Table37[[#This Row],[CODE]]=13, Table37[ [#This Row],[Account Deposit Amount] ]-Table37[ [#This Row],[Account Withdrawl Amount] ], )</f>
        <v>0</v>
      </c>
      <c r="R11" s="18">
        <f>IF(Table37[[#This Row],[CODE]]=14, Table37[ [#This Row],[Account Deposit Amount] ]-Table37[ [#This Row],[Account Withdrawl Amount] ], )</f>
        <v>0</v>
      </c>
      <c r="S11" s="18">
        <f>IF(Table37[[#This Row],[CODE]]=15, Table37[ [#This Row],[Account Deposit Amount] ]-Table37[ [#This Row],[Account Withdrawl Amount] ], )</f>
        <v>0</v>
      </c>
      <c r="T11" s="18">
        <f>IF(Table37[[#This Row],[CODE]]=16, Table37[ [#This Row],[Account Deposit Amount] ]-Table37[ [#This Row],[Account Withdrawl Amount] ], )</f>
        <v>0</v>
      </c>
      <c r="U11" s="17">
        <f>IF(Table37[[#This Row],[CODE]]=17, Table37[ [#This Row],[Account Deposit Amount] ]-Table37[ [#This Row],[Account Withdrawl Amount] ], )</f>
        <v>0</v>
      </c>
      <c r="V11" s="19">
        <f>IF(Table37[[#This Row],[CODE]]=18, Table37[ [#This Row],[Account Deposit Amount] ]-Table37[ [#This Row],[Account Withdrawl Amount] ], )</f>
        <v>0</v>
      </c>
    </row>
    <row r="12" spans="1:27" ht="15" thickBot="1">
      <c r="A12" t="s">
        <v>241</v>
      </c>
      <c r="B12" s="107">
        <v>44684</v>
      </c>
      <c r="C12" s="108" t="s">
        <v>201</v>
      </c>
      <c r="D12" s="108" t="s">
        <v>286</v>
      </c>
      <c r="E12">
        <v>11.93</v>
      </c>
      <c r="F12"/>
      <c r="G12" s="82">
        <f t="shared" si="1"/>
        <v>23874.510000000002</v>
      </c>
      <c r="H12" s="108">
        <v>12</v>
      </c>
      <c r="I12" s="17">
        <f>IF(Table37[[#This Row],[CODE]]=1, Table37[ [#This Row],[Account Deposit Amount] ]-Table37[ [#This Row],[Account Withdrawl Amount] ], )</f>
        <v>0</v>
      </c>
      <c r="J12" s="18">
        <f>IF(Table37[[#This Row],[CODE]]=2, Table37[ [#This Row],[Account Deposit Amount] ]-Table37[ [#This Row],[Account Withdrawl Amount] ], )</f>
        <v>0</v>
      </c>
      <c r="K12" s="18">
        <f>IF(Table37[[#This Row],[CODE]]=3, Table37[ [#This Row],[Account Deposit Amount] ]-Table37[ [#This Row],[Account Withdrawl Amount] ], )</f>
        <v>0</v>
      </c>
      <c r="L12" s="18">
        <f>IF(Table37[[#This Row],[CODE]]=4, Table37[ [#This Row],[Account Deposit Amount] ]-Table37[ [#This Row],[Account Withdrawl Amount] ], )</f>
        <v>0</v>
      </c>
      <c r="M12" s="18">
        <f>IF(Table37[[#This Row],[CODE]]=5, Table37[ [#This Row],[Account Deposit Amount] ]-Table37[ [#This Row],[Account Withdrawl Amount] ], )</f>
        <v>0</v>
      </c>
      <c r="N12" s="18">
        <f>IF(Table37[[#This Row],[CODE]]=6, Table37[ [#This Row],[Account Deposit Amount] ]-Table37[ [#This Row],[Account Withdrawl Amount] ], )</f>
        <v>0</v>
      </c>
      <c r="O12" s="18">
        <f>IF(Table37[[#This Row],[CODE]]=11, Table37[ [#This Row],[Account Deposit Amount] ]-Table37[ [#This Row],[Account Withdrawl Amount] ], )</f>
        <v>0</v>
      </c>
      <c r="P12" s="18">
        <f>IF(Table37[[#This Row],[CODE]]=12, Table37[ [#This Row],[Account Deposit Amount] ]-Table37[ [#This Row],[Account Withdrawl Amount] ], )</f>
        <v>11.93</v>
      </c>
      <c r="Q12" s="18">
        <f>IF(Table37[[#This Row],[CODE]]=13, Table37[ [#This Row],[Account Deposit Amount] ]-Table37[ [#This Row],[Account Withdrawl Amount] ], )</f>
        <v>0</v>
      </c>
      <c r="R12" s="18">
        <f>IF(Table37[[#This Row],[CODE]]=14, Table37[ [#This Row],[Account Deposit Amount] ]-Table37[ [#This Row],[Account Withdrawl Amount] ], )</f>
        <v>0</v>
      </c>
      <c r="S12" s="18">
        <f>IF(Table37[[#This Row],[CODE]]=15, Table37[ [#This Row],[Account Deposit Amount] ]-Table37[ [#This Row],[Account Withdrawl Amount] ], )</f>
        <v>0</v>
      </c>
      <c r="T12" s="18">
        <f>IF(Table37[[#This Row],[CODE]]=16, Table37[ [#This Row],[Account Deposit Amount] ]-Table37[ [#This Row],[Account Withdrawl Amount] ], )</f>
        <v>0</v>
      </c>
      <c r="U12" s="17">
        <f>IF(Table37[[#This Row],[CODE]]=17, Table37[ [#This Row],[Account Deposit Amount] ]-Table37[ [#This Row],[Account Withdrawl Amount] ], )</f>
        <v>0</v>
      </c>
      <c r="V12" s="19">
        <f>IF(Table37[[#This Row],[CODE]]=18, Table37[ [#This Row],[Account Deposit Amount] ]-Table37[ [#This Row],[Account Withdrawl Amount] ], )</f>
        <v>0</v>
      </c>
    </row>
    <row r="13" spans="1:27" ht="15" thickBot="1">
      <c r="A13" t="s">
        <v>241</v>
      </c>
      <c r="B13" s="107">
        <v>44686</v>
      </c>
      <c r="C13" s="108" t="s">
        <v>201</v>
      </c>
      <c r="D13" s="108" t="s">
        <v>283</v>
      </c>
      <c r="E13"/>
      <c r="F13">
        <v>15</v>
      </c>
      <c r="G13" s="82">
        <f t="shared" si="1"/>
        <v>23859.510000000002</v>
      </c>
      <c r="H13" s="108">
        <v>13</v>
      </c>
      <c r="I13" s="17">
        <f>IF(Table37[[#This Row],[CODE]]=1, Table37[ [#This Row],[Account Deposit Amount] ]-Table37[ [#This Row],[Account Withdrawl Amount] ], )</f>
        <v>0</v>
      </c>
      <c r="J13" s="18">
        <f>IF(Table37[[#This Row],[CODE]]=2, Table37[ [#This Row],[Account Deposit Amount] ]-Table37[ [#This Row],[Account Withdrawl Amount] ], )</f>
        <v>0</v>
      </c>
      <c r="K13" s="18">
        <f>IF(Table37[[#This Row],[CODE]]=3, Table37[ [#This Row],[Account Deposit Amount] ]-Table37[ [#This Row],[Account Withdrawl Amount] ], )</f>
        <v>0</v>
      </c>
      <c r="L13" s="18">
        <f>IF(Table37[[#This Row],[CODE]]=4, Table37[ [#This Row],[Account Deposit Amount] ]-Table37[ [#This Row],[Account Withdrawl Amount] ], )</f>
        <v>0</v>
      </c>
      <c r="M13" s="18">
        <f>IF(Table37[[#This Row],[CODE]]=5, Table37[ [#This Row],[Account Deposit Amount] ]-Table37[ [#This Row],[Account Withdrawl Amount] ], )</f>
        <v>0</v>
      </c>
      <c r="N13" s="18">
        <f>IF(Table37[[#This Row],[CODE]]=6, Table37[ [#This Row],[Account Deposit Amount] ]-Table37[ [#This Row],[Account Withdrawl Amount] ], )</f>
        <v>0</v>
      </c>
      <c r="O13" s="18">
        <f>IF(Table37[[#This Row],[CODE]]=11, Table37[ [#This Row],[Account Deposit Amount] ]-Table37[ [#This Row],[Account Withdrawl Amount] ], )</f>
        <v>0</v>
      </c>
      <c r="P13" s="18">
        <f>IF(Table37[[#This Row],[CODE]]=12, Table37[ [#This Row],[Account Deposit Amount] ]-Table37[ [#This Row],[Account Withdrawl Amount] ], )</f>
        <v>0</v>
      </c>
      <c r="Q13" s="18">
        <f>IF(Table37[[#This Row],[CODE]]=13, Table37[ [#This Row],[Account Deposit Amount] ]-Table37[ [#This Row],[Account Withdrawl Amount] ], )</f>
        <v>-15</v>
      </c>
      <c r="R13" s="18">
        <f>IF(Table37[[#This Row],[CODE]]=14, Table37[ [#This Row],[Account Deposit Amount] ]-Table37[ [#This Row],[Account Withdrawl Amount] ], )</f>
        <v>0</v>
      </c>
      <c r="S13" s="18">
        <f>IF(Table37[[#This Row],[CODE]]=15, Table37[ [#This Row],[Account Deposit Amount] ]-Table37[ [#This Row],[Account Withdrawl Amount] ], )</f>
        <v>0</v>
      </c>
      <c r="T13" s="18">
        <f>IF(Table37[[#This Row],[CODE]]=16, Table37[ [#This Row],[Account Deposit Amount] ]-Table37[ [#This Row],[Account Withdrawl Amount] ], )</f>
        <v>0</v>
      </c>
      <c r="U13" s="17">
        <f>IF(Table37[[#This Row],[CODE]]=17, Table37[ [#This Row],[Account Deposit Amount] ]-Table37[ [#This Row],[Account Withdrawl Amount] ], )</f>
        <v>0</v>
      </c>
      <c r="V13" s="19">
        <f>IF(Table37[[#This Row],[CODE]]=18, Table37[ [#This Row],[Account Deposit Amount] ]-Table37[ [#This Row],[Account Withdrawl Amount] ], )</f>
        <v>0</v>
      </c>
    </row>
    <row r="14" spans="1:27" ht="15" thickBot="1">
      <c r="A14" t="s">
        <v>241</v>
      </c>
      <c r="B14" s="107">
        <v>44687</v>
      </c>
      <c r="C14" s="108" t="s">
        <v>287</v>
      </c>
      <c r="D14" s="108" t="s">
        <v>288</v>
      </c>
      <c r="E14"/>
      <c r="F14">
        <v>250</v>
      </c>
      <c r="G14" s="82">
        <f t="shared" si="1"/>
        <v>23609.510000000002</v>
      </c>
      <c r="H14" s="108">
        <v>13</v>
      </c>
      <c r="I14" s="17">
        <f>IF(Table37[[#This Row],[CODE]]=1, Table37[ [#This Row],[Account Deposit Amount] ]-Table37[ [#This Row],[Account Withdrawl Amount] ], )</f>
        <v>0</v>
      </c>
      <c r="J14" s="18">
        <f>IF(Table37[[#This Row],[CODE]]=2, Table37[ [#This Row],[Account Deposit Amount] ]-Table37[ [#This Row],[Account Withdrawl Amount] ], )</f>
        <v>0</v>
      </c>
      <c r="K14" s="18">
        <f>IF(Table37[[#This Row],[CODE]]=3, Table37[ [#This Row],[Account Deposit Amount] ]-Table37[ [#This Row],[Account Withdrawl Amount] ], )</f>
        <v>0</v>
      </c>
      <c r="L14" s="18">
        <f>IF(Table37[[#This Row],[CODE]]=4, Table37[ [#This Row],[Account Deposit Amount] ]-Table37[ [#This Row],[Account Withdrawl Amount] ], )</f>
        <v>0</v>
      </c>
      <c r="M14" s="18">
        <f>IF(Table37[[#This Row],[CODE]]=5, Table37[ [#This Row],[Account Deposit Amount] ]-Table37[ [#This Row],[Account Withdrawl Amount] ], )</f>
        <v>0</v>
      </c>
      <c r="N14" s="18">
        <f>IF(Table37[[#This Row],[CODE]]=6, Table37[ [#This Row],[Account Deposit Amount] ]-Table37[ [#This Row],[Account Withdrawl Amount] ], )</f>
        <v>0</v>
      </c>
      <c r="O14" s="18">
        <f>IF(Table37[[#This Row],[CODE]]=11, Table37[ [#This Row],[Account Deposit Amount] ]-Table37[ [#This Row],[Account Withdrawl Amount] ], )</f>
        <v>0</v>
      </c>
      <c r="P14" s="18">
        <f>IF(Table37[[#This Row],[CODE]]=12, Table37[ [#This Row],[Account Deposit Amount] ]-Table37[ [#This Row],[Account Withdrawl Amount] ], )</f>
        <v>0</v>
      </c>
      <c r="Q14" s="18">
        <f>IF(Table37[[#This Row],[CODE]]=13, Table37[ [#This Row],[Account Deposit Amount] ]-Table37[ [#This Row],[Account Withdrawl Amount] ], )</f>
        <v>-250</v>
      </c>
      <c r="R14" s="18">
        <f>IF(Table37[[#This Row],[CODE]]=14, Table37[ [#This Row],[Account Deposit Amount] ]-Table37[ [#This Row],[Account Withdrawl Amount] ], )</f>
        <v>0</v>
      </c>
      <c r="S14" s="18">
        <f>IF(Table37[[#This Row],[CODE]]=15, Table37[ [#This Row],[Account Deposit Amount] ]-Table37[ [#This Row],[Account Withdrawl Amount] ], )</f>
        <v>0</v>
      </c>
      <c r="T14" s="18">
        <f>IF(Table37[[#This Row],[CODE]]=16, Table37[ [#This Row],[Account Deposit Amount] ]-Table37[ [#This Row],[Account Withdrawl Amount] ], )</f>
        <v>0</v>
      </c>
      <c r="U14" s="17">
        <f>IF(Table37[[#This Row],[CODE]]=17, Table37[ [#This Row],[Account Deposit Amount] ]-Table37[ [#This Row],[Account Withdrawl Amount] ], )</f>
        <v>0</v>
      </c>
      <c r="V14" s="19">
        <f>IF(Table37[[#This Row],[CODE]]=18, Table37[ [#This Row],[Account Deposit Amount] ]-Table37[ [#This Row],[Account Withdrawl Amount] ], )</f>
        <v>0</v>
      </c>
    </row>
    <row r="15" spans="1:27" ht="15" thickBot="1">
      <c r="A15" t="s">
        <v>241</v>
      </c>
      <c r="B15" s="107">
        <v>44688</v>
      </c>
      <c r="C15" s="109" t="s">
        <v>289</v>
      </c>
      <c r="D15" s="108" t="s">
        <v>290</v>
      </c>
      <c r="E15"/>
      <c r="F15">
        <v>25</v>
      </c>
      <c r="G15" s="82">
        <f t="shared" si="1"/>
        <v>23584.510000000002</v>
      </c>
      <c r="H15" s="108">
        <v>13</v>
      </c>
      <c r="I15" s="17">
        <f>IF(Table37[[#This Row],[CODE]]=1, Table37[ [#This Row],[Account Deposit Amount] ]-Table37[ [#This Row],[Account Withdrawl Amount] ], )</f>
        <v>0</v>
      </c>
      <c r="J15" s="18">
        <f>IF(Table37[[#This Row],[CODE]]=2, Table37[ [#This Row],[Account Deposit Amount] ]-Table37[ [#This Row],[Account Withdrawl Amount] ], )</f>
        <v>0</v>
      </c>
      <c r="K15" s="18">
        <f>IF(Table37[[#This Row],[CODE]]=3, Table37[ [#This Row],[Account Deposit Amount] ]-Table37[ [#This Row],[Account Withdrawl Amount] ], )</f>
        <v>0</v>
      </c>
      <c r="L15" s="18">
        <f>IF(Table37[[#This Row],[CODE]]=4, Table37[ [#This Row],[Account Deposit Amount] ]-Table37[ [#This Row],[Account Withdrawl Amount] ], )</f>
        <v>0</v>
      </c>
      <c r="M15" s="18">
        <f>IF(Table37[[#This Row],[CODE]]=5, Table37[ [#This Row],[Account Deposit Amount] ]-Table37[ [#This Row],[Account Withdrawl Amount] ], )</f>
        <v>0</v>
      </c>
      <c r="N15" s="18">
        <f>IF(Table37[[#This Row],[CODE]]=6, Table37[ [#This Row],[Account Deposit Amount] ]-Table37[ [#This Row],[Account Withdrawl Amount] ], )</f>
        <v>0</v>
      </c>
      <c r="O15" s="18">
        <f>IF(Table37[[#This Row],[CODE]]=11, Table37[ [#This Row],[Account Deposit Amount] ]-Table37[ [#This Row],[Account Withdrawl Amount] ], )</f>
        <v>0</v>
      </c>
      <c r="P15" s="18">
        <f>IF(Table37[[#This Row],[CODE]]=12, Table37[ [#This Row],[Account Deposit Amount] ]-Table37[ [#This Row],[Account Withdrawl Amount] ], )</f>
        <v>0</v>
      </c>
      <c r="Q15" s="18">
        <f>IF(Table37[[#This Row],[CODE]]=13, Table37[ [#This Row],[Account Deposit Amount] ]-Table37[ [#This Row],[Account Withdrawl Amount] ], )</f>
        <v>-25</v>
      </c>
      <c r="R15" s="18">
        <f>IF(Table37[[#This Row],[CODE]]=14, Table37[ [#This Row],[Account Deposit Amount] ]-Table37[ [#This Row],[Account Withdrawl Amount] ], )</f>
        <v>0</v>
      </c>
      <c r="S15" s="18">
        <f>IF(Table37[[#This Row],[CODE]]=15, Table37[ [#This Row],[Account Deposit Amount] ]-Table37[ [#This Row],[Account Withdrawl Amount] ], )</f>
        <v>0</v>
      </c>
      <c r="T15" s="18">
        <f>IF(Table37[[#This Row],[CODE]]=16, Table37[ [#This Row],[Account Deposit Amount] ]-Table37[ [#This Row],[Account Withdrawl Amount] ], )</f>
        <v>0</v>
      </c>
      <c r="U15" s="17">
        <f>IF(Table37[[#This Row],[CODE]]=17, Table37[ [#This Row],[Account Deposit Amount] ]-Table37[ [#This Row],[Account Withdrawl Amount] ], )</f>
        <v>0</v>
      </c>
      <c r="V15" s="19">
        <f>IF(Table37[[#This Row],[CODE]]=18, Table37[ [#This Row],[Account Deposit Amount] ]-Table37[ [#This Row],[Account Withdrawl Amount] ], )</f>
        <v>0</v>
      </c>
    </row>
    <row r="16" spans="1:27" ht="15" thickBot="1">
      <c r="A16" t="s">
        <v>241</v>
      </c>
      <c r="B16" s="107">
        <v>44688</v>
      </c>
      <c r="C16" s="109" t="s">
        <v>289</v>
      </c>
      <c r="D16" s="109" t="s">
        <v>290</v>
      </c>
      <c r="E16"/>
      <c r="F16">
        <v>25</v>
      </c>
      <c r="G16" s="82">
        <f t="shared" si="1"/>
        <v>23559.510000000002</v>
      </c>
      <c r="H16" s="108">
        <v>13</v>
      </c>
      <c r="I16" s="17">
        <f>IF(Table37[[#This Row],[CODE]]=1, Table37[ [#This Row],[Account Deposit Amount] ]-Table37[ [#This Row],[Account Withdrawl Amount] ], )</f>
        <v>0</v>
      </c>
      <c r="J16" s="18">
        <f>IF(Table37[[#This Row],[CODE]]=2, Table37[ [#This Row],[Account Deposit Amount] ]-Table37[ [#This Row],[Account Withdrawl Amount] ], )</f>
        <v>0</v>
      </c>
      <c r="K16" s="18">
        <f>IF(Table37[[#This Row],[CODE]]=3, Table37[ [#This Row],[Account Deposit Amount] ]-Table37[ [#This Row],[Account Withdrawl Amount] ], )</f>
        <v>0</v>
      </c>
      <c r="L16" s="18">
        <f>IF(Table37[[#This Row],[CODE]]=4, Table37[ [#This Row],[Account Deposit Amount] ]-Table37[ [#This Row],[Account Withdrawl Amount] ], )</f>
        <v>0</v>
      </c>
      <c r="M16" s="18">
        <f>IF(Table37[[#This Row],[CODE]]=5, Table37[ [#This Row],[Account Deposit Amount] ]-Table37[ [#This Row],[Account Withdrawl Amount] ], )</f>
        <v>0</v>
      </c>
      <c r="N16" s="18">
        <f>IF(Table37[[#This Row],[CODE]]=6, Table37[ [#This Row],[Account Deposit Amount] ]-Table37[ [#This Row],[Account Withdrawl Amount] ], )</f>
        <v>0</v>
      </c>
      <c r="O16" s="18">
        <f>IF(Table37[[#This Row],[CODE]]=11, Table37[ [#This Row],[Account Deposit Amount] ]-Table37[ [#This Row],[Account Withdrawl Amount] ], )</f>
        <v>0</v>
      </c>
      <c r="P16" s="18">
        <f>IF(Table37[[#This Row],[CODE]]=12, Table37[ [#This Row],[Account Deposit Amount] ]-Table37[ [#This Row],[Account Withdrawl Amount] ], )</f>
        <v>0</v>
      </c>
      <c r="Q16" s="18">
        <f>IF(Table37[[#This Row],[CODE]]=13, Table37[ [#This Row],[Account Deposit Amount] ]-Table37[ [#This Row],[Account Withdrawl Amount] ], )</f>
        <v>-25</v>
      </c>
      <c r="R16" s="18">
        <f>IF(Table37[[#This Row],[CODE]]=14, Table37[ [#This Row],[Account Deposit Amount] ]-Table37[ [#This Row],[Account Withdrawl Amount] ], )</f>
        <v>0</v>
      </c>
      <c r="S16" s="18">
        <f>IF(Table37[[#This Row],[CODE]]=15, Table37[ [#This Row],[Account Deposit Amount] ]-Table37[ [#This Row],[Account Withdrawl Amount] ], )</f>
        <v>0</v>
      </c>
      <c r="T16" s="18">
        <f>IF(Table37[[#This Row],[CODE]]=16, Table37[ [#This Row],[Account Deposit Amount] ]-Table37[ [#This Row],[Account Withdrawl Amount] ], )</f>
        <v>0</v>
      </c>
      <c r="U16" s="17">
        <f>IF(Table37[[#This Row],[CODE]]=17, Table37[ [#This Row],[Account Deposit Amount] ]-Table37[ [#This Row],[Account Withdrawl Amount] ], )</f>
        <v>0</v>
      </c>
      <c r="V16" s="19">
        <f>IF(Table37[[#This Row],[CODE]]=18, Table37[ [#This Row],[Account Deposit Amount] ]-Table37[ [#This Row],[Account Withdrawl Amount] ], )</f>
        <v>0</v>
      </c>
    </row>
    <row r="17" spans="1:22" ht="15" thickBot="1">
      <c r="A17" t="s">
        <v>241</v>
      </c>
      <c r="B17" s="107">
        <v>44688</v>
      </c>
      <c r="C17" s="109" t="s">
        <v>289</v>
      </c>
      <c r="D17" s="108" t="s">
        <v>291</v>
      </c>
      <c r="E17"/>
      <c r="F17">
        <v>40</v>
      </c>
      <c r="G17" s="82">
        <f t="shared" si="1"/>
        <v>23519.510000000002</v>
      </c>
      <c r="H17" s="108">
        <v>13</v>
      </c>
      <c r="I17" s="17">
        <f>IF(Table37[[#This Row],[CODE]]=1, Table37[ [#This Row],[Account Deposit Amount] ]-Table37[ [#This Row],[Account Withdrawl Amount] ], )</f>
        <v>0</v>
      </c>
      <c r="J17" s="18">
        <f>IF(Table37[[#This Row],[CODE]]=2, Table37[ [#This Row],[Account Deposit Amount] ]-Table37[ [#This Row],[Account Withdrawl Amount] ], )</f>
        <v>0</v>
      </c>
      <c r="K17" s="18">
        <f>IF(Table37[[#This Row],[CODE]]=3, Table37[ [#This Row],[Account Deposit Amount] ]-Table37[ [#This Row],[Account Withdrawl Amount] ], )</f>
        <v>0</v>
      </c>
      <c r="L17" s="18">
        <f>IF(Table37[[#This Row],[CODE]]=4, Table37[ [#This Row],[Account Deposit Amount] ]-Table37[ [#This Row],[Account Withdrawl Amount] ], )</f>
        <v>0</v>
      </c>
      <c r="M17" s="18">
        <f>IF(Table37[[#This Row],[CODE]]=5, Table37[ [#This Row],[Account Deposit Amount] ]-Table37[ [#This Row],[Account Withdrawl Amount] ], )</f>
        <v>0</v>
      </c>
      <c r="N17" s="18">
        <f>IF(Table37[[#This Row],[CODE]]=6, Table37[ [#This Row],[Account Deposit Amount] ]-Table37[ [#This Row],[Account Withdrawl Amount] ], )</f>
        <v>0</v>
      </c>
      <c r="O17" s="18">
        <f>IF(Table37[[#This Row],[CODE]]=11, Table37[ [#This Row],[Account Deposit Amount] ]-Table37[ [#This Row],[Account Withdrawl Amount] ], )</f>
        <v>0</v>
      </c>
      <c r="P17" s="18">
        <f>IF(Table37[[#This Row],[CODE]]=12, Table37[ [#This Row],[Account Deposit Amount] ]-Table37[ [#This Row],[Account Withdrawl Amount] ], )</f>
        <v>0</v>
      </c>
      <c r="Q17" s="18">
        <f>IF(Table37[[#This Row],[CODE]]=13, Table37[ [#This Row],[Account Deposit Amount] ]-Table37[ [#This Row],[Account Withdrawl Amount] ], )</f>
        <v>-40</v>
      </c>
      <c r="R17" s="18">
        <f>IF(Table37[[#This Row],[CODE]]=14, Table37[ [#This Row],[Account Deposit Amount] ]-Table37[ [#This Row],[Account Withdrawl Amount] ], )</f>
        <v>0</v>
      </c>
      <c r="S17" s="18">
        <f>IF(Table37[[#This Row],[CODE]]=15, Table37[ [#This Row],[Account Deposit Amount] ]-Table37[ [#This Row],[Account Withdrawl Amount] ], )</f>
        <v>0</v>
      </c>
      <c r="T17" s="18">
        <f>IF(Table37[[#This Row],[CODE]]=16, Table37[ [#This Row],[Account Deposit Amount] ]-Table37[ [#This Row],[Account Withdrawl Amount] ], )</f>
        <v>0</v>
      </c>
      <c r="U17" s="17">
        <f>IF(Table37[[#This Row],[CODE]]=17, Table37[ [#This Row],[Account Deposit Amount] ]-Table37[ [#This Row],[Account Withdrawl Amount] ], )</f>
        <v>0</v>
      </c>
      <c r="V17" s="19">
        <f>IF(Table37[[#This Row],[CODE]]=18, Table37[ [#This Row],[Account Deposit Amount] ]-Table37[ [#This Row],[Account Withdrawl Amount] ], )</f>
        <v>0</v>
      </c>
    </row>
    <row r="18" spans="1:22" ht="15" thickBot="1">
      <c r="A18" t="s">
        <v>241</v>
      </c>
      <c r="B18" s="107">
        <v>44688</v>
      </c>
      <c r="C18" s="109" t="s">
        <v>289</v>
      </c>
      <c r="D18" s="108" t="s">
        <v>292</v>
      </c>
      <c r="E18"/>
      <c r="F18">
        <v>35</v>
      </c>
      <c r="G18" s="82">
        <f t="shared" si="1"/>
        <v>23484.510000000002</v>
      </c>
      <c r="H18" s="108">
        <v>13</v>
      </c>
      <c r="I18" s="17">
        <f>IF(Table37[[#This Row],[CODE]]=1, Table37[ [#This Row],[Account Deposit Amount] ]-Table37[ [#This Row],[Account Withdrawl Amount] ], )</f>
        <v>0</v>
      </c>
      <c r="J18" s="18">
        <f>IF(Table37[[#This Row],[CODE]]=2, Table37[ [#This Row],[Account Deposit Amount] ]-Table37[ [#This Row],[Account Withdrawl Amount] ], )</f>
        <v>0</v>
      </c>
      <c r="K18" s="18">
        <f>IF(Table37[[#This Row],[CODE]]=3, Table37[ [#This Row],[Account Deposit Amount] ]-Table37[ [#This Row],[Account Withdrawl Amount] ], )</f>
        <v>0</v>
      </c>
      <c r="L18" s="18">
        <f>IF(Table37[[#This Row],[CODE]]=4, Table37[ [#This Row],[Account Deposit Amount] ]-Table37[ [#This Row],[Account Withdrawl Amount] ], )</f>
        <v>0</v>
      </c>
      <c r="M18" s="18">
        <f>IF(Table37[[#This Row],[CODE]]=5, Table37[ [#This Row],[Account Deposit Amount] ]-Table37[ [#This Row],[Account Withdrawl Amount] ], )</f>
        <v>0</v>
      </c>
      <c r="N18" s="18">
        <f>IF(Table37[[#This Row],[CODE]]=6, Table37[ [#This Row],[Account Deposit Amount] ]-Table37[ [#This Row],[Account Withdrawl Amount] ], )</f>
        <v>0</v>
      </c>
      <c r="O18" s="18">
        <f>IF(Table37[[#This Row],[CODE]]=11, Table37[ [#This Row],[Account Deposit Amount] ]-Table37[ [#This Row],[Account Withdrawl Amount] ], )</f>
        <v>0</v>
      </c>
      <c r="P18" s="18">
        <f>IF(Table37[[#This Row],[CODE]]=12, Table37[ [#This Row],[Account Deposit Amount] ]-Table37[ [#This Row],[Account Withdrawl Amount] ], )</f>
        <v>0</v>
      </c>
      <c r="Q18" s="18">
        <f>IF(Table37[[#This Row],[CODE]]=13, Table37[ [#This Row],[Account Deposit Amount] ]-Table37[ [#This Row],[Account Withdrawl Amount] ], )</f>
        <v>-35</v>
      </c>
      <c r="R18" s="18">
        <f>IF(Table37[[#This Row],[CODE]]=14, Table37[ [#This Row],[Account Deposit Amount] ]-Table37[ [#This Row],[Account Withdrawl Amount] ], )</f>
        <v>0</v>
      </c>
      <c r="S18" s="18">
        <f>IF(Table37[[#This Row],[CODE]]=15, Table37[ [#This Row],[Account Deposit Amount] ]-Table37[ [#This Row],[Account Withdrawl Amount] ], )</f>
        <v>0</v>
      </c>
      <c r="T18" s="18">
        <f>IF(Table37[[#This Row],[CODE]]=16, Table37[ [#This Row],[Account Deposit Amount] ]-Table37[ [#This Row],[Account Withdrawl Amount] ], )</f>
        <v>0</v>
      </c>
      <c r="U18" s="17">
        <f>IF(Table37[[#This Row],[CODE]]=17, Table37[ [#This Row],[Account Deposit Amount] ]-Table37[ [#This Row],[Account Withdrawl Amount] ], )</f>
        <v>0</v>
      </c>
      <c r="V18" s="19">
        <f>IF(Table37[[#This Row],[CODE]]=18, Table37[ [#This Row],[Account Deposit Amount] ]-Table37[ [#This Row],[Account Withdrawl Amount] ], )</f>
        <v>0</v>
      </c>
    </row>
    <row r="19" spans="1:22" ht="15" thickBot="1">
      <c r="A19" t="s">
        <v>241</v>
      </c>
      <c r="B19" s="107">
        <v>44688</v>
      </c>
      <c r="C19" s="109" t="s">
        <v>289</v>
      </c>
      <c r="D19" s="108" t="s">
        <v>291</v>
      </c>
      <c r="E19"/>
      <c r="F19">
        <v>40</v>
      </c>
      <c r="G19" s="82">
        <f t="shared" si="1"/>
        <v>23444.510000000002</v>
      </c>
      <c r="H19" s="108">
        <v>13</v>
      </c>
      <c r="I19" s="17">
        <f>IF(Table37[[#This Row],[CODE]]=1, Table37[ [#This Row],[Account Deposit Amount] ]-Table37[ [#This Row],[Account Withdrawl Amount] ], )</f>
        <v>0</v>
      </c>
      <c r="J19" s="18">
        <f>IF(Table37[[#This Row],[CODE]]=2, Table37[ [#This Row],[Account Deposit Amount] ]-Table37[ [#This Row],[Account Withdrawl Amount] ], )</f>
        <v>0</v>
      </c>
      <c r="K19" s="18">
        <f>IF(Table37[[#This Row],[CODE]]=3, Table37[ [#This Row],[Account Deposit Amount] ]-Table37[ [#This Row],[Account Withdrawl Amount] ], )</f>
        <v>0</v>
      </c>
      <c r="L19" s="18">
        <f>IF(Table37[[#This Row],[CODE]]=4, Table37[ [#This Row],[Account Deposit Amount] ]-Table37[ [#This Row],[Account Withdrawl Amount] ], )</f>
        <v>0</v>
      </c>
      <c r="M19" s="18">
        <f>IF(Table37[[#This Row],[CODE]]=5, Table37[ [#This Row],[Account Deposit Amount] ]-Table37[ [#This Row],[Account Withdrawl Amount] ], )</f>
        <v>0</v>
      </c>
      <c r="N19" s="18">
        <f>IF(Table37[[#This Row],[CODE]]=6, Table37[ [#This Row],[Account Deposit Amount] ]-Table37[ [#This Row],[Account Withdrawl Amount] ], )</f>
        <v>0</v>
      </c>
      <c r="O19" s="18">
        <f>IF(Table37[[#This Row],[CODE]]=11, Table37[ [#This Row],[Account Deposit Amount] ]-Table37[ [#This Row],[Account Withdrawl Amount] ], )</f>
        <v>0</v>
      </c>
      <c r="P19" s="18">
        <f>IF(Table37[[#This Row],[CODE]]=12, Table37[ [#This Row],[Account Deposit Amount] ]-Table37[ [#This Row],[Account Withdrawl Amount] ], )</f>
        <v>0</v>
      </c>
      <c r="Q19" s="18">
        <f>IF(Table37[[#This Row],[CODE]]=13, Table37[ [#This Row],[Account Deposit Amount] ]-Table37[ [#This Row],[Account Withdrawl Amount] ], )</f>
        <v>-40</v>
      </c>
      <c r="R19" s="18">
        <f>IF(Table37[[#This Row],[CODE]]=14, Table37[ [#This Row],[Account Deposit Amount] ]-Table37[ [#This Row],[Account Withdrawl Amount] ], )</f>
        <v>0</v>
      </c>
      <c r="S19" s="18">
        <f>IF(Table37[[#This Row],[CODE]]=15, Table37[ [#This Row],[Account Deposit Amount] ]-Table37[ [#This Row],[Account Withdrawl Amount] ], )</f>
        <v>0</v>
      </c>
      <c r="T19" s="18">
        <f>IF(Table37[[#This Row],[CODE]]=16, Table37[ [#This Row],[Account Deposit Amount] ]-Table37[ [#This Row],[Account Withdrawl Amount] ], )</f>
        <v>0</v>
      </c>
      <c r="U19" s="17">
        <f>IF(Table37[[#This Row],[CODE]]=17, Table37[ [#This Row],[Account Deposit Amount] ]-Table37[ [#This Row],[Account Withdrawl Amount] ], )</f>
        <v>0</v>
      </c>
      <c r="V19" s="19">
        <f>IF(Table37[[#This Row],[CODE]]=18, Table37[ [#This Row],[Account Deposit Amount] ]-Table37[ [#This Row],[Account Withdrawl Amount] ], )</f>
        <v>0</v>
      </c>
    </row>
    <row r="20" spans="1:22" ht="15" thickBot="1">
      <c r="A20" t="s">
        <v>241</v>
      </c>
      <c r="B20" s="107">
        <v>44688</v>
      </c>
      <c r="C20" s="109" t="s">
        <v>289</v>
      </c>
      <c r="D20" s="109" t="s">
        <v>290</v>
      </c>
      <c r="E20"/>
      <c r="F20">
        <v>25</v>
      </c>
      <c r="G20" s="82">
        <f t="shared" si="1"/>
        <v>23419.510000000002</v>
      </c>
      <c r="H20" s="108">
        <v>13</v>
      </c>
      <c r="I20" s="17">
        <f>IF(Table37[[#This Row],[CODE]]=1, Table37[ [#This Row],[Account Deposit Amount] ]-Table37[ [#This Row],[Account Withdrawl Amount] ], )</f>
        <v>0</v>
      </c>
      <c r="J20" s="18">
        <f>IF(Table37[[#This Row],[CODE]]=2, Table37[ [#This Row],[Account Deposit Amount] ]-Table37[ [#This Row],[Account Withdrawl Amount] ], )</f>
        <v>0</v>
      </c>
      <c r="K20" s="18">
        <f>IF(Table37[[#This Row],[CODE]]=3, Table37[ [#This Row],[Account Deposit Amount] ]-Table37[ [#This Row],[Account Withdrawl Amount] ], )</f>
        <v>0</v>
      </c>
      <c r="L20" s="18">
        <f>IF(Table37[[#This Row],[CODE]]=4, Table37[ [#This Row],[Account Deposit Amount] ]-Table37[ [#This Row],[Account Withdrawl Amount] ], )</f>
        <v>0</v>
      </c>
      <c r="M20" s="18">
        <f>IF(Table37[[#This Row],[CODE]]=5, Table37[ [#This Row],[Account Deposit Amount] ]-Table37[ [#This Row],[Account Withdrawl Amount] ], )</f>
        <v>0</v>
      </c>
      <c r="N20" s="18">
        <f>IF(Table37[[#This Row],[CODE]]=6, Table37[ [#This Row],[Account Deposit Amount] ]-Table37[ [#This Row],[Account Withdrawl Amount] ], )</f>
        <v>0</v>
      </c>
      <c r="O20" s="18">
        <f>IF(Table37[[#This Row],[CODE]]=11, Table37[ [#This Row],[Account Deposit Amount] ]-Table37[ [#This Row],[Account Withdrawl Amount] ], )</f>
        <v>0</v>
      </c>
      <c r="P20" s="18">
        <f>IF(Table37[[#This Row],[CODE]]=12, Table37[ [#This Row],[Account Deposit Amount] ]-Table37[ [#This Row],[Account Withdrawl Amount] ], )</f>
        <v>0</v>
      </c>
      <c r="Q20" s="18">
        <f>IF(Table37[[#This Row],[CODE]]=13, Table37[ [#This Row],[Account Deposit Amount] ]-Table37[ [#This Row],[Account Withdrawl Amount] ], )</f>
        <v>-25</v>
      </c>
      <c r="R20" s="18">
        <f>IF(Table37[[#This Row],[CODE]]=14, Table37[ [#This Row],[Account Deposit Amount] ]-Table37[ [#This Row],[Account Withdrawl Amount] ], )</f>
        <v>0</v>
      </c>
      <c r="S20" s="18">
        <f>IF(Table37[[#This Row],[CODE]]=15, Table37[ [#This Row],[Account Deposit Amount] ]-Table37[ [#This Row],[Account Withdrawl Amount] ], )</f>
        <v>0</v>
      </c>
      <c r="T20" s="18">
        <f>IF(Table37[[#This Row],[CODE]]=16, Table37[ [#This Row],[Account Deposit Amount] ]-Table37[ [#This Row],[Account Withdrawl Amount] ], )</f>
        <v>0</v>
      </c>
      <c r="U20" s="17">
        <f>IF(Table37[[#This Row],[CODE]]=17, Table37[ [#This Row],[Account Deposit Amount] ]-Table37[ [#This Row],[Account Withdrawl Amount] ], )</f>
        <v>0</v>
      </c>
      <c r="V20" s="19">
        <f>IF(Table37[[#This Row],[CODE]]=18, Table37[ [#This Row],[Account Deposit Amount] ]-Table37[ [#This Row],[Account Withdrawl Amount] ], )</f>
        <v>0</v>
      </c>
    </row>
    <row r="21" spans="1:22" ht="15" thickBot="1">
      <c r="A21" t="s">
        <v>241</v>
      </c>
      <c r="B21" s="107">
        <v>44688</v>
      </c>
      <c r="C21" s="109" t="s">
        <v>289</v>
      </c>
      <c r="D21" s="108" t="s">
        <v>293</v>
      </c>
      <c r="E21"/>
      <c r="F21">
        <v>15</v>
      </c>
      <c r="G21" s="82">
        <f t="shared" si="1"/>
        <v>23404.510000000002</v>
      </c>
      <c r="H21" s="108">
        <v>13</v>
      </c>
      <c r="I21" s="17">
        <f>IF(Table37[[#This Row],[CODE]]=1, Table37[ [#This Row],[Account Deposit Amount] ]-Table37[ [#This Row],[Account Withdrawl Amount] ], )</f>
        <v>0</v>
      </c>
      <c r="J21" s="18">
        <f>IF(Table37[[#This Row],[CODE]]=2, Table37[ [#This Row],[Account Deposit Amount] ]-Table37[ [#This Row],[Account Withdrawl Amount] ], )</f>
        <v>0</v>
      </c>
      <c r="K21" s="18">
        <f>IF(Table37[[#This Row],[CODE]]=3, Table37[ [#This Row],[Account Deposit Amount] ]-Table37[ [#This Row],[Account Withdrawl Amount] ], )</f>
        <v>0</v>
      </c>
      <c r="L21" s="18">
        <f>IF(Table37[[#This Row],[CODE]]=4, Table37[ [#This Row],[Account Deposit Amount] ]-Table37[ [#This Row],[Account Withdrawl Amount] ], )</f>
        <v>0</v>
      </c>
      <c r="M21" s="18">
        <f>IF(Table37[[#This Row],[CODE]]=5, Table37[ [#This Row],[Account Deposit Amount] ]-Table37[ [#This Row],[Account Withdrawl Amount] ], )</f>
        <v>0</v>
      </c>
      <c r="N21" s="18">
        <f>IF(Table37[[#This Row],[CODE]]=6, Table37[ [#This Row],[Account Deposit Amount] ]-Table37[ [#This Row],[Account Withdrawl Amount] ], )</f>
        <v>0</v>
      </c>
      <c r="O21" s="18">
        <f>IF(Table37[[#This Row],[CODE]]=11, Table37[ [#This Row],[Account Deposit Amount] ]-Table37[ [#This Row],[Account Withdrawl Amount] ], )</f>
        <v>0</v>
      </c>
      <c r="P21" s="18">
        <f>IF(Table37[[#This Row],[CODE]]=12, Table37[ [#This Row],[Account Deposit Amount] ]-Table37[ [#This Row],[Account Withdrawl Amount] ], )</f>
        <v>0</v>
      </c>
      <c r="Q21" s="18">
        <f>IF(Table37[[#This Row],[CODE]]=13, Table37[ [#This Row],[Account Deposit Amount] ]-Table37[ [#This Row],[Account Withdrawl Amount] ], )</f>
        <v>-15</v>
      </c>
      <c r="R21" s="18">
        <f>IF(Table37[[#This Row],[CODE]]=14, Table37[ [#This Row],[Account Deposit Amount] ]-Table37[ [#This Row],[Account Withdrawl Amount] ], )</f>
        <v>0</v>
      </c>
      <c r="S21" s="18">
        <f>IF(Table37[[#This Row],[CODE]]=15, Table37[ [#This Row],[Account Deposit Amount] ]-Table37[ [#This Row],[Account Withdrawl Amount] ], )</f>
        <v>0</v>
      </c>
      <c r="T21" s="18">
        <f>IF(Table37[[#This Row],[CODE]]=16, Table37[ [#This Row],[Account Deposit Amount] ]-Table37[ [#This Row],[Account Withdrawl Amount] ], )</f>
        <v>0</v>
      </c>
      <c r="U21" s="17">
        <f>IF(Table37[[#This Row],[CODE]]=17, Table37[ [#This Row],[Account Deposit Amount] ]-Table37[ [#This Row],[Account Withdrawl Amount] ], )</f>
        <v>0</v>
      </c>
      <c r="V21" s="19">
        <f>IF(Table37[[#This Row],[CODE]]=18, Table37[ [#This Row],[Account Deposit Amount] ]-Table37[ [#This Row],[Account Withdrawl Amount] ], )</f>
        <v>0</v>
      </c>
    </row>
    <row r="22" spans="1:22" ht="15" thickBot="1">
      <c r="A22" t="s">
        <v>241</v>
      </c>
      <c r="B22" s="107">
        <v>44688</v>
      </c>
      <c r="C22" s="109" t="s">
        <v>289</v>
      </c>
      <c r="D22" s="108" t="s">
        <v>294</v>
      </c>
      <c r="E22"/>
      <c r="F22">
        <v>10</v>
      </c>
      <c r="G22" s="82">
        <f t="shared" si="1"/>
        <v>23394.510000000002</v>
      </c>
      <c r="H22" s="108">
        <v>13</v>
      </c>
      <c r="I22" s="17">
        <f>IF(Table37[[#This Row],[CODE]]=1, Table37[ [#This Row],[Account Deposit Amount] ]-Table37[ [#This Row],[Account Withdrawl Amount] ], )</f>
        <v>0</v>
      </c>
      <c r="J22" s="18">
        <f>IF(Table37[[#This Row],[CODE]]=2, Table37[ [#This Row],[Account Deposit Amount] ]-Table37[ [#This Row],[Account Withdrawl Amount] ], )</f>
        <v>0</v>
      </c>
      <c r="K22" s="18">
        <f>IF(Table37[[#This Row],[CODE]]=3, Table37[ [#This Row],[Account Deposit Amount] ]-Table37[ [#This Row],[Account Withdrawl Amount] ], )</f>
        <v>0</v>
      </c>
      <c r="L22" s="18">
        <f>IF(Table37[[#This Row],[CODE]]=4, Table37[ [#This Row],[Account Deposit Amount] ]-Table37[ [#This Row],[Account Withdrawl Amount] ], )</f>
        <v>0</v>
      </c>
      <c r="M22" s="18">
        <f>IF(Table37[[#This Row],[CODE]]=5, Table37[ [#This Row],[Account Deposit Amount] ]-Table37[ [#This Row],[Account Withdrawl Amount] ], )</f>
        <v>0</v>
      </c>
      <c r="N22" s="18">
        <f>IF(Table37[[#This Row],[CODE]]=6, Table37[ [#This Row],[Account Deposit Amount] ]-Table37[ [#This Row],[Account Withdrawl Amount] ], )</f>
        <v>0</v>
      </c>
      <c r="O22" s="18">
        <f>IF(Table37[[#This Row],[CODE]]=11, Table37[ [#This Row],[Account Deposit Amount] ]-Table37[ [#This Row],[Account Withdrawl Amount] ], )</f>
        <v>0</v>
      </c>
      <c r="P22" s="18">
        <f>IF(Table37[[#This Row],[CODE]]=12, Table37[ [#This Row],[Account Deposit Amount] ]-Table37[ [#This Row],[Account Withdrawl Amount] ], )</f>
        <v>0</v>
      </c>
      <c r="Q22" s="18">
        <f>IF(Table37[[#This Row],[CODE]]=13, Table37[ [#This Row],[Account Deposit Amount] ]-Table37[ [#This Row],[Account Withdrawl Amount] ], )</f>
        <v>-10</v>
      </c>
      <c r="R22" s="18">
        <f>IF(Table37[[#This Row],[CODE]]=14, Table37[ [#This Row],[Account Deposit Amount] ]-Table37[ [#This Row],[Account Withdrawl Amount] ], )</f>
        <v>0</v>
      </c>
      <c r="S22" s="18">
        <f>IF(Table37[[#This Row],[CODE]]=15, Table37[ [#This Row],[Account Deposit Amount] ]-Table37[ [#This Row],[Account Withdrawl Amount] ], )</f>
        <v>0</v>
      </c>
      <c r="T22" s="18">
        <f>IF(Table37[[#This Row],[CODE]]=16, Table37[ [#This Row],[Account Deposit Amount] ]-Table37[ [#This Row],[Account Withdrawl Amount] ], )</f>
        <v>0</v>
      </c>
      <c r="U22" s="17">
        <f>IF(Table37[[#This Row],[CODE]]=17, Table37[ [#This Row],[Account Deposit Amount] ]-Table37[ [#This Row],[Account Withdrawl Amount] ], )</f>
        <v>0</v>
      </c>
      <c r="V22" s="19">
        <f>IF(Table37[[#This Row],[CODE]]=18, Table37[ [#This Row],[Account Deposit Amount] ]-Table37[ [#This Row],[Account Withdrawl Amount] ], )</f>
        <v>0</v>
      </c>
    </row>
    <row r="23" spans="1:22" ht="15" thickBot="1">
      <c r="A23" t="s">
        <v>241</v>
      </c>
      <c r="B23" s="107">
        <v>44688</v>
      </c>
      <c r="C23" s="109" t="s">
        <v>289</v>
      </c>
      <c r="D23" s="109" t="s">
        <v>290</v>
      </c>
      <c r="E23"/>
      <c r="F23">
        <v>25</v>
      </c>
      <c r="G23" s="82">
        <f t="shared" si="1"/>
        <v>23369.510000000002</v>
      </c>
      <c r="H23" s="108">
        <v>13</v>
      </c>
      <c r="I23" s="17">
        <f>IF(Table37[[#This Row],[CODE]]=1, Table37[ [#This Row],[Account Deposit Amount] ]-Table37[ [#This Row],[Account Withdrawl Amount] ], )</f>
        <v>0</v>
      </c>
      <c r="J23" s="18">
        <f>IF(Table37[[#This Row],[CODE]]=2, Table37[ [#This Row],[Account Deposit Amount] ]-Table37[ [#This Row],[Account Withdrawl Amount] ], )</f>
        <v>0</v>
      </c>
      <c r="K23" s="18">
        <f>IF(Table37[[#This Row],[CODE]]=3, Table37[ [#This Row],[Account Deposit Amount] ]-Table37[ [#This Row],[Account Withdrawl Amount] ], )</f>
        <v>0</v>
      </c>
      <c r="L23" s="18">
        <f>IF(Table37[[#This Row],[CODE]]=4, Table37[ [#This Row],[Account Deposit Amount] ]-Table37[ [#This Row],[Account Withdrawl Amount] ], )</f>
        <v>0</v>
      </c>
      <c r="M23" s="18">
        <f>IF(Table37[[#This Row],[CODE]]=5, Table37[ [#This Row],[Account Deposit Amount] ]-Table37[ [#This Row],[Account Withdrawl Amount] ], )</f>
        <v>0</v>
      </c>
      <c r="N23" s="18">
        <f>IF(Table37[[#This Row],[CODE]]=6, Table37[ [#This Row],[Account Deposit Amount] ]-Table37[ [#This Row],[Account Withdrawl Amount] ], )</f>
        <v>0</v>
      </c>
      <c r="O23" s="18">
        <f>IF(Table37[[#This Row],[CODE]]=11, Table37[ [#This Row],[Account Deposit Amount] ]-Table37[ [#This Row],[Account Withdrawl Amount] ], )</f>
        <v>0</v>
      </c>
      <c r="P23" s="18">
        <f>IF(Table37[[#This Row],[CODE]]=12, Table37[ [#This Row],[Account Deposit Amount] ]-Table37[ [#This Row],[Account Withdrawl Amount] ], )</f>
        <v>0</v>
      </c>
      <c r="Q23" s="18">
        <f>IF(Table37[[#This Row],[CODE]]=13, Table37[ [#This Row],[Account Deposit Amount] ]-Table37[ [#This Row],[Account Withdrawl Amount] ], )</f>
        <v>-25</v>
      </c>
      <c r="R23" s="18">
        <f>IF(Table37[[#This Row],[CODE]]=14, Table37[ [#This Row],[Account Deposit Amount] ]-Table37[ [#This Row],[Account Withdrawl Amount] ], )</f>
        <v>0</v>
      </c>
      <c r="S23" s="18">
        <f>IF(Table37[[#This Row],[CODE]]=15, Table37[ [#This Row],[Account Deposit Amount] ]-Table37[ [#This Row],[Account Withdrawl Amount] ], )</f>
        <v>0</v>
      </c>
      <c r="T23" s="18">
        <f>IF(Table37[[#This Row],[CODE]]=16, Table37[ [#This Row],[Account Deposit Amount] ]-Table37[ [#This Row],[Account Withdrawl Amount] ], )</f>
        <v>0</v>
      </c>
      <c r="U23" s="17">
        <f>IF(Table37[[#This Row],[CODE]]=17, Table37[ [#This Row],[Account Deposit Amount] ]-Table37[ [#This Row],[Account Withdrawl Amount] ], )</f>
        <v>0</v>
      </c>
      <c r="V23" s="19">
        <f>IF(Table37[[#This Row],[CODE]]=18, Table37[ [#This Row],[Account Deposit Amount] ]-Table37[ [#This Row],[Account Withdrawl Amount] ], )</f>
        <v>0</v>
      </c>
    </row>
    <row r="24" spans="1:22" ht="15" thickBot="1">
      <c r="A24" t="s">
        <v>241</v>
      </c>
      <c r="B24" s="107">
        <v>44688</v>
      </c>
      <c r="C24" s="109" t="s">
        <v>289</v>
      </c>
      <c r="D24" s="108" t="s">
        <v>295</v>
      </c>
      <c r="E24"/>
      <c r="F24">
        <v>15</v>
      </c>
      <c r="G24" s="82">
        <f t="shared" si="1"/>
        <v>23354.510000000002</v>
      </c>
      <c r="H24" s="108">
        <v>13</v>
      </c>
      <c r="I24" s="17">
        <f>IF(Table37[[#This Row],[CODE]]=1, Table37[ [#This Row],[Account Deposit Amount] ]-Table37[ [#This Row],[Account Withdrawl Amount] ], )</f>
        <v>0</v>
      </c>
      <c r="J24" s="18">
        <f>IF(Table37[[#This Row],[CODE]]=2, Table37[ [#This Row],[Account Deposit Amount] ]-Table37[ [#This Row],[Account Withdrawl Amount] ], )</f>
        <v>0</v>
      </c>
      <c r="K24" s="18">
        <f>IF(Table37[[#This Row],[CODE]]=3, Table37[ [#This Row],[Account Deposit Amount] ]-Table37[ [#This Row],[Account Withdrawl Amount] ], )</f>
        <v>0</v>
      </c>
      <c r="L24" s="18">
        <f>IF(Table37[[#This Row],[CODE]]=4, Table37[ [#This Row],[Account Deposit Amount] ]-Table37[ [#This Row],[Account Withdrawl Amount] ], )</f>
        <v>0</v>
      </c>
      <c r="M24" s="18">
        <f>IF(Table37[[#This Row],[CODE]]=5, Table37[ [#This Row],[Account Deposit Amount] ]-Table37[ [#This Row],[Account Withdrawl Amount] ], )</f>
        <v>0</v>
      </c>
      <c r="N24" s="18">
        <f>IF(Table37[[#This Row],[CODE]]=6, Table37[ [#This Row],[Account Deposit Amount] ]-Table37[ [#This Row],[Account Withdrawl Amount] ], )</f>
        <v>0</v>
      </c>
      <c r="O24" s="18">
        <f>IF(Table37[[#This Row],[CODE]]=11, Table37[ [#This Row],[Account Deposit Amount] ]-Table37[ [#This Row],[Account Withdrawl Amount] ], )</f>
        <v>0</v>
      </c>
      <c r="P24" s="18">
        <f>IF(Table37[[#This Row],[CODE]]=12, Table37[ [#This Row],[Account Deposit Amount] ]-Table37[ [#This Row],[Account Withdrawl Amount] ], )</f>
        <v>0</v>
      </c>
      <c r="Q24" s="18">
        <f>IF(Table37[[#This Row],[CODE]]=13, Table37[ [#This Row],[Account Deposit Amount] ]-Table37[ [#This Row],[Account Withdrawl Amount] ], )</f>
        <v>-15</v>
      </c>
      <c r="R24" s="18">
        <f>IF(Table37[[#This Row],[CODE]]=14, Table37[ [#This Row],[Account Deposit Amount] ]-Table37[ [#This Row],[Account Withdrawl Amount] ], )</f>
        <v>0</v>
      </c>
      <c r="S24" s="18">
        <f>IF(Table37[[#This Row],[CODE]]=15, Table37[ [#This Row],[Account Deposit Amount] ]-Table37[ [#This Row],[Account Withdrawl Amount] ], )</f>
        <v>0</v>
      </c>
      <c r="T24" s="18">
        <f>IF(Table37[[#This Row],[CODE]]=16, Table37[ [#This Row],[Account Deposit Amount] ]-Table37[ [#This Row],[Account Withdrawl Amount] ], )</f>
        <v>0</v>
      </c>
      <c r="U24" s="17">
        <f>IF(Table37[[#This Row],[CODE]]=17, Table37[ [#This Row],[Account Deposit Amount] ]-Table37[ [#This Row],[Account Withdrawl Amount] ], )</f>
        <v>0</v>
      </c>
      <c r="V24" s="19">
        <f>IF(Table37[[#This Row],[CODE]]=18, Table37[ [#This Row],[Account Deposit Amount] ]-Table37[ [#This Row],[Account Withdrawl Amount] ], )</f>
        <v>0</v>
      </c>
    </row>
    <row r="25" spans="1:22" ht="15" thickBot="1">
      <c r="A25" t="s">
        <v>241</v>
      </c>
      <c r="B25" s="107">
        <v>44688</v>
      </c>
      <c r="C25" s="109" t="s">
        <v>289</v>
      </c>
      <c r="D25" s="108" t="s">
        <v>295</v>
      </c>
      <c r="E25"/>
      <c r="F25">
        <v>15</v>
      </c>
      <c r="G25" s="82">
        <f t="shared" si="1"/>
        <v>23339.510000000002</v>
      </c>
      <c r="H25" s="108">
        <v>13</v>
      </c>
      <c r="I25" s="17">
        <f>IF(Table37[[#This Row],[CODE]]=1, Table37[ [#This Row],[Account Deposit Amount] ]-Table37[ [#This Row],[Account Withdrawl Amount] ], )</f>
        <v>0</v>
      </c>
      <c r="J25" s="18">
        <f>IF(Table37[[#This Row],[CODE]]=2, Table37[ [#This Row],[Account Deposit Amount] ]-Table37[ [#This Row],[Account Withdrawl Amount] ], )</f>
        <v>0</v>
      </c>
      <c r="K25" s="18">
        <f>IF(Table37[[#This Row],[CODE]]=3, Table37[ [#This Row],[Account Deposit Amount] ]-Table37[ [#This Row],[Account Withdrawl Amount] ], )</f>
        <v>0</v>
      </c>
      <c r="L25" s="18">
        <f>IF(Table37[[#This Row],[CODE]]=4, Table37[ [#This Row],[Account Deposit Amount] ]-Table37[ [#This Row],[Account Withdrawl Amount] ], )</f>
        <v>0</v>
      </c>
      <c r="M25" s="18">
        <f>IF(Table37[[#This Row],[CODE]]=5, Table37[ [#This Row],[Account Deposit Amount] ]-Table37[ [#This Row],[Account Withdrawl Amount] ], )</f>
        <v>0</v>
      </c>
      <c r="N25" s="18">
        <f>IF(Table37[[#This Row],[CODE]]=6, Table37[ [#This Row],[Account Deposit Amount] ]-Table37[ [#This Row],[Account Withdrawl Amount] ], )</f>
        <v>0</v>
      </c>
      <c r="O25" s="18">
        <f>IF(Table37[[#This Row],[CODE]]=11, Table37[ [#This Row],[Account Deposit Amount] ]-Table37[ [#This Row],[Account Withdrawl Amount] ], )</f>
        <v>0</v>
      </c>
      <c r="P25" s="18">
        <f>IF(Table37[[#This Row],[CODE]]=12, Table37[ [#This Row],[Account Deposit Amount] ]-Table37[ [#This Row],[Account Withdrawl Amount] ], )</f>
        <v>0</v>
      </c>
      <c r="Q25" s="18">
        <f>IF(Table37[[#This Row],[CODE]]=13, Table37[ [#This Row],[Account Deposit Amount] ]-Table37[ [#This Row],[Account Withdrawl Amount] ], )</f>
        <v>-15</v>
      </c>
      <c r="R25" s="18">
        <f>IF(Table37[[#This Row],[CODE]]=14, Table37[ [#This Row],[Account Deposit Amount] ]-Table37[ [#This Row],[Account Withdrawl Amount] ], )</f>
        <v>0</v>
      </c>
      <c r="S25" s="18">
        <f>IF(Table37[[#This Row],[CODE]]=15, Table37[ [#This Row],[Account Deposit Amount] ]-Table37[ [#This Row],[Account Withdrawl Amount] ], )</f>
        <v>0</v>
      </c>
      <c r="T25" s="18">
        <f>IF(Table37[[#This Row],[CODE]]=16, Table37[ [#This Row],[Account Deposit Amount] ]-Table37[ [#This Row],[Account Withdrawl Amount] ], )</f>
        <v>0</v>
      </c>
      <c r="U25" s="17">
        <f>IF(Table37[[#This Row],[CODE]]=17, Table37[ [#This Row],[Account Deposit Amount] ]-Table37[ [#This Row],[Account Withdrawl Amount] ], )</f>
        <v>0</v>
      </c>
      <c r="V25" s="19">
        <f>IF(Table37[[#This Row],[CODE]]=18, Table37[ [#This Row],[Account Deposit Amount] ]-Table37[ [#This Row],[Account Withdrawl Amount] ], )</f>
        <v>0</v>
      </c>
    </row>
    <row r="26" spans="1:22" ht="15" thickBot="1">
      <c r="A26" t="s">
        <v>241</v>
      </c>
      <c r="B26" s="107">
        <v>44690</v>
      </c>
      <c r="C26" s="109" t="s">
        <v>289</v>
      </c>
      <c r="D26" s="108" t="s">
        <v>292</v>
      </c>
      <c r="E26"/>
      <c r="F26">
        <v>35</v>
      </c>
      <c r="G26" s="82">
        <f t="shared" si="1"/>
        <v>23304.510000000002</v>
      </c>
      <c r="H26" s="108">
        <v>13</v>
      </c>
      <c r="I26" s="17">
        <f>IF(Table37[[#This Row],[CODE]]=1, Table37[ [#This Row],[Account Deposit Amount] ]-Table37[ [#This Row],[Account Withdrawl Amount] ], )</f>
        <v>0</v>
      </c>
      <c r="J26" s="18">
        <f>IF(Table37[[#This Row],[CODE]]=2, Table37[ [#This Row],[Account Deposit Amount] ]-Table37[ [#This Row],[Account Withdrawl Amount] ], )</f>
        <v>0</v>
      </c>
      <c r="K26" s="18">
        <f>IF(Table37[[#This Row],[CODE]]=3, Table37[ [#This Row],[Account Deposit Amount] ]-Table37[ [#This Row],[Account Withdrawl Amount] ], )</f>
        <v>0</v>
      </c>
      <c r="L26" s="18">
        <f>IF(Table37[[#This Row],[CODE]]=4, Table37[ [#This Row],[Account Deposit Amount] ]-Table37[ [#This Row],[Account Withdrawl Amount] ], )</f>
        <v>0</v>
      </c>
      <c r="M26" s="18">
        <f>IF(Table37[[#This Row],[CODE]]=5, Table37[ [#This Row],[Account Deposit Amount] ]-Table37[ [#This Row],[Account Withdrawl Amount] ], )</f>
        <v>0</v>
      </c>
      <c r="N26" s="18">
        <f>IF(Table37[[#This Row],[CODE]]=6, Table37[ [#This Row],[Account Deposit Amount] ]-Table37[ [#This Row],[Account Withdrawl Amount] ], )</f>
        <v>0</v>
      </c>
      <c r="O26" s="18">
        <f>IF(Table37[[#This Row],[CODE]]=11, Table37[ [#This Row],[Account Deposit Amount] ]-Table37[ [#This Row],[Account Withdrawl Amount] ], )</f>
        <v>0</v>
      </c>
      <c r="P26" s="18">
        <f>IF(Table37[[#This Row],[CODE]]=12, Table37[ [#This Row],[Account Deposit Amount] ]-Table37[ [#This Row],[Account Withdrawl Amount] ], )</f>
        <v>0</v>
      </c>
      <c r="Q26" s="18">
        <f>IF(Table37[[#This Row],[CODE]]=13, Table37[ [#This Row],[Account Deposit Amount] ]-Table37[ [#This Row],[Account Withdrawl Amount] ], )</f>
        <v>-35</v>
      </c>
      <c r="R26" s="18">
        <f>IF(Table37[[#This Row],[CODE]]=14, Table37[ [#This Row],[Account Deposit Amount] ]-Table37[ [#This Row],[Account Withdrawl Amount] ], )</f>
        <v>0</v>
      </c>
      <c r="S26" s="18">
        <f>IF(Table37[[#This Row],[CODE]]=15, Table37[ [#This Row],[Account Deposit Amount] ]-Table37[ [#This Row],[Account Withdrawl Amount] ], )</f>
        <v>0</v>
      </c>
      <c r="T26" s="18">
        <f>IF(Table37[[#This Row],[CODE]]=16, Table37[ [#This Row],[Account Deposit Amount] ]-Table37[ [#This Row],[Account Withdrawl Amount] ], )</f>
        <v>0</v>
      </c>
      <c r="U26" s="17">
        <f>IF(Table37[[#This Row],[CODE]]=17, Table37[ [#This Row],[Account Deposit Amount] ]-Table37[ [#This Row],[Account Withdrawl Amount] ], )</f>
        <v>0</v>
      </c>
      <c r="V26" s="19">
        <f>IF(Table37[[#This Row],[CODE]]=18, Table37[ [#This Row],[Account Deposit Amount] ]-Table37[ [#This Row],[Account Withdrawl Amount] ], )</f>
        <v>0</v>
      </c>
    </row>
    <row r="27" spans="1:22" ht="15" thickBot="1">
      <c r="A27" t="s">
        <v>241</v>
      </c>
      <c r="B27" s="107">
        <v>44690</v>
      </c>
      <c r="C27" s="109" t="s">
        <v>289</v>
      </c>
      <c r="D27" s="108" t="s">
        <v>291</v>
      </c>
      <c r="E27"/>
      <c r="F27">
        <v>40</v>
      </c>
      <c r="G27" s="82">
        <f t="shared" si="1"/>
        <v>23264.510000000002</v>
      </c>
      <c r="H27" s="108">
        <v>13</v>
      </c>
      <c r="I27" s="17">
        <f>IF(Table37[[#This Row],[CODE]]=1, Table37[ [#This Row],[Account Deposit Amount] ]-Table37[ [#This Row],[Account Withdrawl Amount] ], )</f>
        <v>0</v>
      </c>
      <c r="J27" s="18">
        <f>IF(Table37[[#This Row],[CODE]]=2, Table37[ [#This Row],[Account Deposit Amount] ]-Table37[ [#This Row],[Account Withdrawl Amount] ], )</f>
        <v>0</v>
      </c>
      <c r="K27" s="18">
        <f>IF(Table37[[#This Row],[CODE]]=3, Table37[ [#This Row],[Account Deposit Amount] ]-Table37[ [#This Row],[Account Withdrawl Amount] ], )</f>
        <v>0</v>
      </c>
      <c r="L27" s="18">
        <f>IF(Table37[[#This Row],[CODE]]=4, Table37[ [#This Row],[Account Deposit Amount] ]-Table37[ [#This Row],[Account Withdrawl Amount] ], )</f>
        <v>0</v>
      </c>
      <c r="M27" s="18">
        <f>IF(Table37[[#This Row],[CODE]]=5, Table37[ [#This Row],[Account Deposit Amount] ]-Table37[ [#This Row],[Account Withdrawl Amount] ], )</f>
        <v>0</v>
      </c>
      <c r="N27" s="18">
        <f>IF(Table37[[#This Row],[CODE]]=6, Table37[ [#This Row],[Account Deposit Amount] ]-Table37[ [#This Row],[Account Withdrawl Amount] ], )</f>
        <v>0</v>
      </c>
      <c r="O27" s="18">
        <f>IF(Table37[[#This Row],[CODE]]=11, Table37[ [#This Row],[Account Deposit Amount] ]-Table37[ [#This Row],[Account Withdrawl Amount] ], )</f>
        <v>0</v>
      </c>
      <c r="P27" s="18">
        <f>IF(Table37[[#This Row],[CODE]]=12, Table37[ [#This Row],[Account Deposit Amount] ]-Table37[ [#This Row],[Account Withdrawl Amount] ], )</f>
        <v>0</v>
      </c>
      <c r="Q27" s="18">
        <f>IF(Table37[[#This Row],[CODE]]=13, Table37[ [#This Row],[Account Deposit Amount] ]-Table37[ [#This Row],[Account Withdrawl Amount] ], )</f>
        <v>-40</v>
      </c>
      <c r="R27" s="18">
        <f>IF(Table37[[#This Row],[CODE]]=14, Table37[ [#This Row],[Account Deposit Amount] ]-Table37[ [#This Row],[Account Withdrawl Amount] ], )</f>
        <v>0</v>
      </c>
      <c r="S27" s="18">
        <f>IF(Table37[[#This Row],[CODE]]=15, Table37[ [#This Row],[Account Deposit Amount] ]-Table37[ [#This Row],[Account Withdrawl Amount] ], )</f>
        <v>0</v>
      </c>
      <c r="T27" s="18">
        <f>IF(Table37[[#This Row],[CODE]]=16, Table37[ [#This Row],[Account Deposit Amount] ]-Table37[ [#This Row],[Account Withdrawl Amount] ], )</f>
        <v>0</v>
      </c>
      <c r="U27" s="17">
        <f>IF(Table37[[#This Row],[CODE]]=17, Table37[ [#This Row],[Account Deposit Amount] ]-Table37[ [#This Row],[Account Withdrawl Amount] ], )</f>
        <v>0</v>
      </c>
      <c r="V27" s="19">
        <f>IF(Table37[[#This Row],[CODE]]=18, Table37[ [#This Row],[Account Deposit Amount] ]-Table37[ [#This Row],[Account Withdrawl Amount] ], )</f>
        <v>0</v>
      </c>
    </row>
    <row r="28" spans="1:22" ht="15" thickBot="1">
      <c r="A28" t="s">
        <v>241</v>
      </c>
      <c r="B28" s="107">
        <v>44690</v>
      </c>
      <c r="C28" s="109" t="s">
        <v>289</v>
      </c>
      <c r="D28" s="108" t="s">
        <v>295</v>
      </c>
      <c r="E28"/>
      <c r="F28">
        <v>20</v>
      </c>
      <c r="G28" s="82">
        <f t="shared" si="1"/>
        <v>23244.510000000002</v>
      </c>
      <c r="H28" s="108">
        <v>13</v>
      </c>
      <c r="I28" s="17">
        <f>IF(Table37[[#This Row],[CODE]]=1, Table37[ [#This Row],[Account Deposit Amount] ]-Table37[ [#This Row],[Account Withdrawl Amount] ], )</f>
        <v>0</v>
      </c>
      <c r="J28" s="18">
        <f>IF(Table37[[#This Row],[CODE]]=2, Table37[ [#This Row],[Account Deposit Amount] ]-Table37[ [#This Row],[Account Withdrawl Amount] ], )</f>
        <v>0</v>
      </c>
      <c r="K28" s="18">
        <f>IF(Table37[[#This Row],[CODE]]=3, Table37[ [#This Row],[Account Deposit Amount] ]-Table37[ [#This Row],[Account Withdrawl Amount] ], )</f>
        <v>0</v>
      </c>
      <c r="L28" s="18">
        <f>IF(Table37[[#This Row],[CODE]]=4, Table37[ [#This Row],[Account Deposit Amount] ]-Table37[ [#This Row],[Account Withdrawl Amount] ], )</f>
        <v>0</v>
      </c>
      <c r="M28" s="18">
        <f>IF(Table37[[#This Row],[CODE]]=5, Table37[ [#This Row],[Account Deposit Amount] ]-Table37[ [#This Row],[Account Withdrawl Amount] ], )</f>
        <v>0</v>
      </c>
      <c r="N28" s="18">
        <f>IF(Table37[[#This Row],[CODE]]=6, Table37[ [#This Row],[Account Deposit Amount] ]-Table37[ [#This Row],[Account Withdrawl Amount] ], )</f>
        <v>0</v>
      </c>
      <c r="O28" s="18">
        <f>IF(Table37[[#This Row],[CODE]]=11, Table37[ [#This Row],[Account Deposit Amount] ]-Table37[ [#This Row],[Account Withdrawl Amount] ], )</f>
        <v>0</v>
      </c>
      <c r="P28" s="18">
        <f>IF(Table37[[#This Row],[CODE]]=12, Table37[ [#This Row],[Account Deposit Amount] ]-Table37[ [#This Row],[Account Withdrawl Amount] ], )</f>
        <v>0</v>
      </c>
      <c r="Q28" s="18">
        <f>IF(Table37[[#This Row],[CODE]]=13, Table37[ [#This Row],[Account Deposit Amount] ]-Table37[ [#This Row],[Account Withdrawl Amount] ], )</f>
        <v>-20</v>
      </c>
      <c r="R28" s="18">
        <f>IF(Table37[[#This Row],[CODE]]=14, Table37[ [#This Row],[Account Deposit Amount] ]-Table37[ [#This Row],[Account Withdrawl Amount] ], )</f>
        <v>0</v>
      </c>
      <c r="S28" s="18">
        <f>IF(Table37[[#This Row],[CODE]]=15, Table37[ [#This Row],[Account Deposit Amount] ]-Table37[ [#This Row],[Account Withdrawl Amount] ], )</f>
        <v>0</v>
      </c>
      <c r="T28" s="18">
        <f>IF(Table37[[#This Row],[CODE]]=16, Table37[ [#This Row],[Account Deposit Amount] ]-Table37[ [#This Row],[Account Withdrawl Amount] ], )</f>
        <v>0</v>
      </c>
      <c r="U28" s="17">
        <f>IF(Table37[[#This Row],[CODE]]=17, Table37[ [#This Row],[Account Deposit Amount] ]-Table37[ [#This Row],[Account Withdrawl Amount] ], )</f>
        <v>0</v>
      </c>
      <c r="V28" s="19">
        <f>IF(Table37[[#This Row],[CODE]]=18, Table37[ [#This Row],[Account Deposit Amount] ]-Table37[ [#This Row],[Account Withdrawl Amount] ], )</f>
        <v>0</v>
      </c>
    </row>
    <row r="29" spans="1:22" ht="15" thickBot="1">
      <c r="A29" t="s">
        <v>241</v>
      </c>
      <c r="B29" s="107">
        <v>44690</v>
      </c>
      <c r="C29" s="108" t="s">
        <v>289</v>
      </c>
      <c r="D29" s="108" t="s">
        <v>294</v>
      </c>
      <c r="E29"/>
      <c r="F29">
        <v>10</v>
      </c>
      <c r="G29" s="82">
        <f t="shared" si="1"/>
        <v>23234.510000000002</v>
      </c>
      <c r="H29" s="108">
        <v>13</v>
      </c>
      <c r="I29" s="17">
        <f>IF(Table37[[#This Row],[CODE]]=1, Table37[ [#This Row],[Account Deposit Amount] ]-Table37[ [#This Row],[Account Withdrawl Amount] ], )</f>
        <v>0</v>
      </c>
      <c r="J29" s="18">
        <f>IF(Table37[[#This Row],[CODE]]=2, Table37[ [#This Row],[Account Deposit Amount] ]-Table37[ [#This Row],[Account Withdrawl Amount] ], )</f>
        <v>0</v>
      </c>
      <c r="K29" s="18">
        <f>IF(Table37[[#This Row],[CODE]]=3, Table37[ [#This Row],[Account Deposit Amount] ]-Table37[ [#This Row],[Account Withdrawl Amount] ], )</f>
        <v>0</v>
      </c>
      <c r="L29" s="18">
        <f>IF(Table37[[#This Row],[CODE]]=4, Table37[ [#This Row],[Account Deposit Amount] ]-Table37[ [#This Row],[Account Withdrawl Amount] ], )</f>
        <v>0</v>
      </c>
      <c r="M29" s="18">
        <f>IF(Table37[[#This Row],[CODE]]=5, Table37[ [#This Row],[Account Deposit Amount] ]-Table37[ [#This Row],[Account Withdrawl Amount] ], )</f>
        <v>0</v>
      </c>
      <c r="N29" s="18">
        <f>IF(Table37[[#This Row],[CODE]]=6, Table37[ [#This Row],[Account Deposit Amount] ]-Table37[ [#This Row],[Account Withdrawl Amount] ], )</f>
        <v>0</v>
      </c>
      <c r="O29" s="18">
        <f>IF(Table37[[#This Row],[CODE]]=11, Table37[ [#This Row],[Account Deposit Amount] ]-Table37[ [#This Row],[Account Withdrawl Amount] ], )</f>
        <v>0</v>
      </c>
      <c r="P29" s="18">
        <f>IF(Table37[[#This Row],[CODE]]=12, Table37[ [#This Row],[Account Deposit Amount] ]-Table37[ [#This Row],[Account Withdrawl Amount] ], )</f>
        <v>0</v>
      </c>
      <c r="Q29" s="18">
        <f>IF(Table37[[#This Row],[CODE]]=13, Table37[ [#This Row],[Account Deposit Amount] ]-Table37[ [#This Row],[Account Withdrawl Amount] ], )</f>
        <v>-10</v>
      </c>
      <c r="R29" s="18">
        <f>IF(Table37[[#This Row],[CODE]]=14, Table37[ [#This Row],[Account Deposit Amount] ]-Table37[ [#This Row],[Account Withdrawl Amount] ], )</f>
        <v>0</v>
      </c>
      <c r="S29" s="18">
        <f>IF(Table37[[#This Row],[CODE]]=15, Table37[ [#This Row],[Account Deposit Amount] ]-Table37[ [#This Row],[Account Withdrawl Amount] ], )</f>
        <v>0</v>
      </c>
      <c r="T29" s="18">
        <f>IF(Table37[[#This Row],[CODE]]=16, Table37[ [#This Row],[Account Deposit Amount] ]-Table37[ [#This Row],[Account Withdrawl Amount] ], )</f>
        <v>0</v>
      </c>
      <c r="U29" s="17">
        <f>IF(Table37[[#This Row],[CODE]]=17, Table37[ [#This Row],[Account Deposit Amount] ]-Table37[ [#This Row],[Account Withdrawl Amount] ], )</f>
        <v>0</v>
      </c>
      <c r="V29" s="19">
        <f>IF(Table37[[#This Row],[CODE]]=18, Table37[ [#This Row],[Account Deposit Amount] ]-Table37[ [#This Row],[Account Withdrawl Amount] ], )</f>
        <v>0</v>
      </c>
    </row>
    <row r="30" spans="1:22" ht="15" thickBot="1">
      <c r="A30" t="s">
        <v>241</v>
      </c>
      <c r="B30" s="107">
        <v>44690</v>
      </c>
      <c r="C30" s="108" t="s">
        <v>296</v>
      </c>
      <c r="D30" s="108" t="s">
        <v>297</v>
      </c>
      <c r="E30"/>
      <c r="F30">
        <v>180</v>
      </c>
      <c r="G30" s="82">
        <f t="shared" si="1"/>
        <v>23054.510000000002</v>
      </c>
      <c r="H30" s="108">
        <v>13</v>
      </c>
      <c r="I30" s="17">
        <f>IF(Table37[[#This Row],[CODE]]=1, Table37[ [#This Row],[Account Deposit Amount] ]-Table37[ [#This Row],[Account Withdrawl Amount] ], )</f>
        <v>0</v>
      </c>
      <c r="J30" s="18">
        <f>IF(Table37[[#This Row],[CODE]]=2, Table37[ [#This Row],[Account Deposit Amount] ]-Table37[ [#This Row],[Account Withdrawl Amount] ], )</f>
        <v>0</v>
      </c>
      <c r="K30" s="18">
        <f>IF(Table37[[#This Row],[CODE]]=3, Table37[ [#This Row],[Account Deposit Amount] ]-Table37[ [#This Row],[Account Withdrawl Amount] ], )</f>
        <v>0</v>
      </c>
      <c r="L30" s="18">
        <f>IF(Table37[[#This Row],[CODE]]=4, Table37[ [#This Row],[Account Deposit Amount] ]-Table37[ [#This Row],[Account Withdrawl Amount] ], )</f>
        <v>0</v>
      </c>
      <c r="M30" s="18">
        <f>IF(Table37[[#This Row],[CODE]]=5, Table37[ [#This Row],[Account Deposit Amount] ]-Table37[ [#This Row],[Account Withdrawl Amount] ], )</f>
        <v>0</v>
      </c>
      <c r="N30" s="18">
        <f>IF(Table37[[#This Row],[CODE]]=6, Table37[ [#This Row],[Account Deposit Amount] ]-Table37[ [#This Row],[Account Withdrawl Amount] ], )</f>
        <v>0</v>
      </c>
      <c r="O30" s="18">
        <f>IF(Table37[[#This Row],[CODE]]=11, Table37[ [#This Row],[Account Deposit Amount] ]-Table37[ [#This Row],[Account Withdrawl Amount] ], )</f>
        <v>0</v>
      </c>
      <c r="P30" s="18">
        <f>IF(Table37[[#This Row],[CODE]]=12, Table37[ [#This Row],[Account Deposit Amount] ]-Table37[ [#This Row],[Account Withdrawl Amount] ], )</f>
        <v>0</v>
      </c>
      <c r="Q30" s="18">
        <f>IF(Table37[[#This Row],[CODE]]=13, Table37[ [#This Row],[Account Deposit Amount] ]-Table37[ [#This Row],[Account Withdrawl Amount] ], )</f>
        <v>-180</v>
      </c>
      <c r="R30" s="18">
        <f>IF(Table37[[#This Row],[CODE]]=14, Table37[ [#This Row],[Account Deposit Amount] ]-Table37[ [#This Row],[Account Withdrawl Amount] ], )</f>
        <v>0</v>
      </c>
      <c r="S30" s="18">
        <f>IF(Table37[[#This Row],[CODE]]=15, Table37[ [#This Row],[Account Deposit Amount] ]-Table37[ [#This Row],[Account Withdrawl Amount] ], )</f>
        <v>0</v>
      </c>
      <c r="T30" s="18">
        <f>IF(Table37[[#This Row],[CODE]]=16, Table37[ [#This Row],[Account Deposit Amount] ]-Table37[ [#This Row],[Account Withdrawl Amount] ], )</f>
        <v>0</v>
      </c>
      <c r="U30" s="17">
        <f>IF(Table37[[#This Row],[CODE]]=17, Table37[ [#This Row],[Account Deposit Amount] ]-Table37[ [#This Row],[Account Withdrawl Amount] ], )</f>
        <v>0</v>
      </c>
      <c r="V30" s="19">
        <f>IF(Table37[[#This Row],[CODE]]=18, Table37[ [#This Row],[Account Deposit Amount] ]-Table37[ [#This Row],[Account Withdrawl Amount] ], )</f>
        <v>0</v>
      </c>
    </row>
    <row r="31" spans="1:22" ht="15" thickBot="1">
      <c r="A31" t="s">
        <v>298</v>
      </c>
      <c r="B31" s="107">
        <v>44698</v>
      </c>
      <c r="C31" s="108" t="s">
        <v>299</v>
      </c>
      <c r="D31" s="110"/>
      <c r="E31"/>
      <c r="F31">
        <v>140</v>
      </c>
      <c r="G31" s="82">
        <f t="shared" si="1"/>
        <v>22914.510000000002</v>
      </c>
      <c r="H31" s="108">
        <v>13</v>
      </c>
      <c r="I31" s="17">
        <f>IF(Table37[[#This Row],[CODE]]=1, Table37[ [#This Row],[Account Deposit Amount] ]-Table37[ [#This Row],[Account Withdrawl Amount] ], )</f>
        <v>0</v>
      </c>
      <c r="J31" s="18">
        <f>IF(Table37[[#This Row],[CODE]]=2, Table37[ [#This Row],[Account Deposit Amount] ]-Table37[ [#This Row],[Account Withdrawl Amount] ], )</f>
        <v>0</v>
      </c>
      <c r="K31" s="18">
        <f>IF(Table37[[#This Row],[CODE]]=3, Table37[ [#This Row],[Account Deposit Amount] ]-Table37[ [#This Row],[Account Withdrawl Amount] ], )</f>
        <v>0</v>
      </c>
      <c r="L31" s="18">
        <f>IF(Table37[[#This Row],[CODE]]=4, Table37[ [#This Row],[Account Deposit Amount] ]-Table37[ [#This Row],[Account Withdrawl Amount] ], )</f>
        <v>0</v>
      </c>
      <c r="M31" s="18">
        <f>IF(Table37[[#This Row],[CODE]]=5, Table37[ [#This Row],[Account Deposit Amount] ]-Table37[ [#This Row],[Account Withdrawl Amount] ], )</f>
        <v>0</v>
      </c>
      <c r="N31" s="18">
        <f>IF(Table37[[#This Row],[CODE]]=6, Table37[ [#This Row],[Account Deposit Amount] ]-Table37[ [#This Row],[Account Withdrawl Amount] ], )</f>
        <v>0</v>
      </c>
      <c r="O31" s="18">
        <f>IF(Table37[[#This Row],[CODE]]=11, Table37[ [#This Row],[Account Deposit Amount] ]-Table37[ [#This Row],[Account Withdrawl Amount] ], )</f>
        <v>0</v>
      </c>
      <c r="P31" s="18">
        <f>IF(Table37[[#This Row],[CODE]]=12, Table37[ [#This Row],[Account Deposit Amount] ]-Table37[ [#This Row],[Account Withdrawl Amount] ], )</f>
        <v>0</v>
      </c>
      <c r="Q31" s="18">
        <f>IF(Table37[[#This Row],[CODE]]=13, Table37[ [#This Row],[Account Deposit Amount] ]-Table37[ [#This Row],[Account Withdrawl Amount] ], )</f>
        <v>-140</v>
      </c>
      <c r="R31" s="18">
        <f>IF(Table37[[#This Row],[CODE]]=14, Table37[ [#This Row],[Account Deposit Amount] ]-Table37[ [#This Row],[Account Withdrawl Amount] ], )</f>
        <v>0</v>
      </c>
      <c r="S31" s="18">
        <f>IF(Table37[[#This Row],[CODE]]=15, Table37[ [#This Row],[Account Deposit Amount] ]-Table37[ [#This Row],[Account Withdrawl Amount] ], )</f>
        <v>0</v>
      </c>
      <c r="T31" s="18">
        <f>IF(Table37[[#This Row],[CODE]]=16, Table37[ [#This Row],[Account Deposit Amount] ]-Table37[ [#This Row],[Account Withdrawl Amount] ], )</f>
        <v>0</v>
      </c>
      <c r="U31" s="17">
        <f>IF(Table37[[#This Row],[CODE]]=17, Table37[ [#This Row],[Account Deposit Amount] ]-Table37[ [#This Row],[Account Withdrawl Amount] ], )</f>
        <v>0</v>
      </c>
      <c r="V31" s="19">
        <f>IF(Table37[[#This Row],[CODE]]=18, Table37[ [#This Row],[Account Deposit Amount] ]-Table37[ [#This Row],[Account Withdrawl Amount] ], )</f>
        <v>0</v>
      </c>
    </row>
    <row r="32" spans="1:22" ht="15" thickBot="1">
      <c r="A32" t="s">
        <v>300</v>
      </c>
      <c r="B32" s="107">
        <v>44698</v>
      </c>
      <c r="C32" s="108" t="s">
        <v>201</v>
      </c>
      <c r="D32" s="108" t="s">
        <v>286</v>
      </c>
      <c r="E32">
        <v>46.64</v>
      </c>
      <c r="F32"/>
      <c r="G32" s="82">
        <f t="shared" si="1"/>
        <v>22961.15</v>
      </c>
      <c r="H32" s="108">
        <v>6</v>
      </c>
      <c r="I32" s="17">
        <f>IF(Table37[[#This Row],[CODE]]=1, Table37[ [#This Row],[Account Deposit Amount] ]-Table37[ [#This Row],[Account Withdrawl Amount] ], )</f>
        <v>0</v>
      </c>
      <c r="J32" s="18">
        <f>IF(Table37[[#This Row],[CODE]]=2, Table37[ [#This Row],[Account Deposit Amount] ]-Table37[ [#This Row],[Account Withdrawl Amount] ], )</f>
        <v>0</v>
      </c>
      <c r="K32" s="18">
        <f>IF(Table37[[#This Row],[CODE]]=3, Table37[ [#This Row],[Account Deposit Amount] ]-Table37[ [#This Row],[Account Withdrawl Amount] ], )</f>
        <v>0</v>
      </c>
      <c r="L32" s="18">
        <f>IF(Table37[[#This Row],[CODE]]=4, Table37[ [#This Row],[Account Deposit Amount] ]-Table37[ [#This Row],[Account Withdrawl Amount] ], )</f>
        <v>0</v>
      </c>
      <c r="M32" s="18">
        <f>IF(Table37[[#This Row],[CODE]]=5, Table37[ [#This Row],[Account Deposit Amount] ]-Table37[ [#This Row],[Account Withdrawl Amount] ], )</f>
        <v>0</v>
      </c>
      <c r="N32" s="18">
        <f>IF(Table37[[#This Row],[CODE]]=6, Table37[ [#This Row],[Account Deposit Amount] ]-Table37[ [#This Row],[Account Withdrawl Amount] ], )</f>
        <v>46.64</v>
      </c>
      <c r="O32" s="18">
        <f>IF(Table37[[#This Row],[CODE]]=11, Table37[ [#This Row],[Account Deposit Amount] ]-Table37[ [#This Row],[Account Withdrawl Amount] ], )</f>
        <v>0</v>
      </c>
      <c r="P32" s="18">
        <f>IF(Table37[[#This Row],[CODE]]=12, Table37[ [#This Row],[Account Deposit Amount] ]-Table37[ [#This Row],[Account Withdrawl Amount] ], )</f>
        <v>0</v>
      </c>
      <c r="Q32" s="18">
        <f>IF(Table37[[#This Row],[CODE]]=13, Table37[ [#This Row],[Account Deposit Amount] ]-Table37[ [#This Row],[Account Withdrawl Amount] ], )</f>
        <v>0</v>
      </c>
      <c r="R32" s="18">
        <f>IF(Table37[[#This Row],[CODE]]=14, Table37[ [#This Row],[Account Deposit Amount] ]-Table37[ [#This Row],[Account Withdrawl Amount] ], )</f>
        <v>0</v>
      </c>
      <c r="S32" s="18">
        <f>IF(Table37[[#This Row],[CODE]]=15, Table37[ [#This Row],[Account Deposit Amount] ]-Table37[ [#This Row],[Account Withdrawl Amount] ], )</f>
        <v>0</v>
      </c>
      <c r="T32" s="18">
        <f>IF(Table37[[#This Row],[CODE]]=16, Table37[ [#This Row],[Account Deposit Amount] ]-Table37[ [#This Row],[Account Withdrawl Amount] ], )</f>
        <v>0</v>
      </c>
      <c r="U32" s="17">
        <f>IF(Table37[[#This Row],[CODE]]=17, Table37[ [#This Row],[Account Deposit Amount] ]-Table37[ [#This Row],[Account Withdrawl Amount] ], )</f>
        <v>0</v>
      </c>
      <c r="V32" s="19">
        <f>IF(Table37[[#This Row],[CODE]]=18, Table37[ [#This Row],[Account Deposit Amount] ]-Table37[ [#This Row],[Account Withdrawl Amount] ], )</f>
        <v>0</v>
      </c>
    </row>
    <row r="33" spans="1:22" ht="15" thickBot="1">
      <c r="A33" t="s">
        <v>241</v>
      </c>
      <c r="B33" s="107">
        <v>44700</v>
      </c>
      <c r="C33" s="108" t="s">
        <v>301</v>
      </c>
      <c r="D33" s="108" t="s">
        <v>302</v>
      </c>
      <c r="E33"/>
      <c r="F33">
        <v>15.26</v>
      </c>
      <c r="G33" s="82">
        <f t="shared" si="1"/>
        <v>22945.890000000003</v>
      </c>
      <c r="H33" s="108">
        <v>15</v>
      </c>
      <c r="I33" s="17">
        <f>IF(Table37[[#This Row],[CODE]]=1, Table37[ [#This Row],[Account Deposit Amount] ]-Table37[ [#This Row],[Account Withdrawl Amount] ], )</f>
        <v>0</v>
      </c>
      <c r="J33" s="18">
        <f>IF(Table37[[#This Row],[CODE]]=2, Table37[ [#This Row],[Account Deposit Amount] ]-Table37[ [#This Row],[Account Withdrawl Amount] ], )</f>
        <v>0</v>
      </c>
      <c r="K33" s="18">
        <f>IF(Table37[[#This Row],[CODE]]=3, Table37[ [#This Row],[Account Deposit Amount] ]-Table37[ [#This Row],[Account Withdrawl Amount] ], )</f>
        <v>0</v>
      </c>
      <c r="L33" s="18">
        <f>IF(Table37[[#This Row],[CODE]]=4, Table37[ [#This Row],[Account Deposit Amount] ]-Table37[ [#This Row],[Account Withdrawl Amount] ], )</f>
        <v>0</v>
      </c>
      <c r="M33" s="18">
        <f>IF(Table37[[#This Row],[CODE]]=5, Table37[ [#This Row],[Account Deposit Amount] ]-Table37[ [#This Row],[Account Withdrawl Amount] ], )</f>
        <v>0</v>
      </c>
      <c r="N33" s="18">
        <f>IF(Table37[[#This Row],[CODE]]=6, Table37[ [#This Row],[Account Deposit Amount] ]-Table37[ [#This Row],[Account Withdrawl Amount] ], )</f>
        <v>0</v>
      </c>
      <c r="O33" s="18">
        <f>IF(Table37[[#This Row],[CODE]]=11, Table37[ [#This Row],[Account Deposit Amount] ]-Table37[ [#This Row],[Account Withdrawl Amount] ], )</f>
        <v>0</v>
      </c>
      <c r="P33" s="18">
        <f>IF(Table37[[#This Row],[CODE]]=12, Table37[ [#This Row],[Account Deposit Amount] ]-Table37[ [#This Row],[Account Withdrawl Amount] ], )</f>
        <v>0</v>
      </c>
      <c r="Q33" s="18">
        <f>IF(Table37[[#This Row],[CODE]]=13, Table37[ [#This Row],[Account Deposit Amount] ]-Table37[ [#This Row],[Account Withdrawl Amount] ], )</f>
        <v>0</v>
      </c>
      <c r="R33" s="18">
        <f>IF(Table37[[#This Row],[CODE]]=14, Table37[ [#This Row],[Account Deposit Amount] ]-Table37[ [#This Row],[Account Withdrawl Amount] ], )</f>
        <v>0</v>
      </c>
      <c r="S33" s="18">
        <f>IF(Table37[[#This Row],[CODE]]=15, Table37[ [#This Row],[Account Deposit Amount] ]-Table37[ [#This Row],[Account Withdrawl Amount] ], )</f>
        <v>-15.26</v>
      </c>
      <c r="T33" s="18">
        <f>IF(Table37[[#This Row],[CODE]]=16, Table37[ [#This Row],[Account Deposit Amount] ]-Table37[ [#This Row],[Account Withdrawl Amount] ], )</f>
        <v>0</v>
      </c>
      <c r="U33" s="17">
        <f>IF(Table37[[#This Row],[CODE]]=17, Table37[ [#This Row],[Account Deposit Amount] ]-Table37[ [#This Row],[Account Withdrawl Amount] ], )</f>
        <v>0</v>
      </c>
      <c r="V33" s="19">
        <f>IF(Table37[[#This Row],[CODE]]=18, Table37[ [#This Row],[Account Deposit Amount] ]-Table37[ [#This Row],[Account Withdrawl Amount] ], )</f>
        <v>0</v>
      </c>
    </row>
    <row r="34" spans="1:22" ht="15" thickBot="1">
      <c r="A34" t="s">
        <v>241</v>
      </c>
      <c r="B34" s="107">
        <v>44701</v>
      </c>
      <c r="C34" s="108" t="s">
        <v>244</v>
      </c>
      <c r="D34" s="108" t="s">
        <v>303</v>
      </c>
      <c r="E34"/>
      <c r="F34">
        <v>44.32</v>
      </c>
      <c r="G34" s="82">
        <f t="shared" si="1"/>
        <v>22901.570000000003</v>
      </c>
      <c r="H34" s="108">
        <v>14</v>
      </c>
      <c r="I34" s="17">
        <f>IF(Table37[[#This Row],[CODE]]=1, Table37[ [#This Row],[Account Deposit Amount] ]-Table37[ [#This Row],[Account Withdrawl Amount] ], )</f>
        <v>0</v>
      </c>
      <c r="J34" s="18">
        <f>IF(Table37[[#This Row],[CODE]]=2, Table37[ [#This Row],[Account Deposit Amount] ]-Table37[ [#This Row],[Account Withdrawl Amount] ], )</f>
        <v>0</v>
      </c>
      <c r="K34" s="18">
        <f>IF(Table37[[#This Row],[CODE]]=3, Table37[ [#This Row],[Account Deposit Amount] ]-Table37[ [#This Row],[Account Withdrawl Amount] ], )</f>
        <v>0</v>
      </c>
      <c r="L34" s="18">
        <f>IF(Table37[[#This Row],[CODE]]=4, Table37[ [#This Row],[Account Deposit Amount] ]-Table37[ [#This Row],[Account Withdrawl Amount] ], )</f>
        <v>0</v>
      </c>
      <c r="M34" s="18">
        <f>IF(Table37[[#This Row],[CODE]]=5, Table37[ [#This Row],[Account Deposit Amount] ]-Table37[ [#This Row],[Account Withdrawl Amount] ], )</f>
        <v>0</v>
      </c>
      <c r="N34" s="18">
        <f>IF(Table37[[#This Row],[CODE]]=6, Table37[ [#This Row],[Account Deposit Amount] ]-Table37[ [#This Row],[Account Withdrawl Amount] ], )</f>
        <v>0</v>
      </c>
      <c r="O34" s="18">
        <f>IF(Table37[[#This Row],[CODE]]=11, Table37[ [#This Row],[Account Deposit Amount] ]-Table37[ [#This Row],[Account Withdrawl Amount] ], )</f>
        <v>0</v>
      </c>
      <c r="P34" s="18">
        <f>IF(Table37[[#This Row],[CODE]]=12, Table37[ [#This Row],[Account Deposit Amount] ]-Table37[ [#This Row],[Account Withdrawl Amount] ], )</f>
        <v>0</v>
      </c>
      <c r="Q34" s="18">
        <f>IF(Table37[[#This Row],[CODE]]=13, Table37[ [#This Row],[Account Deposit Amount] ]-Table37[ [#This Row],[Account Withdrawl Amount] ], )</f>
        <v>0</v>
      </c>
      <c r="R34" s="18">
        <f>IF(Table37[[#This Row],[CODE]]=14, Table37[ [#This Row],[Account Deposit Amount] ]-Table37[ [#This Row],[Account Withdrawl Amount] ], )</f>
        <v>-44.32</v>
      </c>
      <c r="S34" s="18">
        <f>IF(Table37[[#This Row],[CODE]]=15, Table37[ [#This Row],[Account Deposit Amount] ]-Table37[ [#This Row],[Account Withdrawl Amount] ], )</f>
        <v>0</v>
      </c>
      <c r="T34" s="18">
        <f>IF(Table37[[#This Row],[CODE]]=16, Table37[ [#This Row],[Account Deposit Amount] ]-Table37[ [#This Row],[Account Withdrawl Amount] ], )</f>
        <v>0</v>
      </c>
      <c r="U34" s="17">
        <f>IF(Table37[[#This Row],[CODE]]=17, Table37[ [#This Row],[Account Deposit Amount] ]-Table37[ [#This Row],[Account Withdrawl Amount] ], )</f>
        <v>0</v>
      </c>
      <c r="V34" s="19">
        <f>IF(Table37[[#This Row],[CODE]]=18, Table37[ [#This Row],[Account Deposit Amount] ]-Table37[ [#This Row],[Account Withdrawl Amount] ], )</f>
        <v>0</v>
      </c>
    </row>
    <row r="35" spans="1:22" ht="15" thickBot="1">
      <c r="A35" t="s">
        <v>241</v>
      </c>
      <c r="B35" s="107">
        <v>44701</v>
      </c>
      <c r="C35" s="108" t="s">
        <v>244</v>
      </c>
      <c r="D35" s="108" t="s">
        <v>304</v>
      </c>
      <c r="E35"/>
      <c r="F35">
        <v>328.58</v>
      </c>
      <c r="G35" s="82">
        <f t="shared" si="1"/>
        <v>22572.99</v>
      </c>
      <c r="H35" s="108">
        <v>13</v>
      </c>
      <c r="I35" s="17">
        <f>IF(Table37[[#This Row],[CODE]]=1, Table37[ [#This Row],[Account Deposit Amount] ]-Table37[ [#This Row],[Account Withdrawl Amount] ], )</f>
        <v>0</v>
      </c>
      <c r="J35" s="18">
        <f>IF(Table37[[#This Row],[CODE]]=2, Table37[ [#This Row],[Account Deposit Amount] ]-Table37[ [#This Row],[Account Withdrawl Amount] ], )</f>
        <v>0</v>
      </c>
      <c r="K35" s="18">
        <f>IF(Table37[[#This Row],[CODE]]=3, Table37[ [#This Row],[Account Deposit Amount] ]-Table37[ [#This Row],[Account Withdrawl Amount] ], )</f>
        <v>0</v>
      </c>
      <c r="L35" s="18">
        <f>IF(Table37[[#This Row],[CODE]]=4, Table37[ [#This Row],[Account Deposit Amount] ]-Table37[ [#This Row],[Account Withdrawl Amount] ], )</f>
        <v>0</v>
      </c>
      <c r="M35" s="18">
        <f>IF(Table37[[#This Row],[CODE]]=5, Table37[ [#This Row],[Account Deposit Amount] ]-Table37[ [#This Row],[Account Withdrawl Amount] ], )</f>
        <v>0</v>
      </c>
      <c r="N35" s="18">
        <f>IF(Table37[[#This Row],[CODE]]=6, Table37[ [#This Row],[Account Deposit Amount] ]-Table37[ [#This Row],[Account Withdrawl Amount] ], )</f>
        <v>0</v>
      </c>
      <c r="O35" s="18">
        <f>IF(Table37[[#This Row],[CODE]]=11, Table37[ [#This Row],[Account Deposit Amount] ]-Table37[ [#This Row],[Account Withdrawl Amount] ], )</f>
        <v>0</v>
      </c>
      <c r="P35" s="18">
        <f>IF(Table37[[#This Row],[CODE]]=12, Table37[ [#This Row],[Account Deposit Amount] ]-Table37[ [#This Row],[Account Withdrawl Amount] ], )</f>
        <v>0</v>
      </c>
      <c r="Q35" s="18">
        <f>IF(Table37[[#This Row],[CODE]]=13, Table37[ [#This Row],[Account Deposit Amount] ]-Table37[ [#This Row],[Account Withdrawl Amount] ], )</f>
        <v>-328.58</v>
      </c>
      <c r="R35" s="18">
        <f>IF(Table37[[#This Row],[CODE]]=14, Table37[ [#This Row],[Account Deposit Amount] ]-Table37[ [#This Row],[Account Withdrawl Amount] ], )</f>
        <v>0</v>
      </c>
      <c r="S35" s="18">
        <f>IF(Table37[[#This Row],[CODE]]=15, Table37[ [#This Row],[Account Deposit Amount] ]-Table37[ [#This Row],[Account Withdrawl Amount] ], )</f>
        <v>0</v>
      </c>
      <c r="T35" s="18">
        <f>IF(Table37[[#This Row],[CODE]]=16, Table37[ [#This Row],[Account Deposit Amount] ]-Table37[ [#This Row],[Account Withdrawl Amount] ], )</f>
        <v>0</v>
      </c>
      <c r="U35" s="17">
        <f>IF(Table37[[#This Row],[CODE]]=17, Table37[ [#This Row],[Account Deposit Amount] ]-Table37[ [#This Row],[Account Withdrawl Amount] ], )</f>
        <v>0</v>
      </c>
      <c r="V35" s="19">
        <f>IF(Table37[[#This Row],[CODE]]=18, Table37[ [#This Row],[Account Deposit Amount] ]-Table37[ [#This Row],[Account Withdrawl Amount] ], )</f>
        <v>0</v>
      </c>
    </row>
    <row r="36" spans="1:22" ht="15" thickBot="1">
      <c r="A36" t="s">
        <v>241</v>
      </c>
      <c r="B36" s="107">
        <v>44701</v>
      </c>
      <c r="C36" s="108" t="s">
        <v>305</v>
      </c>
      <c r="D36" s="108" t="s">
        <v>306</v>
      </c>
      <c r="E36"/>
      <c r="F36">
        <v>96.78</v>
      </c>
      <c r="G36" s="82">
        <f t="shared" si="1"/>
        <v>22476.210000000003</v>
      </c>
      <c r="H36" s="108">
        <v>15</v>
      </c>
      <c r="I36" s="17">
        <f>IF(Table37[[#This Row],[CODE]]=1, Table37[ [#This Row],[Account Deposit Amount] ]-Table37[ [#This Row],[Account Withdrawl Amount] ], )</f>
        <v>0</v>
      </c>
      <c r="J36" s="18">
        <f>IF(Table37[[#This Row],[CODE]]=2, Table37[ [#This Row],[Account Deposit Amount] ]-Table37[ [#This Row],[Account Withdrawl Amount] ], )</f>
        <v>0</v>
      </c>
      <c r="K36" s="18">
        <f>IF(Table37[[#This Row],[CODE]]=3, Table37[ [#This Row],[Account Deposit Amount] ]-Table37[ [#This Row],[Account Withdrawl Amount] ], )</f>
        <v>0</v>
      </c>
      <c r="L36" s="18">
        <f>IF(Table37[[#This Row],[CODE]]=4, Table37[ [#This Row],[Account Deposit Amount] ]-Table37[ [#This Row],[Account Withdrawl Amount] ], )</f>
        <v>0</v>
      </c>
      <c r="M36" s="18">
        <f>IF(Table37[[#This Row],[CODE]]=5, Table37[ [#This Row],[Account Deposit Amount] ]-Table37[ [#This Row],[Account Withdrawl Amount] ], )</f>
        <v>0</v>
      </c>
      <c r="N36" s="18">
        <f>IF(Table37[[#This Row],[CODE]]=6, Table37[ [#This Row],[Account Deposit Amount] ]-Table37[ [#This Row],[Account Withdrawl Amount] ], )</f>
        <v>0</v>
      </c>
      <c r="O36" s="18">
        <f>IF(Table37[[#This Row],[CODE]]=11, Table37[ [#This Row],[Account Deposit Amount] ]-Table37[ [#This Row],[Account Withdrawl Amount] ], )</f>
        <v>0</v>
      </c>
      <c r="P36" s="18">
        <f>IF(Table37[[#This Row],[CODE]]=12, Table37[ [#This Row],[Account Deposit Amount] ]-Table37[ [#This Row],[Account Withdrawl Amount] ], )</f>
        <v>0</v>
      </c>
      <c r="Q36" s="18">
        <f>IF(Table37[[#This Row],[CODE]]=13, Table37[ [#This Row],[Account Deposit Amount] ]-Table37[ [#This Row],[Account Withdrawl Amount] ], )</f>
        <v>0</v>
      </c>
      <c r="R36" s="18">
        <f>IF(Table37[[#This Row],[CODE]]=14, Table37[ [#This Row],[Account Deposit Amount] ]-Table37[ [#This Row],[Account Withdrawl Amount] ], )</f>
        <v>0</v>
      </c>
      <c r="S36" s="18">
        <f>IF(Table37[[#This Row],[CODE]]=15, Table37[ [#This Row],[Account Deposit Amount] ]-Table37[ [#This Row],[Account Withdrawl Amount] ], )</f>
        <v>-96.78</v>
      </c>
      <c r="T36" s="18">
        <f>IF(Table37[[#This Row],[CODE]]=16, Table37[ [#This Row],[Account Deposit Amount] ]-Table37[ [#This Row],[Account Withdrawl Amount] ], )</f>
        <v>0</v>
      </c>
      <c r="U36" s="17">
        <f>IF(Table37[[#This Row],[CODE]]=17, Table37[ [#This Row],[Account Deposit Amount] ]-Table37[ [#This Row],[Account Withdrawl Amount] ], )</f>
        <v>0</v>
      </c>
      <c r="V36" s="19">
        <f>IF(Table37[[#This Row],[CODE]]=18, Table37[ [#This Row],[Account Deposit Amount] ]-Table37[ [#This Row],[Account Withdrawl Amount] ], )</f>
        <v>0</v>
      </c>
    </row>
    <row r="37" spans="1:22" ht="15" thickBot="1">
      <c r="A37" t="s">
        <v>241</v>
      </c>
      <c r="B37" s="107">
        <v>44701</v>
      </c>
      <c r="C37" s="108" t="s">
        <v>305</v>
      </c>
      <c r="D37" s="108" t="s">
        <v>307</v>
      </c>
      <c r="E37"/>
      <c r="F37">
        <v>4.2</v>
      </c>
      <c r="G37" s="82">
        <f t="shared" si="1"/>
        <v>22472.010000000002</v>
      </c>
      <c r="H37" s="108">
        <v>15</v>
      </c>
      <c r="I37" s="17">
        <f>IF(Table37[[#This Row],[CODE]]=1, Table37[ [#This Row],[Account Deposit Amount] ]-Table37[ [#This Row],[Account Withdrawl Amount] ], )</f>
        <v>0</v>
      </c>
      <c r="J37" s="18">
        <f>IF(Table37[[#This Row],[CODE]]=2, Table37[ [#This Row],[Account Deposit Amount] ]-Table37[ [#This Row],[Account Withdrawl Amount] ], )</f>
        <v>0</v>
      </c>
      <c r="K37" s="18">
        <f>IF(Table37[[#This Row],[CODE]]=3, Table37[ [#This Row],[Account Deposit Amount] ]-Table37[ [#This Row],[Account Withdrawl Amount] ], )</f>
        <v>0</v>
      </c>
      <c r="L37" s="18">
        <f>IF(Table37[[#This Row],[CODE]]=4, Table37[ [#This Row],[Account Deposit Amount] ]-Table37[ [#This Row],[Account Withdrawl Amount] ], )</f>
        <v>0</v>
      </c>
      <c r="M37" s="18">
        <f>IF(Table37[[#This Row],[CODE]]=5, Table37[ [#This Row],[Account Deposit Amount] ]-Table37[ [#This Row],[Account Withdrawl Amount] ], )</f>
        <v>0</v>
      </c>
      <c r="N37" s="18">
        <f>IF(Table37[[#This Row],[CODE]]=6, Table37[ [#This Row],[Account Deposit Amount] ]-Table37[ [#This Row],[Account Withdrawl Amount] ], )</f>
        <v>0</v>
      </c>
      <c r="O37" s="18">
        <f>IF(Table37[[#This Row],[CODE]]=11, Table37[ [#This Row],[Account Deposit Amount] ]-Table37[ [#This Row],[Account Withdrawl Amount] ], )</f>
        <v>0</v>
      </c>
      <c r="P37" s="18">
        <f>IF(Table37[[#This Row],[CODE]]=12, Table37[ [#This Row],[Account Deposit Amount] ]-Table37[ [#This Row],[Account Withdrawl Amount] ], )</f>
        <v>0</v>
      </c>
      <c r="Q37" s="18">
        <f>IF(Table37[[#This Row],[CODE]]=13, Table37[ [#This Row],[Account Deposit Amount] ]-Table37[ [#This Row],[Account Withdrawl Amount] ], )</f>
        <v>0</v>
      </c>
      <c r="R37" s="18">
        <f>IF(Table37[[#This Row],[CODE]]=14, Table37[ [#This Row],[Account Deposit Amount] ]-Table37[ [#This Row],[Account Withdrawl Amount] ], )</f>
        <v>0</v>
      </c>
      <c r="S37" s="18">
        <f>IF(Table37[[#This Row],[CODE]]=15, Table37[ [#This Row],[Account Deposit Amount] ]-Table37[ [#This Row],[Account Withdrawl Amount] ], )</f>
        <v>-4.2</v>
      </c>
      <c r="T37" s="18">
        <f>IF(Table37[[#This Row],[CODE]]=16, Table37[ [#This Row],[Account Deposit Amount] ]-Table37[ [#This Row],[Account Withdrawl Amount] ], )</f>
        <v>0</v>
      </c>
      <c r="U37" s="17">
        <f>IF(Table37[[#This Row],[CODE]]=17, Table37[ [#This Row],[Account Deposit Amount] ]-Table37[ [#This Row],[Account Withdrawl Amount] ], )</f>
        <v>0</v>
      </c>
      <c r="V37" s="19">
        <f>IF(Table37[[#This Row],[CODE]]=18, Table37[ [#This Row],[Account Deposit Amount] ]-Table37[ [#This Row],[Account Withdrawl Amount] ], )</f>
        <v>0</v>
      </c>
    </row>
    <row r="38" spans="1:22" ht="15" thickBot="1">
      <c r="A38" t="s">
        <v>241</v>
      </c>
      <c r="B38" s="107">
        <v>44702</v>
      </c>
      <c r="C38" s="108" t="s">
        <v>308</v>
      </c>
      <c r="D38" s="108" t="s">
        <v>309</v>
      </c>
      <c r="E38"/>
      <c r="F38">
        <v>175</v>
      </c>
      <c r="G38" s="82">
        <f t="shared" si="1"/>
        <v>22297.010000000002</v>
      </c>
      <c r="H38" s="108">
        <v>15</v>
      </c>
      <c r="I38" s="17">
        <f>IF(Table37[[#This Row],[CODE]]=1, Table37[ [#This Row],[Account Deposit Amount] ]-Table37[ [#This Row],[Account Withdrawl Amount] ], )</f>
        <v>0</v>
      </c>
      <c r="J38" s="18">
        <f>IF(Table37[[#This Row],[CODE]]=2, Table37[ [#This Row],[Account Deposit Amount] ]-Table37[ [#This Row],[Account Withdrawl Amount] ], )</f>
        <v>0</v>
      </c>
      <c r="K38" s="18">
        <f>IF(Table37[[#This Row],[CODE]]=3, Table37[ [#This Row],[Account Deposit Amount] ]-Table37[ [#This Row],[Account Withdrawl Amount] ], )</f>
        <v>0</v>
      </c>
      <c r="L38" s="18">
        <f>IF(Table37[[#This Row],[CODE]]=4, Table37[ [#This Row],[Account Deposit Amount] ]-Table37[ [#This Row],[Account Withdrawl Amount] ], )</f>
        <v>0</v>
      </c>
      <c r="M38" s="18">
        <f>IF(Table37[[#This Row],[CODE]]=5, Table37[ [#This Row],[Account Deposit Amount] ]-Table37[ [#This Row],[Account Withdrawl Amount] ], )</f>
        <v>0</v>
      </c>
      <c r="N38" s="18">
        <f>IF(Table37[[#This Row],[CODE]]=6, Table37[ [#This Row],[Account Deposit Amount] ]-Table37[ [#This Row],[Account Withdrawl Amount] ], )</f>
        <v>0</v>
      </c>
      <c r="O38" s="18">
        <f>IF(Table37[[#This Row],[CODE]]=11, Table37[ [#This Row],[Account Deposit Amount] ]-Table37[ [#This Row],[Account Withdrawl Amount] ], )</f>
        <v>0</v>
      </c>
      <c r="P38" s="18">
        <f>IF(Table37[[#This Row],[CODE]]=12, Table37[ [#This Row],[Account Deposit Amount] ]-Table37[ [#This Row],[Account Withdrawl Amount] ], )</f>
        <v>0</v>
      </c>
      <c r="Q38" s="18">
        <f>IF(Table37[[#This Row],[CODE]]=13, Table37[ [#This Row],[Account Deposit Amount] ]-Table37[ [#This Row],[Account Withdrawl Amount] ], )</f>
        <v>0</v>
      </c>
      <c r="R38" s="18">
        <f>IF(Table37[[#This Row],[CODE]]=14, Table37[ [#This Row],[Account Deposit Amount] ]-Table37[ [#This Row],[Account Withdrawl Amount] ], )</f>
        <v>0</v>
      </c>
      <c r="S38" s="18">
        <f>IF(Table37[[#This Row],[CODE]]=15, Table37[ [#This Row],[Account Deposit Amount] ]-Table37[ [#This Row],[Account Withdrawl Amount] ], )</f>
        <v>-175</v>
      </c>
      <c r="T38" s="18">
        <f>IF(Table37[[#This Row],[CODE]]=16, Table37[ [#This Row],[Account Deposit Amount] ]-Table37[ [#This Row],[Account Withdrawl Amount] ], )</f>
        <v>0</v>
      </c>
      <c r="U38" s="17">
        <f>IF(Table37[[#This Row],[CODE]]=17, Table37[ [#This Row],[Account Deposit Amount] ]-Table37[ [#This Row],[Account Withdrawl Amount] ], )</f>
        <v>0</v>
      </c>
      <c r="V38" s="19">
        <f>IF(Table37[[#This Row],[CODE]]=18, Table37[ [#This Row],[Account Deposit Amount] ]-Table37[ [#This Row],[Account Withdrawl Amount] ], )</f>
        <v>0</v>
      </c>
    </row>
    <row r="39" spans="1:22" ht="15" thickBot="1">
      <c r="A39" t="s">
        <v>241</v>
      </c>
      <c r="B39" s="107">
        <v>44704</v>
      </c>
      <c r="C39" s="108" t="s">
        <v>301</v>
      </c>
      <c r="D39" s="108" t="s">
        <v>310</v>
      </c>
      <c r="E39"/>
      <c r="F39">
        <v>179.38</v>
      </c>
      <c r="G39" s="82">
        <f t="shared" si="1"/>
        <v>22117.63</v>
      </c>
      <c r="H39" s="108">
        <v>13</v>
      </c>
      <c r="I39" s="17">
        <f>IF(Table37[[#This Row],[CODE]]=1, Table37[ [#This Row],[Account Deposit Amount] ]-Table37[ [#This Row],[Account Withdrawl Amount] ], )</f>
        <v>0</v>
      </c>
      <c r="J39" s="18">
        <f>IF(Table37[[#This Row],[CODE]]=2, Table37[ [#This Row],[Account Deposit Amount] ]-Table37[ [#This Row],[Account Withdrawl Amount] ], )</f>
        <v>0</v>
      </c>
      <c r="K39" s="18">
        <f>IF(Table37[[#This Row],[CODE]]=3, Table37[ [#This Row],[Account Deposit Amount] ]-Table37[ [#This Row],[Account Withdrawl Amount] ], )</f>
        <v>0</v>
      </c>
      <c r="L39" s="18">
        <f>IF(Table37[[#This Row],[CODE]]=4, Table37[ [#This Row],[Account Deposit Amount] ]-Table37[ [#This Row],[Account Withdrawl Amount] ], )</f>
        <v>0</v>
      </c>
      <c r="M39" s="18">
        <f>IF(Table37[[#This Row],[CODE]]=5, Table37[ [#This Row],[Account Deposit Amount] ]-Table37[ [#This Row],[Account Withdrawl Amount] ], )</f>
        <v>0</v>
      </c>
      <c r="N39" s="18">
        <f>IF(Table37[[#This Row],[CODE]]=6, Table37[ [#This Row],[Account Deposit Amount] ]-Table37[ [#This Row],[Account Withdrawl Amount] ], )</f>
        <v>0</v>
      </c>
      <c r="O39" s="18">
        <f>IF(Table37[[#This Row],[CODE]]=11, Table37[ [#This Row],[Account Deposit Amount] ]-Table37[ [#This Row],[Account Withdrawl Amount] ], )</f>
        <v>0</v>
      </c>
      <c r="P39" s="18">
        <f>IF(Table37[[#This Row],[CODE]]=12, Table37[ [#This Row],[Account Deposit Amount] ]-Table37[ [#This Row],[Account Withdrawl Amount] ], )</f>
        <v>0</v>
      </c>
      <c r="Q39" s="18">
        <f>IF(Table37[[#This Row],[CODE]]=13, Table37[ [#This Row],[Account Deposit Amount] ]-Table37[ [#This Row],[Account Withdrawl Amount] ], )</f>
        <v>-179.38</v>
      </c>
      <c r="R39" s="18">
        <f>IF(Table37[[#This Row],[CODE]]=14, Table37[ [#This Row],[Account Deposit Amount] ]-Table37[ [#This Row],[Account Withdrawl Amount] ], )</f>
        <v>0</v>
      </c>
      <c r="S39" s="18">
        <f>IF(Table37[[#This Row],[CODE]]=15, Table37[ [#This Row],[Account Deposit Amount] ]-Table37[ [#This Row],[Account Withdrawl Amount] ], )</f>
        <v>0</v>
      </c>
      <c r="T39" s="18">
        <f>IF(Table37[[#This Row],[CODE]]=16, Table37[ [#This Row],[Account Deposit Amount] ]-Table37[ [#This Row],[Account Withdrawl Amount] ], )</f>
        <v>0</v>
      </c>
      <c r="U39" s="17">
        <f>IF(Table37[[#This Row],[CODE]]=17, Table37[ [#This Row],[Account Deposit Amount] ]-Table37[ [#This Row],[Account Withdrawl Amount] ], )</f>
        <v>0</v>
      </c>
      <c r="V39" s="19">
        <f>IF(Table37[[#This Row],[CODE]]=18, Table37[ [#This Row],[Account Deposit Amount] ]-Table37[ [#This Row],[Account Withdrawl Amount] ], )</f>
        <v>0</v>
      </c>
    </row>
    <row r="40" spans="1:22" ht="15" thickBot="1">
      <c r="A40" t="s">
        <v>241</v>
      </c>
      <c r="B40" s="107">
        <v>44704</v>
      </c>
      <c r="C40" s="108" t="s">
        <v>242</v>
      </c>
      <c r="D40" s="108" t="s">
        <v>303</v>
      </c>
      <c r="E40"/>
      <c r="F40">
        <v>53.32</v>
      </c>
      <c r="G40" s="82">
        <f t="shared" si="1"/>
        <v>22064.31</v>
      </c>
      <c r="H40" s="108">
        <v>14</v>
      </c>
      <c r="I40" s="17">
        <f>IF(Table37[[#This Row],[CODE]]=1, Table37[ [#This Row],[Account Deposit Amount] ]-Table37[ [#This Row],[Account Withdrawl Amount] ], )</f>
        <v>0</v>
      </c>
      <c r="J40" s="18">
        <f>IF(Table37[[#This Row],[CODE]]=2, Table37[ [#This Row],[Account Deposit Amount] ]-Table37[ [#This Row],[Account Withdrawl Amount] ], )</f>
        <v>0</v>
      </c>
      <c r="K40" s="18">
        <f>IF(Table37[[#This Row],[CODE]]=3, Table37[ [#This Row],[Account Deposit Amount] ]-Table37[ [#This Row],[Account Withdrawl Amount] ], )</f>
        <v>0</v>
      </c>
      <c r="L40" s="18">
        <f>IF(Table37[[#This Row],[CODE]]=4, Table37[ [#This Row],[Account Deposit Amount] ]-Table37[ [#This Row],[Account Withdrawl Amount] ], )</f>
        <v>0</v>
      </c>
      <c r="M40" s="18">
        <f>IF(Table37[[#This Row],[CODE]]=5, Table37[ [#This Row],[Account Deposit Amount] ]-Table37[ [#This Row],[Account Withdrawl Amount] ], )</f>
        <v>0</v>
      </c>
      <c r="N40" s="18">
        <f>IF(Table37[[#This Row],[CODE]]=6, Table37[ [#This Row],[Account Deposit Amount] ]-Table37[ [#This Row],[Account Withdrawl Amount] ], )</f>
        <v>0</v>
      </c>
      <c r="O40" s="18">
        <f>IF(Table37[[#This Row],[CODE]]=11, Table37[ [#This Row],[Account Deposit Amount] ]-Table37[ [#This Row],[Account Withdrawl Amount] ], )</f>
        <v>0</v>
      </c>
      <c r="P40" s="18">
        <f>IF(Table37[[#This Row],[CODE]]=12, Table37[ [#This Row],[Account Deposit Amount] ]-Table37[ [#This Row],[Account Withdrawl Amount] ], )</f>
        <v>0</v>
      </c>
      <c r="Q40" s="18">
        <f>IF(Table37[[#This Row],[CODE]]=13, Table37[ [#This Row],[Account Deposit Amount] ]-Table37[ [#This Row],[Account Withdrawl Amount] ], )</f>
        <v>0</v>
      </c>
      <c r="R40" s="18">
        <f>IF(Table37[[#This Row],[CODE]]=14, Table37[ [#This Row],[Account Deposit Amount] ]-Table37[ [#This Row],[Account Withdrawl Amount] ], )</f>
        <v>-53.32</v>
      </c>
      <c r="S40" s="18">
        <f>IF(Table37[[#This Row],[CODE]]=15, Table37[ [#This Row],[Account Deposit Amount] ]-Table37[ [#This Row],[Account Withdrawl Amount] ], )</f>
        <v>0</v>
      </c>
      <c r="T40" s="18">
        <f>IF(Table37[[#This Row],[CODE]]=16, Table37[ [#This Row],[Account Deposit Amount] ]-Table37[ [#This Row],[Account Withdrawl Amount] ], )</f>
        <v>0</v>
      </c>
      <c r="U40" s="17">
        <f>IF(Table37[[#This Row],[CODE]]=17, Table37[ [#This Row],[Account Deposit Amount] ]-Table37[ [#This Row],[Account Withdrawl Amount] ], )</f>
        <v>0</v>
      </c>
      <c r="V40" s="19">
        <f>IF(Table37[[#This Row],[CODE]]=18, Table37[ [#This Row],[Account Deposit Amount] ]-Table37[ [#This Row],[Account Withdrawl Amount] ], )</f>
        <v>0</v>
      </c>
    </row>
    <row r="41" spans="1:22" ht="15" thickBot="1">
      <c r="A41" t="s">
        <v>241</v>
      </c>
      <c r="B41" s="107">
        <v>44704</v>
      </c>
      <c r="C41" s="108" t="s">
        <v>242</v>
      </c>
      <c r="D41" s="108" t="s">
        <v>303</v>
      </c>
      <c r="E41"/>
      <c r="F41">
        <v>57.75</v>
      </c>
      <c r="G41" s="82">
        <f t="shared" si="1"/>
        <v>22006.560000000001</v>
      </c>
      <c r="H41" s="108">
        <v>14</v>
      </c>
      <c r="I41" s="17">
        <f>IF(Table37[[#This Row],[CODE]]=1, Table37[ [#This Row],[Account Deposit Amount] ]-Table37[ [#This Row],[Account Withdrawl Amount] ], )</f>
        <v>0</v>
      </c>
      <c r="J41" s="18">
        <f>IF(Table37[[#This Row],[CODE]]=2, Table37[ [#This Row],[Account Deposit Amount] ]-Table37[ [#This Row],[Account Withdrawl Amount] ], )</f>
        <v>0</v>
      </c>
      <c r="K41" s="18">
        <f>IF(Table37[[#This Row],[CODE]]=3, Table37[ [#This Row],[Account Deposit Amount] ]-Table37[ [#This Row],[Account Withdrawl Amount] ], )</f>
        <v>0</v>
      </c>
      <c r="L41" s="18">
        <f>IF(Table37[[#This Row],[CODE]]=4, Table37[ [#This Row],[Account Deposit Amount] ]-Table37[ [#This Row],[Account Withdrawl Amount] ], )</f>
        <v>0</v>
      </c>
      <c r="M41" s="18">
        <f>IF(Table37[[#This Row],[CODE]]=5, Table37[ [#This Row],[Account Deposit Amount] ]-Table37[ [#This Row],[Account Withdrawl Amount] ], )</f>
        <v>0</v>
      </c>
      <c r="N41" s="18">
        <f>IF(Table37[[#This Row],[CODE]]=6, Table37[ [#This Row],[Account Deposit Amount] ]-Table37[ [#This Row],[Account Withdrawl Amount] ], )</f>
        <v>0</v>
      </c>
      <c r="O41" s="18">
        <f>IF(Table37[[#This Row],[CODE]]=11, Table37[ [#This Row],[Account Deposit Amount] ]-Table37[ [#This Row],[Account Withdrawl Amount] ], )</f>
        <v>0</v>
      </c>
      <c r="P41" s="18">
        <f>IF(Table37[[#This Row],[CODE]]=12, Table37[ [#This Row],[Account Deposit Amount] ]-Table37[ [#This Row],[Account Withdrawl Amount] ], )</f>
        <v>0</v>
      </c>
      <c r="Q41" s="18">
        <f>IF(Table37[[#This Row],[CODE]]=13, Table37[ [#This Row],[Account Deposit Amount] ]-Table37[ [#This Row],[Account Withdrawl Amount] ], )</f>
        <v>0</v>
      </c>
      <c r="R41" s="18">
        <f>IF(Table37[[#This Row],[CODE]]=14, Table37[ [#This Row],[Account Deposit Amount] ]-Table37[ [#This Row],[Account Withdrawl Amount] ], )</f>
        <v>-57.75</v>
      </c>
      <c r="S41" s="18">
        <f>IF(Table37[[#This Row],[CODE]]=15, Table37[ [#This Row],[Account Deposit Amount] ]-Table37[ [#This Row],[Account Withdrawl Amount] ], )</f>
        <v>0</v>
      </c>
      <c r="T41" s="18">
        <f>IF(Table37[[#This Row],[CODE]]=16, Table37[ [#This Row],[Account Deposit Amount] ]-Table37[ [#This Row],[Account Withdrawl Amount] ], )</f>
        <v>0</v>
      </c>
      <c r="U41" s="17">
        <f>IF(Table37[[#This Row],[CODE]]=17, Table37[ [#This Row],[Account Deposit Amount] ]-Table37[ [#This Row],[Account Withdrawl Amount] ], )</f>
        <v>0</v>
      </c>
      <c r="V41" s="19">
        <f>IF(Table37[[#This Row],[CODE]]=18, Table37[ [#This Row],[Account Deposit Amount] ]-Table37[ [#This Row],[Account Withdrawl Amount] ], )</f>
        <v>0</v>
      </c>
    </row>
    <row r="42" spans="1:22" ht="15" thickBot="1">
      <c r="A42" t="s">
        <v>238</v>
      </c>
      <c r="B42" s="107">
        <v>44705</v>
      </c>
      <c r="C42" s="108" t="s">
        <v>276</v>
      </c>
      <c r="D42" s="108" t="s">
        <v>311</v>
      </c>
      <c r="E42">
        <v>100</v>
      </c>
      <c r="F42"/>
      <c r="G42" s="82">
        <f t="shared" si="1"/>
        <v>22106.560000000001</v>
      </c>
      <c r="H42" s="108">
        <v>6</v>
      </c>
      <c r="I42" s="17">
        <f>IF(Table37[[#This Row],[CODE]]=1, Table37[ [#This Row],[Account Deposit Amount] ]-Table37[ [#This Row],[Account Withdrawl Amount] ], )</f>
        <v>0</v>
      </c>
      <c r="J42" s="18">
        <f>IF(Table37[[#This Row],[CODE]]=2, Table37[ [#This Row],[Account Deposit Amount] ]-Table37[ [#This Row],[Account Withdrawl Amount] ], )</f>
        <v>0</v>
      </c>
      <c r="K42" s="18">
        <f>IF(Table37[[#This Row],[CODE]]=3, Table37[ [#This Row],[Account Deposit Amount] ]-Table37[ [#This Row],[Account Withdrawl Amount] ], )</f>
        <v>0</v>
      </c>
      <c r="L42" s="18">
        <f>IF(Table37[[#This Row],[CODE]]=4, Table37[ [#This Row],[Account Deposit Amount] ]-Table37[ [#This Row],[Account Withdrawl Amount] ], )</f>
        <v>0</v>
      </c>
      <c r="M42" s="18">
        <f>IF(Table37[[#This Row],[CODE]]=5, Table37[ [#This Row],[Account Deposit Amount] ]-Table37[ [#This Row],[Account Withdrawl Amount] ], )</f>
        <v>0</v>
      </c>
      <c r="N42" s="18">
        <f>IF(Table37[[#This Row],[CODE]]=6, Table37[ [#This Row],[Account Deposit Amount] ]-Table37[ [#This Row],[Account Withdrawl Amount] ], )</f>
        <v>100</v>
      </c>
      <c r="O42" s="18">
        <f>IF(Table37[[#This Row],[CODE]]=11, Table37[ [#This Row],[Account Deposit Amount] ]-Table37[ [#This Row],[Account Withdrawl Amount] ], )</f>
        <v>0</v>
      </c>
      <c r="P42" s="18">
        <f>IF(Table37[[#This Row],[CODE]]=12, Table37[ [#This Row],[Account Deposit Amount] ]-Table37[ [#This Row],[Account Withdrawl Amount] ], )</f>
        <v>0</v>
      </c>
      <c r="Q42" s="18">
        <f>IF(Table37[[#This Row],[CODE]]=13, Table37[ [#This Row],[Account Deposit Amount] ]-Table37[ [#This Row],[Account Withdrawl Amount] ], )</f>
        <v>0</v>
      </c>
      <c r="R42" s="18">
        <f>IF(Table37[[#This Row],[CODE]]=14, Table37[ [#This Row],[Account Deposit Amount] ]-Table37[ [#This Row],[Account Withdrawl Amount] ], )</f>
        <v>0</v>
      </c>
      <c r="S42" s="18">
        <f>IF(Table37[[#This Row],[CODE]]=15, Table37[ [#This Row],[Account Deposit Amount] ]-Table37[ [#This Row],[Account Withdrawl Amount] ], )</f>
        <v>0</v>
      </c>
      <c r="T42" s="18">
        <f>IF(Table37[[#This Row],[CODE]]=16, Table37[ [#This Row],[Account Deposit Amount] ]-Table37[ [#This Row],[Account Withdrawl Amount] ], )</f>
        <v>0</v>
      </c>
      <c r="U42" s="17">
        <f>IF(Table37[[#This Row],[CODE]]=17, Table37[ [#This Row],[Account Deposit Amount] ]-Table37[ [#This Row],[Account Withdrawl Amount] ], )</f>
        <v>0</v>
      </c>
      <c r="V42" s="19">
        <f>IF(Table37[[#This Row],[CODE]]=18, Table37[ [#This Row],[Account Deposit Amount] ]-Table37[ [#This Row],[Account Withdrawl Amount] ], )</f>
        <v>0</v>
      </c>
    </row>
    <row r="43" spans="1:22" ht="15" thickBot="1">
      <c r="A43" t="s">
        <v>241</v>
      </c>
      <c r="B43" s="107">
        <v>44707</v>
      </c>
      <c r="C43" s="108" t="s">
        <v>296</v>
      </c>
      <c r="D43" s="108" t="s">
        <v>297</v>
      </c>
      <c r="E43"/>
      <c r="F43">
        <v>50</v>
      </c>
      <c r="G43" s="82">
        <f t="shared" si="1"/>
        <v>22056.560000000001</v>
      </c>
      <c r="H43" s="108">
        <v>13</v>
      </c>
      <c r="I43" s="17">
        <f>IF(Table37[[#This Row],[CODE]]=1, Table37[ [#This Row],[Account Deposit Amount] ]-Table37[ [#This Row],[Account Withdrawl Amount] ], )</f>
        <v>0</v>
      </c>
      <c r="J43" s="18">
        <f>IF(Table37[[#This Row],[CODE]]=2, Table37[ [#This Row],[Account Deposit Amount] ]-Table37[ [#This Row],[Account Withdrawl Amount] ], )</f>
        <v>0</v>
      </c>
      <c r="K43" s="18">
        <f>IF(Table37[[#This Row],[CODE]]=3, Table37[ [#This Row],[Account Deposit Amount] ]-Table37[ [#This Row],[Account Withdrawl Amount] ], )</f>
        <v>0</v>
      </c>
      <c r="L43" s="18">
        <f>IF(Table37[[#This Row],[CODE]]=4, Table37[ [#This Row],[Account Deposit Amount] ]-Table37[ [#This Row],[Account Withdrawl Amount] ], )</f>
        <v>0</v>
      </c>
      <c r="M43" s="18">
        <f>IF(Table37[[#This Row],[CODE]]=5, Table37[ [#This Row],[Account Deposit Amount] ]-Table37[ [#This Row],[Account Withdrawl Amount] ], )</f>
        <v>0</v>
      </c>
      <c r="N43" s="18">
        <f>IF(Table37[[#This Row],[CODE]]=6, Table37[ [#This Row],[Account Deposit Amount] ]-Table37[ [#This Row],[Account Withdrawl Amount] ], )</f>
        <v>0</v>
      </c>
      <c r="O43" s="18">
        <f>IF(Table37[[#This Row],[CODE]]=11, Table37[ [#This Row],[Account Deposit Amount] ]-Table37[ [#This Row],[Account Withdrawl Amount] ], )</f>
        <v>0</v>
      </c>
      <c r="P43" s="18">
        <f>IF(Table37[[#This Row],[CODE]]=12, Table37[ [#This Row],[Account Deposit Amount] ]-Table37[ [#This Row],[Account Withdrawl Amount] ], )</f>
        <v>0</v>
      </c>
      <c r="Q43" s="18">
        <f>IF(Table37[[#This Row],[CODE]]=13, Table37[ [#This Row],[Account Deposit Amount] ]-Table37[ [#This Row],[Account Withdrawl Amount] ], )</f>
        <v>-50</v>
      </c>
      <c r="R43" s="18">
        <f>IF(Table37[[#This Row],[CODE]]=14, Table37[ [#This Row],[Account Deposit Amount] ]-Table37[ [#This Row],[Account Withdrawl Amount] ], )</f>
        <v>0</v>
      </c>
      <c r="S43" s="18">
        <f>IF(Table37[[#This Row],[CODE]]=15, Table37[ [#This Row],[Account Deposit Amount] ]-Table37[ [#This Row],[Account Withdrawl Amount] ], )</f>
        <v>0</v>
      </c>
      <c r="T43" s="18">
        <f>IF(Table37[[#This Row],[CODE]]=16, Table37[ [#This Row],[Account Deposit Amount] ]-Table37[ [#This Row],[Account Withdrawl Amount] ], )</f>
        <v>0</v>
      </c>
      <c r="U43" s="17">
        <f>IF(Table37[[#This Row],[CODE]]=17, Table37[ [#This Row],[Account Deposit Amount] ]-Table37[ [#This Row],[Account Withdrawl Amount] ], )</f>
        <v>0</v>
      </c>
      <c r="V43" s="19">
        <f>IF(Table37[[#This Row],[CODE]]=18, Table37[ [#This Row],[Account Deposit Amount] ]-Table37[ [#This Row],[Account Withdrawl Amount] ], )</f>
        <v>0</v>
      </c>
    </row>
    <row r="44" spans="1:22" ht="15" thickBot="1">
      <c r="A44" t="s">
        <v>241</v>
      </c>
      <c r="B44" s="107">
        <v>44709</v>
      </c>
      <c r="C44" s="108" t="s">
        <v>268</v>
      </c>
      <c r="D44" s="108" t="s">
        <v>312</v>
      </c>
      <c r="E44"/>
      <c r="F44">
        <v>39.75</v>
      </c>
      <c r="G44" s="82">
        <f t="shared" si="1"/>
        <v>22016.81</v>
      </c>
      <c r="H44" s="108">
        <v>13</v>
      </c>
      <c r="I44" s="17">
        <f>IF(Table37[[#This Row],[CODE]]=1, Table37[ [#This Row],[Account Deposit Amount] ]-Table37[ [#This Row],[Account Withdrawl Amount] ], )</f>
        <v>0</v>
      </c>
      <c r="J44" s="18">
        <f>IF(Table37[[#This Row],[CODE]]=2, Table37[ [#This Row],[Account Deposit Amount] ]-Table37[ [#This Row],[Account Withdrawl Amount] ], )</f>
        <v>0</v>
      </c>
      <c r="K44" s="18">
        <f>IF(Table37[[#This Row],[CODE]]=3, Table37[ [#This Row],[Account Deposit Amount] ]-Table37[ [#This Row],[Account Withdrawl Amount] ], )</f>
        <v>0</v>
      </c>
      <c r="L44" s="18">
        <f>IF(Table37[[#This Row],[CODE]]=4, Table37[ [#This Row],[Account Deposit Amount] ]-Table37[ [#This Row],[Account Withdrawl Amount] ], )</f>
        <v>0</v>
      </c>
      <c r="M44" s="18">
        <f>IF(Table37[[#This Row],[CODE]]=5, Table37[ [#This Row],[Account Deposit Amount] ]-Table37[ [#This Row],[Account Withdrawl Amount] ], )</f>
        <v>0</v>
      </c>
      <c r="N44" s="18">
        <f>IF(Table37[[#This Row],[CODE]]=6, Table37[ [#This Row],[Account Deposit Amount] ]-Table37[ [#This Row],[Account Withdrawl Amount] ], )</f>
        <v>0</v>
      </c>
      <c r="O44" s="18">
        <f>IF(Table37[[#This Row],[CODE]]=11, Table37[ [#This Row],[Account Deposit Amount] ]-Table37[ [#This Row],[Account Withdrawl Amount] ], )</f>
        <v>0</v>
      </c>
      <c r="P44" s="18">
        <f>IF(Table37[[#This Row],[CODE]]=12, Table37[ [#This Row],[Account Deposit Amount] ]-Table37[ [#This Row],[Account Withdrawl Amount] ], )</f>
        <v>0</v>
      </c>
      <c r="Q44" s="18">
        <f>IF(Table37[[#This Row],[CODE]]=13, Table37[ [#This Row],[Account Deposit Amount] ]-Table37[ [#This Row],[Account Withdrawl Amount] ], )</f>
        <v>-39.75</v>
      </c>
      <c r="R44" s="18">
        <f>IF(Table37[[#This Row],[CODE]]=14, Table37[ [#This Row],[Account Deposit Amount] ]-Table37[ [#This Row],[Account Withdrawl Amount] ], )</f>
        <v>0</v>
      </c>
      <c r="S44" s="18">
        <f>IF(Table37[[#This Row],[CODE]]=15, Table37[ [#This Row],[Account Deposit Amount] ]-Table37[ [#This Row],[Account Withdrawl Amount] ], )</f>
        <v>0</v>
      </c>
      <c r="T44" s="18">
        <f>IF(Table37[[#This Row],[CODE]]=16, Table37[ [#This Row],[Account Deposit Amount] ]-Table37[ [#This Row],[Account Withdrawl Amount] ], )</f>
        <v>0</v>
      </c>
      <c r="U44" s="17">
        <f>IF(Table37[[#This Row],[CODE]]=17, Table37[ [#This Row],[Account Deposit Amount] ]-Table37[ [#This Row],[Account Withdrawl Amount] ], )</f>
        <v>0</v>
      </c>
      <c r="V44" s="19">
        <f>IF(Table37[[#This Row],[CODE]]=18, Table37[ [#This Row],[Account Deposit Amount] ]-Table37[ [#This Row],[Account Withdrawl Amount] ], )</f>
        <v>0</v>
      </c>
    </row>
    <row r="45" spans="1:22" ht="15" thickBot="1">
      <c r="A45" t="s">
        <v>241</v>
      </c>
      <c r="B45" s="107">
        <v>44712</v>
      </c>
      <c r="C45" s="108" t="s">
        <v>246</v>
      </c>
      <c r="D45" s="108" t="s">
        <v>313</v>
      </c>
      <c r="E45"/>
      <c r="F45">
        <v>137.9</v>
      </c>
      <c r="G45" s="82">
        <f t="shared" si="1"/>
        <v>21878.91</v>
      </c>
      <c r="H45" s="108">
        <v>16</v>
      </c>
      <c r="I45" s="17">
        <f>IF(Table37[[#This Row],[CODE]]=1, Table37[ [#This Row],[Account Deposit Amount] ]-Table37[ [#This Row],[Account Withdrawl Amount] ], )</f>
        <v>0</v>
      </c>
      <c r="J45" s="18">
        <f>IF(Table37[[#This Row],[CODE]]=2, Table37[ [#This Row],[Account Deposit Amount] ]-Table37[ [#This Row],[Account Withdrawl Amount] ], )</f>
        <v>0</v>
      </c>
      <c r="K45" s="18">
        <f>IF(Table37[[#This Row],[CODE]]=3, Table37[ [#This Row],[Account Deposit Amount] ]-Table37[ [#This Row],[Account Withdrawl Amount] ], )</f>
        <v>0</v>
      </c>
      <c r="L45" s="18">
        <f>IF(Table37[[#This Row],[CODE]]=4, Table37[ [#This Row],[Account Deposit Amount] ]-Table37[ [#This Row],[Account Withdrawl Amount] ], )</f>
        <v>0</v>
      </c>
      <c r="M45" s="18">
        <f>IF(Table37[[#This Row],[CODE]]=5, Table37[ [#This Row],[Account Deposit Amount] ]-Table37[ [#This Row],[Account Withdrawl Amount] ], )</f>
        <v>0</v>
      </c>
      <c r="N45" s="18">
        <f>IF(Table37[[#This Row],[CODE]]=6, Table37[ [#This Row],[Account Deposit Amount] ]-Table37[ [#This Row],[Account Withdrawl Amount] ], )</f>
        <v>0</v>
      </c>
      <c r="O45" s="18">
        <f>IF(Table37[[#This Row],[CODE]]=11, Table37[ [#This Row],[Account Deposit Amount] ]-Table37[ [#This Row],[Account Withdrawl Amount] ], )</f>
        <v>0</v>
      </c>
      <c r="P45" s="18">
        <f>IF(Table37[[#This Row],[CODE]]=12, Table37[ [#This Row],[Account Deposit Amount] ]-Table37[ [#This Row],[Account Withdrawl Amount] ], )</f>
        <v>0</v>
      </c>
      <c r="Q45" s="18">
        <f>IF(Table37[[#This Row],[CODE]]=13, Table37[ [#This Row],[Account Deposit Amount] ]-Table37[ [#This Row],[Account Withdrawl Amount] ], )</f>
        <v>0</v>
      </c>
      <c r="R45" s="18">
        <f>IF(Table37[[#This Row],[CODE]]=14, Table37[ [#This Row],[Account Deposit Amount] ]-Table37[ [#This Row],[Account Withdrawl Amount] ], )</f>
        <v>0</v>
      </c>
      <c r="S45" s="18">
        <f>IF(Table37[[#This Row],[CODE]]=15, Table37[ [#This Row],[Account Deposit Amount] ]-Table37[ [#This Row],[Account Withdrawl Amount] ], )</f>
        <v>0</v>
      </c>
      <c r="T45" s="18">
        <f>IF(Table37[[#This Row],[CODE]]=16, Table37[ [#This Row],[Account Deposit Amount] ]-Table37[ [#This Row],[Account Withdrawl Amount] ], )</f>
        <v>-137.9</v>
      </c>
      <c r="U45" s="17">
        <f>IF(Table37[[#This Row],[CODE]]=17, Table37[ [#This Row],[Account Deposit Amount] ]-Table37[ [#This Row],[Account Withdrawl Amount] ], )</f>
        <v>0</v>
      </c>
      <c r="V45" s="19">
        <f>IF(Table37[[#This Row],[CODE]]=18, Table37[ [#This Row],[Account Deposit Amount] ]-Table37[ [#This Row],[Account Withdrawl Amount] ], )</f>
        <v>0</v>
      </c>
    </row>
    <row r="46" spans="1:22" ht="15" thickBot="1">
      <c r="A46" t="s">
        <v>241</v>
      </c>
      <c r="B46" s="107">
        <v>44712</v>
      </c>
      <c r="C46" s="108" t="s">
        <v>314</v>
      </c>
      <c r="D46" s="108" t="s">
        <v>315</v>
      </c>
      <c r="E46"/>
      <c r="F46">
        <v>28.56</v>
      </c>
      <c r="G46" s="82">
        <f t="shared" si="1"/>
        <v>21850.35</v>
      </c>
      <c r="H46" s="108">
        <v>13</v>
      </c>
      <c r="I46" s="17">
        <f>IF(Table37[[#This Row],[CODE]]=1, Table37[ [#This Row],[Account Deposit Amount] ]-Table37[ [#This Row],[Account Withdrawl Amount] ], )</f>
        <v>0</v>
      </c>
      <c r="J46" s="18">
        <f>IF(Table37[[#This Row],[CODE]]=2, Table37[ [#This Row],[Account Deposit Amount] ]-Table37[ [#This Row],[Account Withdrawl Amount] ], )</f>
        <v>0</v>
      </c>
      <c r="K46" s="18">
        <f>IF(Table37[[#This Row],[CODE]]=3, Table37[ [#This Row],[Account Deposit Amount] ]-Table37[ [#This Row],[Account Withdrawl Amount] ], )</f>
        <v>0</v>
      </c>
      <c r="L46" s="18">
        <f>IF(Table37[[#This Row],[CODE]]=4, Table37[ [#This Row],[Account Deposit Amount] ]-Table37[ [#This Row],[Account Withdrawl Amount] ], )</f>
        <v>0</v>
      </c>
      <c r="M46" s="18">
        <f>IF(Table37[[#This Row],[CODE]]=5, Table37[ [#This Row],[Account Deposit Amount] ]-Table37[ [#This Row],[Account Withdrawl Amount] ], )</f>
        <v>0</v>
      </c>
      <c r="N46" s="18">
        <f>IF(Table37[[#This Row],[CODE]]=6, Table37[ [#This Row],[Account Deposit Amount] ]-Table37[ [#This Row],[Account Withdrawl Amount] ], )</f>
        <v>0</v>
      </c>
      <c r="O46" s="18">
        <f>IF(Table37[[#This Row],[CODE]]=11, Table37[ [#This Row],[Account Deposit Amount] ]-Table37[ [#This Row],[Account Withdrawl Amount] ], )</f>
        <v>0</v>
      </c>
      <c r="P46" s="18">
        <f>IF(Table37[[#This Row],[CODE]]=12, Table37[ [#This Row],[Account Deposit Amount] ]-Table37[ [#This Row],[Account Withdrawl Amount] ], )</f>
        <v>0</v>
      </c>
      <c r="Q46" s="18">
        <f>IF(Table37[[#This Row],[CODE]]=13, Table37[ [#This Row],[Account Deposit Amount] ]-Table37[ [#This Row],[Account Withdrawl Amount] ], )</f>
        <v>-28.56</v>
      </c>
      <c r="R46" s="18">
        <f>IF(Table37[[#This Row],[CODE]]=14, Table37[ [#This Row],[Account Deposit Amount] ]-Table37[ [#This Row],[Account Withdrawl Amount] ], )</f>
        <v>0</v>
      </c>
      <c r="S46" s="18">
        <f>IF(Table37[[#This Row],[CODE]]=15, Table37[ [#This Row],[Account Deposit Amount] ]-Table37[ [#This Row],[Account Withdrawl Amount] ], )</f>
        <v>0</v>
      </c>
      <c r="T46" s="18">
        <f>IF(Table37[[#This Row],[CODE]]=16, Table37[ [#This Row],[Account Deposit Amount] ]-Table37[ [#This Row],[Account Withdrawl Amount] ], )</f>
        <v>0</v>
      </c>
      <c r="U46" s="17">
        <f>IF(Table37[[#This Row],[CODE]]=17, Table37[ [#This Row],[Account Deposit Amount] ]-Table37[ [#This Row],[Account Withdrawl Amount] ], )</f>
        <v>0</v>
      </c>
      <c r="V46" s="19">
        <f>IF(Table37[[#This Row],[CODE]]=18, Table37[ [#This Row],[Account Deposit Amount] ]-Table37[ [#This Row],[Account Withdrawl Amount] ], )</f>
        <v>0</v>
      </c>
    </row>
    <row r="47" spans="1:22" ht="15" thickBot="1">
      <c r="A47" t="s">
        <v>241</v>
      </c>
      <c r="B47" s="107">
        <v>44712</v>
      </c>
      <c r="C47" s="108" t="s">
        <v>242</v>
      </c>
      <c r="D47" s="108" t="s">
        <v>316</v>
      </c>
      <c r="E47"/>
      <c r="F47">
        <v>18.309999999999999</v>
      </c>
      <c r="G47" s="82">
        <f t="shared" si="1"/>
        <v>21832.039999999997</v>
      </c>
      <c r="H47" s="108">
        <v>13</v>
      </c>
      <c r="I47" s="17">
        <f>IF(Table37[[#This Row],[CODE]]=1, Table37[ [#This Row],[Account Deposit Amount] ]-Table37[ [#This Row],[Account Withdrawl Amount] ], )</f>
        <v>0</v>
      </c>
      <c r="J47" s="18">
        <f>IF(Table37[[#This Row],[CODE]]=2, Table37[ [#This Row],[Account Deposit Amount] ]-Table37[ [#This Row],[Account Withdrawl Amount] ], )</f>
        <v>0</v>
      </c>
      <c r="K47" s="18">
        <f>IF(Table37[[#This Row],[CODE]]=3, Table37[ [#This Row],[Account Deposit Amount] ]-Table37[ [#This Row],[Account Withdrawl Amount] ], )</f>
        <v>0</v>
      </c>
      <c r="L47" s="18">
        <f>IF(Table37[[#This Row],[CODE]]=4, Table37[ [#This Row],[Account Deposit Amount] ]-Table37[ [#This Row],[Account Withdrawl Amount] ], )</f>
        <v>0</v>
      </c>
      <c r="M47" s="18">
        <f>IF(Table37[[#This Row],[CODE]]=5, Table37[ [#This Row],[Account Deposit Amount] ]-Table37[ [#This Row],[Account Withdrawl Amount] ], )</f>
        <v>0</v>
      </c>
      <c r="N47" s="18">
        <f>IF(Table37[[#This Row],[CODE]]=6, Table37[ [#This Row],[Account Deposit Amount] ]-Table37[ [#This Row],[Account Withdrawl Amount] ], )</f>
        <v>0</v>
      </c>
      <c r="O47" s="18">
        <f>IF(Table37[[#This Row],[CODE]]=11, Table37[ [#This Row],[Account Deposit Amount] ]-Table37[ [#This Row],[Account Withdrawl Amount] ], )</f>
        <v>0</v>
      </c>
      <c r="P47" s="18">
        <f>IF(Table37[[#This Row],[CODE]]=12, Table37[ [#This Row],[Account Deposit Amount] ]-Table37[ [#This Row],[Account Withdrawl Amount] ], )</f>
        <v>0</v>
      </c>
      <c r="Q47" s="18">
        <f>IF(Table37[[#This Row],[CODE]]=13, Table37[ [#This Row],[Account Deposit Amount] ]-Table37[ [#This Row],[Account Withdrawl Amount] ], )</f>
        <v>-18.309999999999999</v>
      </c>
      <c r="R47" s="18">
        <f>IF(Table37[[#This Row],[CODE]]=14, Table37[ [#This Row],[Account Deposit Amount] ]-Table37[ [#This Row],[Account Withdrawl Amount] ], )</f>
        <v>0</v>
      </c>
      <c r="S47" s="18">
        <f>IF(Table37[[#This Row],[CODE]]=15, Table37[ [#This Row],[Account Deposit Amount] ]-Table37[ [#This Row],[Account Withdrawl Amount] ], )</f>
        <v>0</v>
      </c>
      <c r="T47" s="18">
        <f>IF(Table37[[#This Row],[CODE]]=16, Table37[ [#This Row],[Account Deposit Amount] ]-Table37[ [#This Row],[Account Withdrawl Amount] ], )</f>
        <v>0</v>
      </c>
      <c r="U47" s="17">
        <f>IF(Table37[[#This Row],[CODE]]=17, Table37[ [#This Row],[Account Deposit Amount] ]-Table37[ [#This Row],[Account Withdrawl Amount] ], )</f>
        <v>0</v>
      </c>
      <c r="V47" s="19">
        <f>IF(Table37[[#This Row],[CODE]]=18, Table37[ [#This Row],[Account Deposit Amount] ]-Table37[ [#This Row],[Account Withdrawl Amount] ], )</f>
        <v>0</v>
      </c>
    </row>
    <row r="48" spans="1:22" ht="16.2" thickBot="1">
      <c r="A48" t="s">
        <v>241</v>
      </c>
      <c r="B48" s="107">
        <v>44712</v>
      </c>
      <c r="C48" s="111" t="s">
        <v>317</v>
      </c>
      <c r="D48" s="108" t="s">
        <v>318</v>
      </c>
      <c r="E48" s="112"/>
      <c r="F48" s="112">
        <v>36.020000000000003</v>
      </c>
      <c r="G48" s="82">
        <f t="shared" si="1"/>
        <v>21796.019999999997</v>
      </c>
      <c r="H48" s="108">
        <v>13</v>
      </c>
      <c r="I48" s="17">
        <f>IF(Table37[[#This Row],[CODE]]=1, Table37[ [#This Row],[Account Deposit Amount] ]-Table37[ [#This Row],[Account Withdrawl Amount] ], )</f>
        <v>0</v>
      </c>
      <c r="J48" s="18">
        <f>IF(Table37[[#This Row],[CODE]]=2, Table37[ [#This Row],[Account Deposit Amount] ]-Table37[ [#This Row],[Account Withdrawl Amount] ], )</f>
        <v>0</v>
      </c>
      <c r="K48" s="18">
        <f>IF(Table37[[#This Row],[CODE]]=3, Table37[ [#This Row],[Account Deposit Amount] ]-Table37[ [#This Row],[Account Withdrawl Amount] ], )</f>
        <v>0</v>
      </c>
      <c r="L48" s="18">
        <f>IF(Table37[[#This Row],[CODE]]=4, Table37[ [#This Row],[Account Deposit Amount] ]-Table37[ [#This Row],[Account Withdrawl Amount] ], )</f>
        <v>0</v>
      </c>
      <c r="M48" s="18">
        <f>IF(Table37[[#This Row],[CODE]]=5, Table37[ [#This Row],[Account Deposit Amount] ]-Table37[ [#This Row],[Account Withdrawl Amount] ], )</f>
        <v>0</v>
      </c>
      <c r="N48" s="18">
        <f>IF(Table37[[#This Row],[CODE]]=6, Table37[ [#This Row],[Account Deposit Amount] ]-Table37[ [#This Row],[Account Withdrawl Amount] ], )</f>
        <v>0</v>
      </c>
      <c r="O48" s="18">
        <f>IF(Table37[[#This Row],[CODE]]=11, Table37[ [#This Row],[Account Deposit Amount] ]-Table37[ [#This Row],[Account Withdrawl Amount] ], )</f>
        <v>0</v>
      </c>
      <c r="P48" s="18">
        <f>IF(Table37[[#This Row],[CODE]]=12, Table37[ [#This Row],[Account Deposit Amount] ]-Table37[ [#This Row],[Account Withdrawl Amount] ], )</f>
        <v>0</v>
      </c>
      <c r="Q48" s="18">
        <f>IF(Table37[[#This Row],[CODE]]=13, Table37[ [#This Row],[Account Deposit Amount] ]-Table37[ [#This Row],[Account Withdrawl Amount] ], )</f>
        <v>-36.020000000000003</v>
      </c>
      <c r="R48" s="18">
        <f>IF(Table37[[#This Row],[CODE]]=14, Table37[ [#This Row],[Account Deposit Amount] ]-Table37[ [#This Row],[Account Withdrawl Amount] ], )</f>
        <v>0</v>
      </c>
      <c r="S48" s="18">
        <f>IF(Table37[[#This Row],[CODE]]=15, Table37[ [#This Row],[Account Deposit Amount] ]-Table37[ [#This Row],[Account Withdrawl Amount] ], )</f>
        <v>0</v>
      </c>
      <c r="T48" s="18">
        <f>IF(Table37[[#This Row],[CODE]]=16, Table37[ [#This Row],[Account Deposit Amount] ]-Table37[ [#This Row],[Account Withdrawl Amount] ], )</f>
        <v>0</v>
      </c>
      <c r="U48" s="17">
        <f>IF(Table37[[#This Row],[CODE]]=17, Table37[ [#This Row],[Account Deposit Amount] ]-Table37[ [#This Row],[Account Withdrawl Amount] ], )</f>
        <v>0</v>
      </c>
      <c r="V48" s="19">
        <f>IF(Table37[[#This Row],[CODE]]=18, Table37[ [#This Row],[Account Deposit Amount] ]-Table37[ [#This Row],[Account Withdrawl Amount] ], )</f>
        <v>0</v>
      </c>
    </row>
    <row r="49" spans="1:22" ht="15" thickBot="1">
      <c r="A49" t="s">
        <v>241</v>
      </c>
      <c r="B49" s="107">
        <v>44712</v>
      </c>
      <c r="C49" s="111" t="s">
        <v>317</v>
      </c>
      <c r="D49" s="108" t="s">
        <v>319</v>
      </c>
      <c r="E49"/>
      <c r="F49">
        <v>21.76</v>
      </c>
      <c r="G49" s="82">
        <f t="shared" si="1"/>
        <v>21774.26</v>
      </c>
      <c r="H49" s="108">
        <v>13</v>
      </c>
      <c r="I49" s="17">
        <f>IF(Table37[[#This Row],[CODE]]=1, Table37[ [#This Row],[Account Deposit Amount] ]-Table37[ [#This Row],[Account Withdrawl Amount] ], )</f>
        <v>0</v>
      </c>
      <c r="J49" s="18">
        <f>IF(Table37[[#This Row],[CODE]]=2, Table37[ [#This Row],[Account Deposit Amount] ]-Table37[ [#This Row],[Account Withdrawl Amount] ], )</f>
        <v>0</v>
      </c>
      <c r="K49" s="18">
        <f>IF(Table37[[#This Row],[CODE]]=3, Table37[ [#This Row],[Account Deposit Amount] ]-Table37[ [#This Row],[Account Withdrawl Amount] ], )</f>
        <v>0</v>
      </c>
      <c r="L49" s="18">
        <f>IF(Table37[[#This Row],[CODE]]=4, Table37[ [#This Row],[Account Deposit Amount] ]-Table37[ [#This Row],[Account Withdrawl Amount] ], )</f>
        <v>0</v>
      </c>
      <c r="M49" s="18">
        <f>IF(Table37[[#This Row],[CODE]]=5, Table37[ [#This Row],[Account Deposit Amount] ]-Table37[ [#This Row],[Account Withdrawl Amount] ], )</f>
        <v>0</v>
      </c>
      <c r="N49" s="18">
        <f>IF(Table37[[#This Row],[CODE]]=6, Table37[ [#This Row],[Account Deposit Amount] ]-Table37[ [#This Row],[Account Withdrawl Amount] ], )</f>
        <v>0</v>
      </c>
      <c r="O49" s="18">
        <f>IF(Table37[[#This Row],[CODE]]=11, Table37[ [#This Row],[Account Deposit Amount] ]-Table37[ [#This Row],[Account Withdrawl Amount] ], )</f>
        <v>0</v>
      </c>
      <c r="P49" s="18">
        <f>IF(Table37[[#This Row],[CODE]]=12, Table37[ [#This Row],[Account Deposit Amount] ]-Table37[ [#This Row],[Account Withdrawl Amount] ], )</f>
        <v>0</v>
      </c>
      <c r="Q49" s="18">
        <f>IF(Table37[[#This Row],[CODE]]=13, Table37[ [#This Row],[Account Deposit Amount] ]-Table37[ [#This Row],[Account Withdrawl Amount] ], )</f>
        <v>-21.76</v>
      </c>
      <c r="R49" s="18">
        <f>IF(Table37[[#This Row],[CODE]]=14, Table37[ [#This Row],[Account Deposit Amount] ]-Table37[ [#This Row],[Account Withdrawl Amount] ], )</f>
        <v>0</v>
      </c>
      <c r="S49" s="18">
        <f>IF(Table37[[#This Row],[CODE]]=15, Table37[ [#This Row],[Account Deposit Amount] ]-Table37[ [#This Row],[Account Withdrawl Amount] ], )</f>
        <v>0</v>
      </c>
      <c r="T49" s="18">
        <f>IF(Table37[[#This Row],[CODE]]=16, Table37[ [#This Row],[Account Deposit Amount] ]-Table37[ [#This Row],[Account Withdrawl Amount] ], )</f>
        <v>0</v>
      </c>
      <c r="U49" s="17">
        <f>IF(Table37[[#This Row],[CODE]]=17, Table37[ [#This Row],[Account Deposit Amount] ]-Table37[ [#This Row],[Account Withdrawl Amount] ], )</f>
        <v>0</v>
      </c>
      <c r="V49" s="19">
        <f>IF(Table37[[#This Row],[CODE]]=18, Table37[ [#This Row],[Account Deposit Amount] ]-Table37[ [#This Row],[Account Withdrawl Amount] ], )</f>
        <v>0</v>
      </c>
    </row>
    <row r="50" spans="1:22" ht="12.6" thickBot="1">
      <c r="A50" s="23"/>
      <c r="B50" s="24"/>
      <c r="C50" s="23"/>
      <c r="D50" s="25"/>
      <c r="E50" s="26"/>
      <c r="F50" s="26"/>
      <c r="G50" s="37">
        <f t="shared" si="1"/>
        <v>21774.26</v>
      </c>
      <c r="H50" s="153"/>
      <c r="I50" s="17">
        <f>IF(Table37[[#This Row],[CODE]]=1, Table37[ [#This Row],[Account Deposit Amount] ]-Table37[ [#This Row],[Account Withdrawl Amount] ], )</f>
        <v>0</v>
      </c>
      <c r="J50" s="18">
        <f>IF(Table37[[#This Row],[CODE]]=2, Table37[ [#This Row],[Account Deposit Amount] ]-Table37[ [#This Row],[Account Withdrawl Amount] ], )</f>
        <v>0</v>
      </c>
      <c r="K50" s="18">
        <f>IF(Table37[[#This Row],[CODE]]=3, Table37[ [#This Row],[Account Deposit Amount] ]-Table37[ [#This Row],[Account Withdrawl Amount] ], )</f>
        <v>0</v>
      </c>
      <c r="L50" s="18">
        <f>IF(Table37[[#This Row],[CODE]]=4, Table37[ [#This Row],[Account Deposit Amount] ]-Table37[ [#This Row],[Account Withdrawl Amount] ], )</f>
        <v>0</v>
      </c>
      <c r="M50" s="18">
        <f>IF(Table37[[#This Row],[CODE]]=5, Table37[ [#This Row],[Account Deposit Amount] ]-Table37[ [#This Row],[Account Withdrawl Amount] ], )</f>
        <v>0</v>
      </c>
      <c r="N50" s="18">
        <f>IF(Table37[[#This Row],[CODE]]=6, Table37[ [#This Row],[Account Deposit Amount] ]-Table37[ [#This Row],[Account Withdrawl Amount] ], )</f>
        <v>0</v>
      </c>
      <c r="O50" s="18">
        <f>IF(Table37[[#This Row],[CODE]]=11, Table37[ [#This Row],[Account Deposit Amount] ]-Table37[ [#This Row],[Account Withdrawl Amount] ], )</f>
        <v>0</v>
      </c>
      <c r="P50" s="18">
        <f>IF(Table37[[#This Row],[CODE]]=12, Table37[ [#This Row],[Account Deposit Amount] ]-Table37[ [#This Row],[Account Withdrawl Amount] ], )</f>
        <v>0</v>
      </c>
      <c r="Q50" s="18">
        <f>IF(Table37[[#This Row],[CODE]]=13, Table37[ [#This Row],[Account Deposit Amount] ]-Table37[ [#This Row],[Account Withdrawl Amount] ], )</f>
        <v>0</v>
      </c>
      <c r="R50" s="18">
        <f>IF(Table37[[#This Row],[CODE]]=14, Table37[ [#This Row],[Account Deposit Amount] ]-Table37[ [#This Row],[Account Withdrawl Amount] ], )</f>
        <v>0</v>
      </c>
      <c r="S50" s="18">
        <f>IF(Table37[[#This Row],[CODE]]=15, Table37[ [#This Row],[Account Deposit Amount] ]-Table37[ [#This Row],[Account Withdrawl Amount] ], )</f>
        <v>0</v>
      </c>
      <c r="T50" s="18">
        <f>IF(Table37[[#This Row],[CODE]]=16, Table37[ [#This Row],[Account Deposit Amount] ]-Table37[ [#This Row],[Account Withdrawl Amount] ], )</f>
        <v>0</v>
      </c>
      <c r="U50" s="17">
        <f>IF(Table37[[#This Row],[CODE]]=17, Table37[ [#This Row],[Account Deposit Amount] ]-Table37[ [#This Row],[Account Withdrawl Amount] ], )</f>
        <v>0</v>
      </c>
      <c r="V50" s="19">
        <f>IF(Table37[[#This Row],[CODE]]=18, Table37[ [#This Row],[Account Deposit Amount] ]-Table37[ [#This Row],[Account Withdrawl Amount] ], )</f>
        <v>0</v>
      </c>
    </row>
    <row r="51" spans="1:22" ht="16.2" thickBot="1">
      <c r="A51" s="113"/>
      <c r="B51" s="114"/>
      <c r="C51" s="115"/>
      <c r="D51" s="115"/>
      <c r="E51" s="116"/>
      <c r="F51" s="117"/>
      <c r="G51" s="82">
        <f>G50+E51-F51</f>
        <v>21774.26</v>
      </c>
      <c r="H51" s="115"/>
      <c r="I51" s="17">
        <f>IF(Table37[[#This Row],[CODE]]=1, Table37[ [#This Row],[Account Deposit Amount] ]-Table37[ [#This Row],[Account Withdrawl Amount] ], )</f>
        <v>0</v>
      </c>
      <c r="J51" s="18">
        <f>IF(Table37[[#This Row],[CODE]]=2, Table37[ [#This Row],[Account Deposit Amount] ]-Table37[ [#This Row],[Account Withdrawl Amount] ], )</f>
        <v>0</v>
      </c>
      <c r="K51" s="18">
        <f>IF(Table37[[#This Row],[CODE]]=3, Table37[ [#This Row],[Account Deposit Amount] ]-Table37[ [#This Row],[Account Withdrawl Amount] ], )</f>
        <v>0</v>
      </c>
      <c r="L51" s="18">
        <f>IF(Table37[[#This Row],[CODE]]=4, Table37[ [#This Row],[Account Deposit Amount] ]-Table37[ [#This Row],[Account Withdrawl Amount] ], )</f>
        <v>0</v>
      </c>
      <c r="M51" s="18">
        <f>IF(Table37[[#This Row],[CODE]]=5, Table37[ [#This Row],[Account Deposit Amount] ]-Table37[ [#This Row],[Account Withdrawl Amount] ], )</f>
        <v>0</v>
      </c>
      <c r="N51" s="18">
        <f>IF(Table37[[#This Row],[CODE]]=6, Table37[ [#This Row],[Account Deposit Amount] ]-Table37[ [#This Row],[Account Withdrawl Amount] ], )</f>
        <v>0</v>
      </c>
      <c r="O51" s="18">
        <f>IF(Table37[[#This Row],[CODE]]=11, Table37[ [#This Row],[Account Deposit Amount] ]-Table37[ [#This Row],[Account Withdrawl Amount] ], )</f>
        <v>0</v>
      </c>
      <c r="P51" s="18">
        <f>IF(Table37[[#This Row],[CODE]]=12, Table37[ [#This Row],[Account Deposit Amount] ]-Table37[ [#This Row],[Account Withdrawl Amount] ], )</f>
        <v>0</v>
      </c>
      <c r="Q51" s="18">
        <f>IF(Table37[[#This Row],[CODE]]=13, Table37[ [#This Row],[Account Deposit Amount] ]-Table37[ [#This Row],[Account Withdrawl Amount] ], )</f>
        <v>0</v>
      </c>
      <c r="R51" s="18">
        <f>IF(Table37[[#This Row],[CODE]]=14, Table37[ [#This Row],[Account Deposit Amount] ]-Table37[ [#This Row],[Account Withdrawl Amount] ], )</f>
        <v>0</v>
      </c>
      <c r="S51" s="18">
        <f>IF(Table37[[#This Row],[CODE]]=15, Table37[ [#This Row],[Account Deposit Amount] ]-Table37[ [#This Row],[Account Withdrawl Amount] ], )</f>
        <v>0</v>
      </c>
      <c r="T51" s="18">
        <f>IF(Table37[[#This Row],[CODE]]=16, Table37[ [#This Row],[Account Deposit Amount] ]-Table37[ [#This Row],[Account Withdrawl Amount] ], )</f>
        <v>0</v>
      </c>
      <c r="U51" s="17">
        <f>IF(Table37[[#This Row],[CODE]]=17, Table37[ [#This Row],[Account Deposit Amount] ]-Table37[ [#This Row],[Account Withdrawl Amount] ], )</f>
        <v>0</v>
      </c>
      <c r="V51" s="19">
        <f>IF(Table37[[#This Row],[CODE]]=18, Table37[ [#This Row],[Account Deposit Amount] ]-Table37[ [#This Row],[Account Withdrawl Amount] ], )</f>
        <v>0</v>
      </c>
    </row>
    <row r="52" spans="1:22" ht="15" thickBot="1">
      <c r="A52" s="118"/>
      <c r="B52" s="114"/>
      <c r="C52" s="115"/>
      <c r="D52" s="110"/>
      <c r="E52" s="116"/>
      <c r="F52" s="116"/>
      <c r="G52" s="82">
        <f t="shared" ref="G52:G80" si="2">G51+E52-F52</f>
        <v>21774.26</v>
      </c>
      <c r="H52" s="108"/>
      <c r="I52" s="17">
        <f>IF(Table37[[#This Row],[CODE]]=1, Table37[ [#This Row],[Account Deposit Amount] ]-Table37[ [#This Row],[Account Withdrawl Amount] ], )</f>
        <v>0</v>
      </c>
      <c r="J52" s="18">
        <f>IF(Table37[[#This Row],[CODE]]=2, Table37[ [#This Row],[Account Deposit Amount] ]-Table37[ [#This Row],[Account Withdrawl Amount] ], )</f>
        <v>0</v>
      </c>
      <c r="K52" s="18">
        <f>IF(Table37[[#This Row],[CODE]]=3, Table37[ [#This Row],[Account Deposit Amount] ]-Table37[ [#This Row],[Account Withdrawl Amount] ], )</f>
        <v>0</v>
      </c>
      <c r="L52" s="18">
        <f>IF(Table37[[#This Row],[CODE]]=4, Table37[ [#This Row],[Account Deposit Amount] ]-Table37[ [#This Row],[Account Withdrawl Amount] ], )</f>
        <v>0</v>
      </c>
      <c r="M52" s="18">
        <f>IF(Table37[[#This Row],[CODE]]=5, Table37[ [#This Row],[Account Deposit Amount] ]-Table37[ [#This Row],[Account Withdrawl Amount] ], )</f>
        <v>0</v>
      </c>
      <c r="N52" s="18">
        <f>IF(Table37[[#This Row],[CODE]]=6, Table37[ [#This Row],[Account Deposit Amount] ]-Table37[ [#This Row],[Account Withdrawl Amount] ], )</f>
        <v>0</v>
      </c>
      <c r="O52" s="18">
        <f>IF(Table37[[#This Row],[CODE]]=11, Table37[ [#This Row],[Account Deposit Amount] ]-Table37[ [#This Row],[Account Withdrawl Amount] ], )</f>
        <v>0</v>
      </c>
      <c r="P52" s="18">
        <f>IF(Table37[[#This Row],[CODE]]=12, Table37[ [#This Row],[Account Deposit Amount] ]-Table37[ [#This Row],[Account Withdrawl Amount] ], )</f>
        <v>0</v>
      </c>
      <c r="Q52" s="18">
        <f>IF(Table37[[#This Row],[CODE]]=13, Table37[ [#This Row],[Account Deposit Amount] ]-Table37[ [#This Row],[Account Withdrawl Amount] ], )</f>
        <v>0</v>
      </c>
      <c r="R52" s="18">
        <f>IF(Table37[[#This Row],[CODE]]=14, Table37[ [#This Row],[Account Deposit Amount] ]-Table37[ [#This Row],[Account Withdrawl Amount] ], )</f>
        <v>0</v>
      </c>
      <c r="S52" s="18">
        <f>IF(Table37[[#This Row],[CODE]]=15, Table37[ [#This Row],[Account Deposit Amount] ]-Table37[ [#This Row],[Account Withdrawl Amount] ], )</f>
        <v>0</v>
      </c>
      <c r="T52" s="18">
        <f>IF(Table37[[#This Row],[CODE]]=16, Table37[ [#This Row],[Account Deposit Amount] ]-Table37[ [#This Row],[Account Withdrawl Amount] ], )</f>
        <v>0</v>
      </c>
      <c r="U52" s="17">
        <f>IF(Table37[[#This Row],[CODE]]=17, Table37[ [#This Row],[Account Deposit Amount] ]-Table37[ [#This Row],[Account Withdrawl Amount] ], )</f>
        <v>0</v>
      </c>
      <c r="V52" s="19">
        <f>IF(Table37[[#This Row],[CODE]]=18, Table37[ [#This Row],[Account Deposit Amount] ]-Table37[ [#This Row],[Account Withdrawl Amount] ], )</f>
        <v>0</v>
      </c>
    </row>
    <row r="53" spans="1:22" ht="13.8" thickBot="1">
      <c r="A53" s="116"/>
      <c r="B53" s="119"/>
      <c r="C53" s="116"/>
      <c r="D53" s="120"/>
      <c r="E53" s="116"/>
      <c r="F53" s="116"/>
      <c r="G53" s="82">
        <f t="shared" si="2"/>
        <v>21774.26</v>
      </c>
      <c r="H53" s="118"/>
      <c r="I53" s="125">
        <f>IF(Table37[[#This Row],[CODE]]=1, Table37[ [#This Row],[Account Deposit Amount] ]-Table37[ [#This Row],[Account Withdrawl Amount] ], )</f>
        <v>0</v>
      </c>
      <c r="J53" s="18">
        <f>IF(Table37[[#This Row],[CODE]]=2, Table37[ [#This Row],[Account Deposit Amount] ]-Table37[ [#This Row],[Account Withdrawl Amount] ], )</f>
        <v>0</v>
      </c>
      <c r="K53" s="18">
        <f>IF(Table37[[#This Row],[CODE]]=3, Table37[ [#This Row],[Account Deposit Amount] ]-Table37[ [#This Row],[Account Withdrawl Amount] ], )</f>
        <v>0</v>
      </c>
      <c r="L53" s="18">
        <f>IF(Table37[[#This Row],[CODE]]=4, Table37[ [#This Row],[Account Deposit Amount] ]-Table37[ [#This Row],[Account Withdrawl Amount] ], )</f>
        <v>0</v>
      </c>
      <c r="M53" s="18">
        <f>IF(Table37[[#This Row],[CODE]]=5, Table37[ [#This Row],[Account Deposit Amount] ]-Table37[ [#This Row],[Account Withdrawl Amount] ], )</f>
        <v>0</v>
      </c>
      <c r="N53" s="18">
        <f>IF(Table37[[#This Row],[CODE]]=6, Table37[ [#This Row],[Account Deposit Amount] ]-Table37[ [#This Row],[Account Withdrawl Amount] ], )</f>
        <v>0</v>
      </c>
      <c r="O53" s="18">
        <f>IF(Table37[[#This Row],[CODE]]=11, Table37[ [#This Row],[Account Deposit Amount] ]-Table37[ [#This Row],[Account Withdrawl Amount] ], )</f>
        <v>0</v>
      </c>
      <c r="P53" s="18">
        <f>IF(Table37[[#This Row],[CODE]]=12, Table37[ [#This Row],[Account Deposit Amount] ]-Table37[ [#This Row],[Account Withdrawl Amount] ], )</f>
        <v>0</v>
      </c>
      <c r="Q53" s="18">
        <f>IF(Table37[[#This Row],[CODE]]=13, Table37[ [#This Row],[Account Deposit Amount] ]-Table37[ [#This Row],[Account Withdrawl Amount] ], )</f>
        <v>0</v>
      </c>
      <c r="R53" s="18">
        <f>IF(Table37[[#This Row],[CODE]]=14, Table37[ [#This Row],[Account Deposit Amount] ]-Table37[ [#This Row],[Account Withdrawl Amount] ], )</f>
        <v>0</v>
      </c>
      <c r="S53" s="18">
        <f>IF(Table37[[#This Row],[CODE]]=15, Table37[ [#This Row],[Account Deposit Amount] ]-Table37[ [#This Row],[Account Withdrawl Amount] ], )</f>
        <v>0</v>
      </c>
      <c r="T53" s="18">
        <f>IF(Table37[[#This Row],[CODE]]=16, Table37[ [#This Row],[Account Deposit Amount] ]-Table37[ [#This Row],[Account Withdrawl Amount] ], )</f>
        <v>0</v>
      </c>
      <c r="U53" s="17">
        <f>IF(Table37[[#This Row],[CODE]]=17, Table37[ [#This Row],[Account Deposit Amount] ]-Table37[ [#This Row],[Account Withdrawl Amount] ], )</f>
        <v>0</v>
      </c>
      <c r="V53" s="19">
        <f>IF(Table37[[#This Row],[CODE]]=18, Table37[ [#This Row],[Account Deposit Amount] ]-Table37[ [#This Row],[Account Withdrawl Amount] ], )</f>
        <v>0</v>
      </c>
    </row>
    <row r="54" spans="1:22" ht="13.8" thickBot="1">
      <c r="A54" s="116"/>
      <c r="B54" s="119"/>
      <c r="C54" s="116"/>
      <c r="D54" s="120"/>
      <c r="E54" s="116"/>
      <c r="F54" s="116"/>
      <c r="G54" s="82">
        <f t="shared" si="2"/>
        <v>21774.26</v>
      </c>
      <c r="H54" s="118"/>
      <c r="I54" s="125">
        <f>IF(Table37[[#This Row],[CODE]]=1, Table37[ [#This Row],[Account Deposit Amount] ]-Table37[ [#This Row],[Account Withdrawl Amount] ], )</f>
        <v>0</v>
      </c>
      <c r="J54" s="18">
        <f>IF(Table37[[#This Row],[CODE]]=2, Table37[ [#This Row],[Account Deposit Amount] ]-Table37[ [#This Row],[Account Withdrawl Amount] ], )</f>
        <v>0</v>
      </c>
      <c r="K54" s="18">
        <f>IF(Table37[[#This Row],[CODE]]=3, Table37[ [#This Row],[Account Deposit Amount] ]-Table37[ [#This Row],[Account Withdrawl Amount] ], )</f>
        <v>0</v>
      </c>
      <c r="L54" s="18">
        <f>IF(Table37[[#This Row],[CODE]]=4, Table37[ [#This Row],[Account Deposit Amount] ]-Table37[ [#This Row],[Account Withdrawl Amount] ], )</f>
        <v>0</v>
      </c>
      <c r="M54" s="18">
        <f>IF(Table37[[#This Row],[CODE]]=5, Table37[ [#This Row],[Account Deposit Amount] ]-Table37[ [#This Row],[Account Withdrawl Amount] ], )</f>
        <v>0</v>
      </c>
      <c r="N54" s="18">
        <f>IF(Table37[[#This Row],[CODE]]=6, Table37[ [#This Row],[Account Deposit Amount] ]-Table37[ [#This Row],[Account Withdrawl Amount] ], )</f>
        <v>0</v>
      </c>
      <c r="O54" s="18">
        <f>IF(Table37[[#This Row],[CODE]]=11, Table37[ [#This Row],[Account Deposit Amount] ]-Table37[ [#This Row],[Account Withdrawl Amount] ], )</f>
        <v>0</v>
      </c>
      <c r="P54" s="18">
        <f>IF(Table37[[#This Row],[CODE]]=12, Table37[ [#This Row],[Account Deposit Amount] ]-Table37[ [#This Row],[Account Withdrawl Amount] ], )</f>
        <v>0</v>
      </c>
      <c r="Q54" s="18">
        <f>IF(Table37[[#This Row],[CODE]]=13, Table37[ [#This Row],[Account Deposit Amount] ]-Table37[ [#This Row],[Account Withdrawl Amount] ], )</f>
        <v>0</v>
      </c>
      <c r="R54" s="18">
        <f>IF(Table37[[#This Row],[CODE]]=14, Table37[ [#This Row],[Account Deposit Amount] ]-Table37[ [#This Row],[Account Withdrawl Amount] ], )</f>
        <v>0</v>
      </c>
      <c r="S54" s="18">
        <f>IF(Table37[[#This Row],[CODE]]=15, Table37[ [#This Row],[Account Deposit Amount] ]-Table37[ [#This Row],[Account Withdrawl Amount] ], )</f>
        <v>0</v>
      </c>
      <c r="T54" s="18">
        <f>IF(Table37[[#This Row],[CODE]]=16, Table37[ [#This Row],[Account Deposit Amount] ]-Table37[ [#This Row],[Account Withdrawl Amount] ], )</f>
        <v>0</v>
      </c>
      <c r="U54" s="17">
        <f>IF(Table37[[#This Row],[CODE]]=17, Table37[ [#This Row],[Account Deposit Amount] ]-Table37[ [#This Row],[Account Withdrawl Amount] ], )</f>
        <v>0</v>
      </c>
      <c r="V54" s="19">
        <f>IF(Table37[[#This Row],[CODE]]=18, Table37[ [#This Row],[Account Deposit Amount] ]-Table37[ [#This Row],[Account Withdrawl Amount] ], )</f>
        <v>0</v>
      </c>
    </row>
    <row r="55" spans="1:22" ht="13.8" thickBot="1">
      <c r="A55" s="116"/>
      <c r="B55" s="119"/>
      <c r="C55" s="116"/>
      <c r="D55" s="120"/>
      <c r="E55" s="116"/>
      <c r="F55" s="116"/>
      <c r="G55" s="82">
        <f t="shared" si="2"/>
        <v>21774.26</v>
      </c>
      <c r="H55" s="118"/>
      <c r="I55" s="125">
        <f>IF(Table37[[#This Row],[CODE]]=1, Table37[ [#This Row],[Account Deposit Amount] ]-Table37[ [#This Row],[Account Withdrawl Amount] ], )</f>
        <v>0</v>
      </c>
      <c r="J55" s="18">
        <f>IF(Table37[[#This Row],[CODE]]=2, Table37[ [#This Row],[Account Deposit Amount] ]-Table37[ [#This Row],[Account Withdrawl Amount] ], )</f>
        <v>0</v>
      </c>
      <c r="K55" s="18">
        <f>IF(Table37[[#This Row],[CODE]]=3, Table37[ [#This Row],[Account Deposit Amount] ]-Table37[ [#This Row],[Account Withdrawl Amount] ], )</f>
        <v>0</v>
      </c>
      <c r="L55" s="18">
        <f>IF(Table37[[#This Row],[CODE]]=4, Table37[ [#This Row],[Account Deposit Amount] ]-Table37[ [#This Row],[Account Withdrawl Amount] ], )</f>
        <v>0</v>
      </c>
      <c r="M55" s="18">
        <f>IF(Table37[[#This Row],[CODE]]=5, Table37[ [#This Row],[Account Deposit Amount] ]-Table37[ [#This Row],[Account Withdrawl Amount] ], )</f>
        <v>0</v>
      </c>
      <c r="N55" s="18">
        <f>IF(Table37[[#This Row],[CODE]]=6, Table37[ [#This Row],[Account Deposit Amount] ]-Table37[ [#This Row],[Account Withdrawl Amount] ], )</f>
        <v>0</v>
      </c>
      <c r="O55" s="18">
        <f>IF(Table37[[#This Row],[CODE]]=11, Table37[ [#This Row],[Account Deposit Amount] ]-Table37[ [#This Row],[Account Withdrawl Amount] ], )</f>
        <v>0</v>
      </c>
      <c r="P55" s="18">
        <f>IF(Table37[[#This Row],[CODE]]=12, Table37[ [#This Row],[Account Deposit Amount] ]-Table37[ [#This Row],[Account Withdrawl Amount] ], )</f>
        <v>0</v>
      </c>
      <c r="Q55" s="18">
        <f>IF(Table37[[#This Row],[CODE]]=13, Table37[ [#This Row],[Account Deposit Amount] ]-Table37[ [#This Row],[Account Withdrawl Amount] ], )</f>
        <v>0</v>
      </c>
      <c r="R55" s="18">
        <f>IF(Table37[[#This Row],[CODE]]=14, Table37[ [#This Row],[Account Deposit Amount] ]-Table37[ [#This Row],[Account Withdrawl Amount] ], )</f>
        <v>0</v>
      </c>
      <c r="S55" s="18">
        <f>IF(Table37[[#This Row],[CODE]]=15, Table37[ [#This Row],[Account Deposit Amount] ]-Table37[ [#This Row],[Account Withdrawl Amount] ], )</f>
        <v>0</v>
      </c>
      <c r="T55" s="18">
        <f>IF(Table37[[#This Row],[CODE]]=16, Table37[ [#This Row],[Account Deposit Amount] ]-Table37[ [#This Row],[Account Withdrawl Amount] ], )</f>
        <v>0</v>
      </c>
      <c r="U55" s="17">
        <f>IF(Table37[[#This Row],[CODE]]=17, Table37[ [#This Row],[Account Deposit Amount] ]-Table37[ [#This Row],[Account Withdrawl Amount] ], )</f>
        <v>0</v>
      </c>
      <c r="V55" s="19">
        <f>IF(Table37[[#This Row],[CODE]]=18, Table37[ [#This Row],[Account Deposit Amount] ]-Table37[ [#This Row],[Account Withdrawl Amount] ], )</f>
        <v>0</v>
      </c>
    </row>
    <row r="56" spans="1:22" ht="13.8" thickBot="1">
      <c r="A56" s="116"/>
      <c r="B56" s="119"/>
      <c r="C56" s="116"/>
      <c r="D56" s="120"/>
      <c r="E56" s="116"/>
      <c r="F56" s="116"/>
      <c r="G56" s="82">
        <f t="shared" si="2"/>
        <v>21774.26</v>
      </c>
      <c r="H56" s="118"/>
      <c r="I56" s="125">
        <f>IF(Table37[[#This Row],[CODE]]=1, Table37[ [#This Row],[Account Deposit Amount] ]-Table37[ [#This Row],[Account Withdrawl Amount] ], )</f>
        <v>0</v>
      </c>
      <c r="J56" s="18">
        <f>IF(Table37[[#This Row],[CODE]]=2, Table37[ [#This Row],[Account Deposit Amount] ]-Table37[ [#This Row],[Account Withdrawl Amount] ], )</f>
        <v>0</v>
      </c>
      <c r="K56" s="18">
        <f>IF(Table37[[#This Row],[CODE]]=3, Table37[ [#This Row],[Account Deposit Amount] ]-Table37[ [#This Row],[Account Withdrawl Amount] ], )</f>
        <v>0</v>
      </c>
      <c r="L56" s="18">
        <f>IF(Table37[[#This Row],[CODE]]=4, Table37[ [#This Row],[Account Deposit Amount] ]-Table37[ [#This Row],[Account Withdrawl Amount] ], )</f>
        <v>0</v>
      </c>
      <c r="M56" s="18">
        <f>IF(Table37[[#This Row],[CODE]]=5, Table37[ [#This Row],[Account Deposit Amount] ]-Table37[ [#This Row],[Account Withdrawl Amount] ], )</f>
        <v>0</v>
      </c>
      <c r="N56" s="18">
        <f>IF(Table37[[#This Row],[CODE]]=6, Table37[ [#This Row],[Account Deposit Amount] ]-Table37[ [#This Row],[Account Withdrawl Amount] ], )</f>
        <v>0</v>
      </c>
      <c r="O56" s="18">
        <f>IF(Table37[[#This Row],[CODE]]=11, Table37[ [#This Row],[Account Deposit Amount] ]-Table37[ [#This Row],[Account Withdrawl Amount] ], )</f>
        <v>0</v>
      </c>
      <c r="P56" s="18">
        <f>IF(Table37[[#This Row],[CODE]]=12, Table37[ [#This Row],[Account Deposit Amount] ]-Table37[ [#This Row],[Account Withdrawl Amount] ], )</f>
        <v>0</v>
      </c>
      <c r="Q56" s="18">
        <f>IF(Table37[[#This Row],[CODE]]=13, Table37[ [#This Row],[Account Deposit Amount] ]-Table37[ [#This Row],[Account Withdrawl Amount] ], )</f>
        <v>0</v>
      </c>
      <c r="R56" s="18">
        <f>IF(Table37[[#This Row],[CODE]]=14, Table37[ [#This Row],[Account Deposit Amount] ]-Table37[ [#This Row],[Account Withdrawl Amount] ], )</f>
        <v>0</v>
      </c>
      <c r="S56" s="18">
        <f>IF(Table37[[#This Row],[CODE]]=15, Table37[ [#This Row],[Account Deposit Amount] ]-Table37[ [#This Row],[Account Withdrawl Amount] ], )</f>
        <v>0</v>
      </c>
      <c r="T56" s="18">
        <f>IF(Table37[[#This Row],[CODE]]=16, Table37[ [#This Row],[Account Deposit Amount] ]-Table37[ [#This Row],[Account Withdrawl Amount] ], )</f>
        <v>0</v>
      </c>
      <c r="U56" s="17">
        <f>IF(Table37[[#This Row],[CODE]]=17, Table37[ [#This Row],[Account Deposit Amount] ]-Table37[ [#This Row],[Account Withdrawl Amount] ], )</f>
        <v>0</v>
      </c>
      <c r="V56" s="19">
        <f>IF(Table37[[#This Row],[CODE]]=18, Table37[ [#This Row],[Account Deposit Amount] ]-Table37[ [#This Row],[Account Withdrawl Amount] ], )</f>
        <v>0</v>
      </c>
    </row>
    <row r="57" spans="1:22" ht="13.8" thickBot="1">
      <c r="A57" s="116"/>
      <c r="B57" s="119"/>
      <c r="C57" s="116"/>
      <c r="D57" s="120"/>
      <c r="E57" s="116"/>
      <c r="F57" s="116"/>
      <c r="G57" s="82">
        <f t="shared" si="2"/>
        <v>21774.26</v>
      </c>
      <c r="H57" s="118"/>
      <c r="I57" s="125">
        <f>IF(Table37[[#This Row],[CODE]]=1, Table37[ [#This Row],[Account Deposit Amount] ]-Table37[ [#This Row],[Account Withdrawl Amount] ], )</f>
        <v>0</v>
      </c>
      <c r="J57" s="18">
        <f>IF(Table37[[#This Row],[CODE]]=2, Table37[ [#This Row],[Account Deposit Amount] ]-Table37[ [#This Row],[Account Withdrawl Amount] ], )</f>
        <v>0</v>
      </c>
      <c r="K57" s="18">
        <f>IF(Table37[[#This Row],[CODE]]=3, Table37[ [#This Row],[Account Deposit Amount] ]-Table37[ [#This Row],[Account Withdrawl Amount] ], )</f>
        <v>0</v>
      </c>
      <c r="L57" s="18">
        <f>IF(Table37[[#This Row],[CODE]]=4, Table37[ [#This Row],[Account Deposit Amount] ]-Table37[ [#This Row],[Account Withdrawl Amount] ], )</f>
        <v>0</v>
      </c>
      <c r="M57" s="18">
        <f>IF(Table37[[#This Row],[CODE]]=5, Table37[ [#This Row],[Account Deposit Amount] ]-Table37[ [#This Row],[Account Withdrawl Amount] ], )</f>
        <v>0</v>
      </c>
      <c r="N57" s="18">
        <f>IF(Table37[[#This Row],[CODE]]=6, Table37[ [#This Row],[Account Deposit Amount] ]-Table37[ [#This Row],[Account Withdrawl Amount] ], )</f>
        <v>0</v>
      </c>
      <c r="O57" s="18">
        <f>IF(Table37[[#This Row],[CODE]]=11, Table37[ [#This Row],[Account Deposit Amount] ]-Table37[ [#This Row],[Account Withdrawl Amount] ], )</f>
        <v>0</v>
      </c>
      <c r="P57" s="18">
        <f>IF(Table37[[#This Row],[CODE]]=12, Table37[ [#This Row],[Account Deposit Amount] ]-Table37[ [#This Row],[Account Withdrawl Amount] ], )</f>
        <v>0</v>
      </c>
      <c r="Q57" s="18">
        <f>IF(Table37[[#This Row],[CODE]]=13, Table37[ [#This Row],[Account Deposit Amount] ]-Table37[ [#This Row],[Account Withdrawl Amount] ], )</f>
        <v>0</v>
      </c>
      <c r="R57" s="18">
        <f>IF(Table37[[#This Row],[CODE]]=14, Table37[ [#This Row],[Account Deposit Amount] ]-Table37[ [#This Row],[Account Withdrawl Amount] ], )</f>
        <v>0</v>
      </c>
      <c r="S57" s="18">
        <f>IF(Table37[[#This Row],[CODE]]=15, Table37[ [#This Row],[Account Deposit Amount] ]-Table37[ [#This Row],[Account Withdrawl Amount] ], )</f>
        <v>0</v>
      </c>
      <c r="T57" s="18">
        <f>IF(Table37[[#This Row],[CODE]]=16, Table37[ [#This Row],[Account Deposit Amount] ]-Table37[ [#This Row],[Account Withdrawl Amount] ], )</f>
        <v>0</v>
      </c>
      <c r="U57" s="17">
        <f>IF(Table37[[#This Row],[CODE]]=17, Table37[ [#This Row],[Account Deposit Amount] ]-Table37[ [#This Row],[Account Withdrawl Amount] ], )</f>
        <v>0</v>
      </c>
      <c r="V57" s="19">
        <f>IF(Table37[[#This Row],[CODE]]=18, Table37[ [#This Row],[Account Deposit Amount] ]-Table37[ [#This Row],[Account Withdrawl Amount] ], )</f>
        <v>0</v>
      </c>
    </row>
    <row r="58" spans="1:22" ht="13.8" thickBot="1">
      <c r="A58" s="116"/>
      <c r="B58" s="119"/>
      <c r="C58" s="116"/>
      <c r="D58" s="120"/>
      <c r="E58" s="116"/>
      <c r="F58" s="116"/>
      <c r="G58" s="82">
        <f t="shared" si="2"/>
        <v>21774.26</v>
      </c>
      <c r="H58" s="118"/>
      <c r="I58" s="125">
        <f>IF(Table37[[#This Row],[CODE]]=1, Table37[ [#This Row],[Account Deposit Amount] ]-Table37[ [#This Row],[Account Withdrawl Amount] ], )</f>
        <v>0</v>
      </c>
      <c r="J58" s="18">
        <f>IF(Table37[[#This Row],[CODE]]=2, Table37[ [#This Row],[Account Deposit Amount] ]-Table37[ [#This Row],[Account Withdrawl Amount] ], )</f>
        <v>0</v>
      </c>
      <c r="K58" s="18">
        <f>IF(Table37[[#This Row],[CODE]]=3, Table37[ [#This Row],[Account Deposit Amount] ]-Table37[ [#This Row],[Account Withdrawl Amount] ], )</f>
        <v>0</v>
      </c>
      <c r="L58" s="18">
        <f>IF(Table37[[#This Row],[CODE]]=4, Table37[ [#This Row],[Account Deposit Amount] ]-Table37[ [#This Row],[Account Withdrawl Amount] ], )</f>
        <v>0</v>
      </c>
      <c r="M58" s="18">
        <f>IF(Table37[[#This Row],[CODE]]=5, Table37[ [#This Row],[Account Deposit Amount] ]-Table37[ [#This Row],[Account Withdrawl Amount] ], )</f>
        <v>0</v>
      </c>
      <c r="N58" s="18">
        <f>IF(Table37[[#This Row],[CODE]]=6, Table37[ [#This Row],[Account Deposit Amount] ]-Table37[ [#This Row],[Account Withdrawl Amount] ], )</f>
        <v>0</v>
      </c>
      <c r="O58" s="18">
        <f>IF(Table37[[#This Row],[CODE]]=11, Table37[ [#This Row],[Account Deposit Amount] ]-Table37[ [#This Row],[Account Withdrawl Amount] ], )</f>
        <v>0</v>
      </c>
      <c r="P58" s="18">
        <f>IF(Table37[[#This Row],[CODE]]=12, Table37[ [#This Row],[Account Deposit Amount] ]-Table37[ [#This Row],[Account Withdrawl Amount] ], )</f>
        <v>0</v>
      </c>
      <c r="Q58" s="18">
        <f>IF(Table37[[#This Row],[CODE]]=13, Table37[ [#This Row],[Account Deposit Amount] ]-Table37[ [#This Row],[Account Withdrawl Amount] ], )</f>
        <v>0</v>
      </c>
      <c r="R58" s="18">
        <f>IF(Table37[[#This Row],[CODE]]=14, Table37[ [#This Row],[Account Deposit Amount] ]-Table37[ [#This Row],[Account Withdrawl Amount] ], )</f>
        <v>0</v>
      </c>
      <c r="S58" s="18">
        <f>IF(Table37[[#This Row],[CODE]]=15, Table37[ [#This Row],[Account Deposit Amount] ]-Table37[ [#This Row],[Account Withdrawl Amount] ], )</f>
        <v>0</v>
      </c>
      <c r="T58" s="18">
        <f>IF(Table37[[#This Row],[CODE]]=16, Table37[ [#This Row],[Account Deposit Amount] ]-Table37[ [#This Row],[Account Withdrawl Amount] ], )</f>
        <v>0</v>
      </c>
      <c r="U58" s="17">
        <f>IF(Table37[[#This Row],[CODE]]=17, Table37[ [#This Row],[Account Deposit Amount] ]-Table37[ [#This Row],[Account Withdrawl Amount] ], )</f>
        <v>0</v>
      </c>
      <c r="V58" s="19">
        <f>IF(Table37[[#This Row],[CODE]]=18, Table37[ [#This Row],[Account Deposit Amount] ]-Table37[ [#This Row],[Account Withdrawl Amount] ], )</f>
        <v>0</v>
      </c>
    </row>
    <row r="59" spans="1:22" ht="13.8" thickBot="1">
      <c r="A59" s="116"/>
      <c r="B59" s="119"/>
      <c r="C59" s="116"/>
      <c r="D59" s="120"/>
      <c r="E59" s="116"/>
      <c r="F59" s="116"/>
      <c r="G59" s="82">
        <f t="shared" si="2"/>
        <v>21774.26</v>
      </c>
      <c r="H59" s="118"/>
      <c r="I59" s="125">
        <f>IF(Table37[[#This Row],[CODE]]=1, Table37[ [#This Row],[Account Deposit Amount] ]-Table37[ [#This Row],[Account Withdrawl Amount] ], )</f>
        <v>0</v>
      </c>
      <c r="J59" s="18">
        <f>IF(Table37[[#This Row],[CODE]]=2, Table37[ [#This Row],[Account Deposit Amount] ]-Table37[ [#This Row],[Account Withdrawl Amount] ], )</f>
        <v>0</v>
      </c>
      <c r="K59" s="18">
        <f>IF(Table37[[#This Row],[CODE]]=3, Table37[ [#This Row],[Account Deposit Amount] ]-Table37[ [#This Row],[Account Withdrawl Amount] ], )</f>
        <v>0</v>
      </c>
      <c r="L59" s="18">
        <f>IF(Table37[[#This Row],[CODE]]=4, Table37[ [#This Row],[Account Deposit Amount] ]-Table37[ [#This Row],[Account Withdrawl Amount] ], )</f>
        <v>0</v>
      </c>
      <c r="M59" s="18">
        <f>IF(Table37[[#This Row],[CODE]]=5, Table37[ [#This Row],[Account Deposit Amount] ]-Table37[ [#This Row],[Account Withdrawl Amount] ], )</f>
        <v>0</v>
      </c>
      <c r="N59" s="18">
        <f>IF(Table37[[#This Row],[CODE]]=6, Table37[ [#This Row],[Account Deposit Amount] ]-Table37[ [#This Row],[Account Withdrawl Amount] ], )</f>
        <v>0</v>
      </c>
      <c r="O59" s="18">
        <f>IF(Table37[[#This Row],[CODE]]=11, Table37[ [#This Row],[Account Deposit Amount] ]-Table37[ [#This Row],[Account Withdrawl Amount] ], )</f>
        <v>0</v>
      </c>
      <c r="P59" s="18">
        <f>IF(Table37[[#This Row],[CODE]]=12, Table37[ [#This Row],[Account Deposit Amount] ]-Table37[ [#This Row],[Account Withdrawl Amount] ], )</f>
        <v>0</v>
      </c>
      <c r="Q59" s="18">
        <f>IF(Table37[[#This Row],[CODE]]=13, Table37[ [#This Row],[Account Deposit Amount] ]-Table37[ [#This Row],[Account Withdrawl Amount] ], )</f>
        <v>0</v>
      </c>
      <c r="R59" s="18">
        <f>IF(Table37[[#This Row],[CODE]]=14, Table37[ [#This Row],[Account Deposit Amount] ]-Table37[ [#This Row],[Account Withdrawl Amount] ], )</f>
        <v>0</v>
      </c>
      <c r="S59" s="18">
        <f>IF(Table37[[#This Row],[CODE]]=15, Table37[ [#This Row],[Account Deposit Amount] ]-Table37[ [#This Row],[Account Withdrawl Amount] ], )</f>
        <v>0</v>
      </c>
      <c r="T59" s="18">
        <f>IF(Table37[[#This Row],[CODE]]=16, Table37[ [#This Row],[Account Deposit Amount] ]-Table37[ [#This Row],[Account Withdrawl Amount] ], )</f>
        <v>0</v>
      </c>
      <c r="U59" s="17">
        <f>IF(Table37[[#This Row],[CODE]]=17, Table37[ [#This Row],[Account Deposit Amount] ]-Table37[ [#This Row],[Account Withdrawl Amount] ], )</f>
        <v>0</v>
      </c>
      <c r="V59" s="19">
        <f>IF(Table37[[#This Row],[CODE]]=18, Table37[ [#This Row],[Account Deposit Amount] ]-Table37[ [#This Row],[Account Withdrawl Amount] ], )</f>
        <v>0</v>
      </c>
    </row>
    <row r="60" spans="1:22" ht="13.8" thickBot="1">
      <c r="A60" s="116"/>
      <c r="B60" s="119"/>
      <c r="C60" s="116"/>
      <c r="D60" s="120"/>
      <c r="E60" s="116"/>
      <c r="F60" s="116"/>
      <c r="G60" s="82">
        <f t="shared" si="2"/>
        <v>21774.26</v>
      </c>
      <c r="H60" s="118"/>
      <c r="I60" s="125">
        <f>IF(Table37[[#This Row],[CODE]]=1, Table37[ [#This Row],[Account Deposit Amount] ]-Table37[ [#This Row],[Account Withdrawl Amount] ], )</f>
        <v>0</v>
      </c>
      <c r="J60" s="18">
        <f>IF(Table37[[#This Row],[CODE]]=2, Table37[ [#This Row],[Account Deposit Amount] ]-Table37[ [#This Row],[Account Withdrawl Amount] ], )</f>
        <v>0</v>
      </c>
      <c r="K60" s="18">
        <f>IF(Table37[[#This Row],[CODE]]=3, Table37[ [#This Row],[Account Deposit Amount] ]-Table37[ [#This Row],[Account Withdrawl Amount] ], )</f>
        <v>0</v>
      </c>
      <c r="L60" s="18">
        <f>IF(Table37[[#This Row],[CODE]]=4, Table37[ [#This Row],[Account Deposit Amount] ]-Table37[ [#This Row],[Account Withdrawl Amount] ], )</f>
        <v>0</v>
      </c>
      <c r="M60" s="18">
        <f>IF(Table37[[#This Row],[CODE]]=5, Table37[ [#This Row],[Account Deposit Amount] ]-Table37[ [#This Row],[Account Withdrawl Amount] ], )</f>
        <v>0</v>
      </c>
      <c r="N60" s="18">
        <f>IF(Table37[[#This Row],[CODE]]=6, Table37[ [#This Row],[Account Deposit Amount] ]-Table37[ [#This Row],[Account Withdrawl Amount] ], )</f>
        <v>0</v>
      </c>
      <c r="O60" s="18">
        <f>IF(Table37[[#This Row],[CODE]]=11, Table37[ [#This Row],[Account Deposit Amount] ]-Table37[ [#This Row],[Account Withdrawl Amount] ], )</f>
        <v>0</v>
      </c>
      <c r="P60" s="18">
        <f>IF(Table37[[#This Row],[CODE]]=12, Table37[ [#This Row],[Account Deposit Amount] ]-Table37[ [#This Row],[Account Withdrawl Amount] ], )</f>
        <v>0</v>
      </c>
      <c r="Q60" s="18">
        <f>IF(Table37[[#This Row],[CODE]]=13, Table37[ [#This Row],[Account Deposit Amount] ]-Table37[ [#This Row],[Account Withdrawl Amount] ], )</f>
        <v>0</v>
      </c>
      <c r="R60" s="18">
        <f>IF(Table37[[#This Row],[CODE]]=14, Table37[ [#This Row],[Account Deposit Amount] ]-Table37[ [#This Row],[Account Withdrawl Amount] ], )</f>
        <v>0</v>
      </c>
      <c r="S60" s="18">
        <f>IF(Table37[[#This Row],[CODE]]=15, Table37[ [#This Row],[Account Deposit Amount] ]-Table37[ [#This Row],[Account Withdrawl Amount] ], )</f>
        <v>0</v>
      </c>
      <c r="T60" s="18">
        <f>IF(Table37[[#This Row],[CODE]]=16, Table37[ [#This Row],[Account Deposit Amount] ]-Table37[ [#This Row],[Account Withdrawl Amount] ], )</f>
        <v>0</v>
      </c>
      <c r="U60" s="17">
        <f>IF(Table37[[#This Row],[CODE]]=17, Table37[ [#This Row],[Account Deposit Amount] ]-Table37[ [#This Row],[Account Withdrawl Amount] ], )</f>
        <v>0</v>
      </c>
      <c r="V60" s="19">
        <f>IF(Table37[[#This Row],[CODE]]=18, Table37[ [#This Row],[Account Deposit Amount] ]-Table37[ [#This Row],[Account Withdrawl Amount] ], )</f>
        <v>0</v>
      </c>
    </row>
    <row r="61" spans="1:22" ht="12.6" thickBot="1">
      <c r="A61" s="118"/>
      <c r="B61" s="123"/>
      <c r="C61" s="118"/>
      <c r="D61" s="120"/>
      <c r="E61" s="124"/>
      <c r="F61" s="124"/>
      <c r="G61" s="82">
        <f t="shared" si="2"/>
        <v>21774.26</v>
      </c>
      <c r="H61" s="118"/>
      <c r="I61" s="125">
        <f>IF(Table37[[#This Row],[CODE]]=1, Table37[ [#This Row],[Account Deposit Amount] ]-Table37[ [#This Row],[Account Withdrawl Amount] ], )</f>
        <v>0</v>
      </c>
      <c r="J61" s="18">
        <f>IF(Table37[[#This Row],[CODE]]=2, Table37[ [#This Row],[Account Deposit Amount] ]-Table37[ [#This Row],[Account Withdrawl Amount] ], )</f>
        <v>0</v>
      </c>
      <c r="K61" s="18">
        <f>IF(Table37[[#This Row],[CODE]]=3, Table37[ [#This Row],[Account Deposit Amount] ]-Table37[ [#This Row],[Account Withdrawl Amount] ], )</f>
        <v>0</v>
      </c>
      <c r="L61" s="18">
        <f>IF(Table37[[#This Row],[CODE]]=4, Table37[ [#This Row],[Account Deposit Amount] ]-Table37[ [#This Row],[Account Withdrawl Amount] ], )</f>
        <v>0</v>
      </c>
      <c r="M61" s="18">
        <f>IF(Table37[[#This Row],[CODE]]=5, Table37[ [#This Row],[Account Deposit Amount] ]-Table37[ [#This Row],[Account Withdrawl Amount] ], )</f>
        <v>0</v>
      </c>
      <c r="N61" s="18">
        <f>IF(Table37[[#This Row],[CODE]]=6, Table37[ [#This Row],[Account Deposit Amount] ]-Table37[ [#This Row],[Account Withdrawl Amount] ], )</f>
        <v>0</v>
      </c>
      <c r="O61" s="18">
        <f>IF(Table37[[#This Row],[CODE]]=11, Table37[ [#This Row],[Account Deposit Amount] ]-Table37[ [#This Row],[Account Withdrawl Amount] ], )</f>
        <v>0</v>
      </c>
      <c r="P61" s="18">
        <f>IF(Table37[[#This Row],[CODE]]=12, Table37[ [#This Row],[Account Deposit Amount] ]-Table37[ [#This Row],[Account Withdrawl Amount] ], )</f>
        <v>0</v>
      </c>
      <c r="Q61" s="18">
        <f>IF(Table37[[#This Row],[CODE]]=13, Table37[ [#This Row],[Account Deposit Amount] ]-Table37[ [#This Row],[Account Withdrawl Amount] ], )</f>
        <v>0</v>
      </c>
      <c r="R61" s="18">
        <f>IF(Table37[[#This Row],[CODE]]=14, Table37[ [#This Row],[Account Deposit Amount] ]-Table37[ [#This Row],[Account Withdrawl Amount] ], )</f>
        <v>0</v>
      </c>
      <c r="S61" s="18">
        <f>IF(Table37[[#This Row],[CODE]]=15, Table37[ [#This Row],[Account Deposit Amount] ]-Table37[ [#This Row],[Account Withdrawl Amount] ], )</f>
        <v>0</v>
      </c>
      <c r="T61" s="18">
        <f>IF(Table37[[#This Row],[CODE]]=16, Table37[ [#This Row],[Account Deposit Amount] ]-Table37[ [#This Row],[Account Withdrawl Amount] ], )</f>
        <v>0</v>
      </c>
      <c r="U61" s="17">
        <f>IF(Table37[[#This Row],[CODE]]=17, Table37[ [#This Row],[Account Deposit Amount] ]-Table37[ [#This Row],[Account Withdrawl Amount] ], )</f>
        <v>0</v>
      </c>
      <c r="V61" s="19">
        <f>IF(Table37[[#This Row],[CODE]]=18, Table37[ [#This Row],[Account Deposit Amount] ]-Table37[ [#This Row],[Account Withdrawl Amount] ], )</f>
        <v>0</v>
      </c>
    </row>
    <row r="62" spans="1:22" ht="13.8" thickBot="1">
      <c r="A62" s="116"/>
      <c r="B62" s="119"/>
      <c r="C62" s="116"/>
      <c r="D62" s="101"/>
      <c r="E62" s="122"/>
      <c r="F62" s="122"/>
      <c r="G62" s="82">
        <f t="shared" si="2"/>
        <v>21774.26</v>
      </c>
      <c r="H62" s="101"/>
      <c r="I62" s="125">
        <f>IF(Table37[[#This Row],[CODE]]=1, Table37[ [#This Row],[Account Deposit Amount] ]-Table37[ [#This Row],[Account Withdrawl Amount] ], )</f>
        <v>0</v>
      </c>
      <c r="J62" s="18">
        <f>IF(Table37[[#This Row],[CODE]]=2, Table37[ [#This Row],[Account Deposit Amount] ]-Table37[ [#This Row],[Account Withdrawl Amount] ], )</f>
        <v>0</v>
      </c>
      <c r="K62" s="18">
        <f>IF(Table37[[#This Row],[CODE]]=3, Table37[ [#This Row],[Account Deposit Amount] ]-Table37[ [#This Row],[Account Withdrawl Amount] ], )</f>
        <v>0</v>
      </c>
      <c r="L62" s="18">
        <f>IF(Table37[[#This Row],[CODE]]=4, Table37[ [#This Row],[Account Deposit Amount] ]-Table37[ [#This Row],[Account Withdrawl Amount] ], )</f>
        <v>0</v>
      </c>
      <c r="M62" s="18">
        <f>IF(Table37[[#This Row],[CODE]]=5, Table37[ [#This Row],[Account Deposit Amount] ]-Table37[ [#This Row],[Account Withdrawl Amount] ], )</f>
        <v>0</v>
      </c>
      <c r="N62" s="18">
        <f>IF(Table37[[#This Row],[CODE]]=6, Table37[ [#This Row],[Account Deposit Amount] ]-Table37[ [#This Row],[Account Withdrawl Amount] ], )</f>
        <v>0</v>
      </c>
      <c r="O62" s="18">
        <f>IF(Table37[[#This Row],[CODE]]=11, Table37[ [#This Row],[Account Deposit Amount] ]-Table37[ [#This Row],[Account Withdrawl Amount] ], )</f>
        <v>0</v>
      </c>
      <c r="P62" s="18">
        <f>IF(Table37[[#This Row],[CODE]]=12, Table37[ [#This Row],[Account Deposit Amount] ]-Table37[ [#This Row],[Account Withdrawl Amount] ], )</f>
        <v>0</v>
      </c>
      <c r="Q62" s="18">
        <f>IF(Table37[[#This Row],[CODE]]=13, Table37[ [#This Row],[Account Deposit Amount] ]-Table37[ [#This Row],[Account Withdrawl Amount] ], )</f>
        <v>0</v>
      </c>
      <c r="R62" s="18">
        <f>IF(Table37[[#This Row],[CODE]]=14, Table37[ [#This Row],[Account Deposit Amount] ]-Table37[ [#This Row],[Account Withdrawl Amount] ], )</f>
        <v>0</v>
      </c>
      <c r="S62" s="18">
        <f>IF(Table37[[#This Row],[CODE]]=15, Table37[ [#This Row],[Account Deposit Amount] ]-Table37[ [#This Row],[Account Withdrawl Amount] ], )</f>
        <v>0</v>
      </c>
      <c r="T62" s="18">
        <f>IF(Table37[[#This Row],[CODE]]=16, Table37[ [#This Row],[Account Deposit Amount] ]-Table37[ [#This Row],[Account Withdrawl Amount] ], )</f>
        <v>0</v>
      </c>
      <c r="U62" s="17">
        <f>IF(Table37[[#This Row],[CODE]]=17, Table37[ [#This Row],[Account Deposit Amount] ]-Table37[ [#This Row],[Account Withdrawl Amount] ], )</f>
        <v>0</v>
      </c>
      <c r="V62" s="19">
        <f>IF(Table37[[#This Row],[CODE]]=18, Table37[ [#This Row],[Account Deposit Amount] ]-Table37[ [#This Row],[Account Withdrawl Amount] ], )</f>
        <v>0</v>
      </c>
    </row>
    <row r="63" spans="1:22" ht="13.8" thickBot="1">
      <c r="A63" s="116"/>
      <c r="B63" s="119"/>
      <c r="C63" s="116"/>
      <c r="D63" s="120"/>
      <c r="E63" s="124"/>
      <c r="F63" s="116"/>
      <c r="G63" s="82">
        <f t="shared" si="2"/>
        <v>21774.26</v>
      </c>
      <c r="H63" s="118"/>
      <c r="I63" s="125">
        <f>IF(Table37[[#This Row],[CODE]]=1, Table37[ [#This Row],[Account Deposit Amount] ]-Table37[ [#This Row],[Account Withdrawl Amount] ], )</f>
        <v>0</v>
      </c>
      <c r="J63" s="18">
        <f>IF(Table37[[#This Row],[CODE]]=2, Table37[ [#This Row],[Account Deposit Amount] ]-Table37[ [#This Row],[Account Withdrawl Amount] ], )</f>
        <v>0</v>
      </c>
      <c r="K63" s="18">
        <f>IF(Table37[[#This Row],[CODE]]=3, Table37[ [#This Row],[Account Deposit Amount] ]-Table37[ [#This Row],[Account Withdrawl Amount] ], )</f>
        <v>0</v>
      </c>
      <c r="L63" s="18">
        <f>IF(Table37[[#This Row],[CODE]]=4, Table37[ [#This Row],[Account Deposit Amount] ]-Table37[ [#This Row],[Account Withdrawl Amount] ], )</f>
        <v>0</v>
      </c>
      <c r="M63" s="18">
        <f>IF(Table37[[#This Row],[CODE]]=5, Table37[ [#This Row],[Account Deposit Amount] ]-Table37[ [#This Row],[Account Withdrawl Amount] ], )</f>
        <v>0</v>
      </c>
      <c r="N63" s="18">
        <f>IF(Table37[[#This Row],[CODE]]=6, Table37[ [#This Row],[Account Deposit Amount] ]-Table37[ [#This Row],[Account Withdrawl Amount] ], )</f>
        <v>0</v>
      </c>
      <c r="O63" s="18">
        <f>IF(Table37[[#This Row],[CODE]]=11, Table37[ [#This Row],[Account Deposit Amount] ]-Table37[ [#This Row],[Account Withdrawl Amount] ], )</f>
        <v>0</v>
      </c>
      <c r="P63" s="18">
        <f>IF(Table37[[#This Row],[CODE]]=12, Table37[ [#This Row],[Account Deposit Amount] ]-Table37[ [#This Row],[Account Withdrawl Amount] ], )</f>
        <v>0</v>
      </c>
      <c r="Q63" s="18">
        <f>IF(Table37[[#This Row],[CODE]]=13, Table37[ [#This Row],[Account Deposit Amount] ]-Table37[ [#This Row],[Account Withdrawl Amount] ], )</f>
        <v>0</v>
      </c>
      <c r="R63" s="18">
        <f>IF(Table37[[#This Row],[CODE]]=14, Table37[ [#This Row],[Account Deposit Amount] ]-Table37[ [#This Row],[Account Withdrawl Amount] ], )</f>
        <v>0</v>
      </c>
      <c r="S63" s="18">
        <f>IF(Table37[[#This Row],[CODE]]=15, Table37[ [#This Row],[Account Deposit Amount] ]-Table37[ [#This Row],[Account Withdrawl Amount] ], )</f>
        <v>0</v>
      </c>
      <c r="T63" s="18">
        <f>IF(Table37[[#This Row],[CODE]]=16, Table37[ [#This Row],[Account Deposit Amount] ]-Table37[ [#This Row],[Account Withdrawl Amount] ], )</f>
        <v>0</v>
      </c>
      <c r="U63" s="17">
        <f>IF(Table37[[#This Row],[CODE]]=17, Table37[ [#This Row],[Account Deposit Amount] ]-Table37[ [#This Row],[Account Withdrawl Amount] ], )</f>
        <v>0</v>
      </c>
      <c r="V63" s="19">
        <f>IF(Table37[[#This Row],[CODE]]=18, Table37[ [#This Row],[Account Deposit Amount] ]-Table37[ [#This Row],[Account Withdrawl Amount] ], )</f>
        <v>0</v>
      </c>
    </row>
    <row r="64" spans="1:22" ht="13.8" thickBot="1">
      <c r="A64" s="116"/>
      <c r="B64" s="119"/>
      <c r="C64" s="116"/>
      <c r="D64" s="120"/>
      <c r="E64" s="124"/>
      <c r="F64" s="116"/>
      <c r="G64" s="82">
        <f t="shared" si="2"/>
        <v>21774.26</v>
      </c>
      <c r="H64" s="118"/>
      <c r="I64" s="125">
        <f>IF(Table37[[#This Row],[CODE]]=1, Table37[ [#This Row],[Account Deposit Amount] ]-Table37[ [#This Row],[Account Withdrawl Amount] ], )</f>
        <v>0</v>
      </c>
      <c r="J64" s="18">
        <f>IF(Table37[[#This Row],[CODE]]=2, Table37[ [#This Row],[Account Deposit Amount] ]-Table37[ [#This Row],[Account Withdrawl Amount] ], )</f>
        <v>0</v>
      </c>
      <c r="K64" s="18">
        <f>IF(Table37[[#This Row],[CODE]]=3, Table37[ [#This Row],[Account Deposit Amount] ]-Table37[ [#This Row],[Account Withdrawl Amount] ], )</f>
        <v>0</v>
      </c>
      <c r="L64" s="18">
        <f>IF(Table37[[#This Row],[CODE]]=4, Table37[ [#This Row],[Account Deposit Amount] ]-Table37[ [#This Row],[Account Withdrawl Amount] ], )</f>
        <v>0</v>
      </c>
      <c r="M64" s="18">
        <f>IF(Table37[[#This Row],[CODE]]=5, Table37[ [#This Row],[Account Deposit Amount] ]-Table37[ [#This Row],[Account Withdrawl Amount] ], )</f>
        <v>0</v>
      </c>
      <c r="N64" s="18">
        <f>IF(Table37[[#This Row],[CODE]]=6, Table37[ [#This Row],[Account Deposit Amount] ]-Table37[ [#This Row],[Account Withdrawl Amount] ], )</f>
        <v>0</v>
      </c>
      <c r="O64" s="18">
        <f>IF(Table37[[#This Row],[CODE]]=11, Table37[ [#This Row],[Account Deposit Amount] ]-Table37[ [#This Row],[Account Withdrawl Amount] ], )</f>
        <v>0</v>
      </c>
      <c r="P64" s="18">
        <f>IF(Table37[[#This Row],[CODE]]=12, Table37[ [#This Row],[Account Deposit Amount] ]-Table37[ [#This Row],[Account Withdrawl Amount] ], )</f>
        <v>0</v>
      </c>
      <c r="Q64" s="18">
        <f>IF(Table37[[#This Row],[CODE]]=13, Table37[ [#This Row],[Account Deposit Amount] ]-Table37[ [#This Row],[Account Withdrawl Amount] ], )</f>
        <v>0</v>
      </c>
      <c r="R64" s="18">
        <f>IF(Table37[[#This Row],[CODE]]=14, Table37[ [#This Row],[Account Deposit Amount] ]-Table37[ [#This Row],[Account Withdrawl Amount] ], )</f>
        <v>0</v>
      </c>
      <c r="S64" s="18">
        <f>IF(Table37[[#This Row],[CODE]]=15, Table37[ [#This Row],[Account Deposit Amount] ]-Table37[ [#This Row],[Account Withdrawl Amount] ], )</f>
        <v>0</v>
      </c>
      <c r="T64" s="18">
        <f>IF(Table37[[#This Row],[CODE]]=16, Table37[ [#This Row],[Account Deposit Amount] ]-Table37[ [#This Row],[Account Withdrawl Amount] ], )</f>
        <v>0</v>
      </c>
      <c r="U64" s="17">
        <f>IF(Table37[[#This Row],[CODE]]=17, Table37[ [#This Row],[Account Deposit Amount] ]-Table37[ [#This Row],[Account Withdrawl Amount] ], )</f>
        <v>0</v>
      </c>
      <c r="V64" s="19">
        <f>IF(Table37[[#This Row],[CODE]]=18, Table37[ [#This Row],[Account Deposit Amount] ]-Table37[ [#This Row],[Account Withdrawl Amount] ], )</f>
        <v>0</v>
      </c>
    </row>
    <row r="65" spans="1:22" ht="13.8" thickBot="1">
      <c r="A65" s="116"/>
      <c r="B65" s="119"/>
      <c r="C65" s="116"/>
      <c r="D65" s="120"/>
      <c r="E65" s="124"/>
      <c r="F65" s="116"/>
      <c r="G65" s="82">
        <f t="shared" si="2"/>
        <v>21774.26</v>
      </c>
      <c r="H65" s="118"/>
      <c r="I65" s="125">
        <f>IF(Table37[[#This Row],[CODE]]=1, Table37[ [#This Row],[Account Deposit Amount] ]-Table37[ [#This Row],[Account Withdrawl Amount] ], )</f>
        <v>0</v>
      </c>
      <c r="J65" s="18">
        <f>IF(Table37[[#This Row],[CODE]]=2, Table37[ [#This Row],[Account Deposit Amount] ]-Table37[ [#This Row],[Account Withdrawl Amount] ], )</f>
        <v>0</v>
      </c>
      <c r="K65" s="18">
        <f>IF(Table37[[#This Row],[CODE]]=3, Table37[ [#This Row],[Account Deposit Amount] ]-Table37[ [#This Row],[Account Withdrawl Amount] ], )</f>
        <v>0</v>
      </c>
      <c r="L65" s="18">
        <f>IF(Table37[[#This Row],[CODE]]=4, Table37[ [#This Row],[Account Deposit Amount] ]-Table37[ [#This Row],[Account Withdrawl Amount] ], )</f>
        <v>0</v>
      </c>
      <c r="M65" s="18">
        <f>IF(Table37[[#This Row],[CODE]]=5, Table37[ [#This Row],[Account Deposit Amount] ]-Table37[ [#This Row],[Account Withdrawl Amount] ], )</f>
        <v>0</v>
      </c>
      <c r="N65" s="18">
        <f>IF(Table37[[#This Row],[CODE]]=6, Table37[ [#This Row],[Account Deposit Amount] ]-Table37[ [#This Row],[Account Withdrawl Amount] ], )</f>
        <v>0</v>
      </c>
      <c r="O65" s="18">
        <f>IF(Table37[[#This Row],[CODE]]=11, Table37[ [#This Row],[Account Deposit Amount] ]-Table37[ [#This Row],[Account Withdrawl Amount] ], )</f>
        <v>0</v>
      </c>
      <c r="P65" s="18">
        <f>IF(Table37[[#This Row],[CODE]]=12, Table37[ [#This Row],[Account Deposit Amount] ]-Table37[ [#This Row],[Account Withdrawl Amount] ], )</f>
        <v>0</v>
      </c>
      <c r="Q65" s="18">
        <f>IF(Table37[[#This Row],[CODE]]=13, Table37[ [#This Row],[Account Deposit Amount] ]-Table37[ [#This Row],[Account Withdrawl Amount] ], )</f>
        <v>0</v>
      </c>
      <c r="R65" s="18">
        <f>IF(Table37[[#This Row],[CODE]]=14, Table37[ [#This Row],[Account Deposit Amount] ]-Table37[ [#This Row],[Account Withdrawl Amount] ], )</f>
        <v>0</v>
      </c>
      <c r="S65" s="18">
        <f>IF(Table37[[#This Row],[CODE]]=15, Table37[ [#This Row],[Account Deposit Amount] ]-Table37[ [#This Row],[Account Withdrawl Amount] ], )</f>
        <v>0</v>
      </c>
      <c r="T65" s="18">
        <f>IF(Table37[[#This Row],[CODE]]=16, Table37[ [#This Row],[Account Deposit Amount] ]-Table37[ [#This Row],[Account Withdrawl Amount] ], )</f>
        <v>0</v>
      </c>
      <c r="U65" s="17">
        <f>IF(Table37[[#This Row],[CODE]]=17, Table37[ [#This Row],[Account Deposit Amount] ]-Table37[ [#This Row],[Account Withdrawl Amount] ], )</f>
        <v>0</v>
      </c>
      <c r="V65" s="19">
        <f>IF(Table37[[#This Row],[CODE]]=18, Table37[ [#This Row],[Account Deposit Amount] ]-Table37[ [#This Row],[Account Withdrawl Amount] ], )</f>
        <v>0</v>
      </c>
    </row>
    <row r="66" spans="1:22" ht="13.8" thickBot="1">
      <c r="A66" s="116"/>
      <c r="B66" s="119"/>
      <c r="C66" s="116"/>
      <c r="D66" s="120"/>
      <c r="E66" s="124"/>
      <c r="F66" s="116"/>
      <c r="G66" s="82">
        <f t="shared" si="2"/>
        <v>21774.26</v>
      </c>
      <c r="H66" s="121"/>
      <c r="I66" s="125">
        <f>IF(Table37[[#This Row],[CODE]]=1, Table37[ [#This Row],[Account Deposit Amount] ]-Table37[ [#This Row],[Account Withdrawl Amount] ], )</f>
        <v>0</v>
      </c>
      <c r="J66" s="18">
        <f>IF(Table37[[#This Row],[CODE]]=2, Table37[ [#This Row],[Account Deposit Amount] ]-Table37[ [#This Row],[Account Withdrawl Amount] ], )</f>
        <v>0</v>
      </c>
      <c r="K66" s="18">
        <f>IF(Table37[[#This Row],[CODE]]=3, Table37[ [#This Row],[Account Deposit Amount] ]-Table37[ [#This Row],[Account Withdrawl Amount] ], )</f>
        <v>0</v>
      </c>
      <c r="L66" s="18">
        <f>IF(Table37[[#This Row],[CODE]]=4, Table37[ [#This Row],[Account Deposit Amount] ]-Table37[ [#This Row],[Account Withdrawl Amount] ], )</f>
        <v>0</v>
      </c>
      <c r="M66" s="18">
        <f>IF(Table37[[#This Row],[CODE]]=5, Table37[ [#This Row],[Account Deposit Amount] ]-Table37[ [#This Row],[Account Withdrawl Amount] ], )</f>
        <v>0</v>
      </c>
      <c r="N66" s="18">
        <f>IF(Table37[[#This Row],[CODE]]=6, Table37[ [#This Row],[Account Deposit Amount] ]-Table37[ [#This Row],[Account Withdrawl Amount] ], )</f>
        <v>0</v>
      </c>
      <c r="O66" s="18">
        <f>IF(Table37[[#This Row],[CODE]]=11, Table37[ [#This Row],[Account Deposit Amount] ]-Table37[ [#This Row],[Account Withdrawl Amount] ], )</f>
        <v>0</v>
      </c>
      <c r="P66" s="18">
        <f>IF(Table37[[#This Row],[CODE]]=12, Table37[ [#This Row],[Account Deposit Amount] ]-Table37[ [#This Row],[Account Withdrawl Amount] ], )</f>
        <v>0</v>
      </c>
      <c r="Q66" s="18">
        <f>IF(Table37[[#This Row],[CODE]]=13, Table37[ [#This Row],[Account Deposit Amount] ]-Table37[ [#This Row],[Account Withdrawl Amount] ], )</f>
        <v>0</v>
      </c>
      <c r="R66" s="18">
        <f>IF(Table37[[#This Row],[CODE]]=14, Table37[ [#This Row],[Account Deposit Amount] ]-Table37[ [#This Row],[Account Withdrawl Amount] ], )</f>
        <v>0</v>
      </c>
      <c r="S66" s="18">
        <f>IF(Table37[[#This Row],[CODE]]=15, Table37[ [#This Row],[Account Deposit Amount] ]-Table37[ [#This Row],[Account Withdrawl Amount] ], )</f>
        <v>0</v>
      </c>
      <c r="T66" s="18">
        <f>IF(Table37[[#This Row],[CODE]]=16, Table37[ [#This Row],[Account Deposit Amount] ]-Table37[ [#This Row],[Account Withdrawl Amount] ], )</f>
        <v>0</v>
      </c>
      <c r="U66" s="17">
        <f>IF(Table37[[#This Row],[CODE]]=17, Table37[ [#This Row],[Account Deposit Amount] ]-Table37[ [#This Row],[Account Withdrawl Amount] ], )</f>
        <v>0</v>
      </c>
      <c r="V66" s="19">
        <f>IF(Table37[[#This Row],[CODE]]=18, Table37[ [#This Row],[Account Deposit Amount] ]-Table37[ [#This Row],[Account Withdrawl Amount] ], )</f>
        <v>0</v>
      </c>
    </row>
    <row r="67" spans="1:22" ht="13.8" thickBot="1">
      <c r="A67" s="116"/>
      <c r="B67" s="119"/>
      <c r="C67" s="116"/>
      <c r="D67" s="120"/>
      <c r="E67" s="124"/>
      <c r="F67" s="116"/>
      <c r="G67" s="82">
        <f t="shared" si="2"/>
        <v>21774.26</v>
      </c>
      <c r="H67" s="118"/>
      <c r="I67" s="125">
        <f>IF(Table37[[#This Row],[CODE]]=1, Table37[ [#This Row],[Account Deposit Amount] ]-Table37[ [#This Row],[Account Withdrawl Amount] ], )</f>
        <v>0</v>
      </c>
      <c r="J67" s="18">
        <f>IF(Table37[[#This Row],[CODE]]=2, Table37[ [#This Row],[Account Deposit Amount] ]-Table37[ [#This Row],[Account Withdrawl Amount] ], )</f>
        <v>0</v>
      </c>
      <c r="K67" s="18">
        <f>IF(Table37[[#This Row],[CODE]]=3, Table37[ [#This Row],[Account Deposit Amount] ]-Table37[ [#This Row],[Account Withdrawl Amount] ], )</f>
        <v>0</v>
      </c>
      <c r="L67" s="18">
        <f>IF(Table37[[#This Row],[CODE]]=4, Table37[ [#This Row],[Account Deposit Amount] ]-Table37[ [#This Row],[Account Withdrawl Amount] ], )</f>
        <v>0</v>
      </c>
      <c r="M67" s="18">
        <f>IF(Table37[[#This Row],[CODE]]=5, Table37[ [#This Row],[Account Deposit Amount] ]-Table37[ [#This Row],[Account Withdrawl Amount] ], )</f>
        <v>0</v>
      </c>
      <c r="N67" s="18">
        <f>IF(Table37[[#This Row],[CODE]]=6, Table37[ [#This Row],[Account Deposit Amount] ]-Table37[ [#This Row],[Account Withdrawl Amount] ], )</f>
        <v>0</v>
      </c>
      <c r="O67" s="18">
        <f>IF(Table37[[#This Row],[CODE]]=11, Table37[ [#This Row],[Account Deposit Amount] ]-Table37[ [#This Row],[Account Withdrawl Amount] ], )</f>
        <v>0</v>
      </c>
      <c r="P67" s="18">
        <f>IF(Table37[[#This Row],[CODE]]=12, Table37[ [#This Row],[Account Deposit Amount] ]-Table37[ [#This Row],[Account Withdrawl Amount] ], )</f>
        <v>0</v>
      </c>
      <c r="Q67" s="18">
        <f>IF(Table37[[#This Row],[CODE]]=13, Table37[ [#This Row],[Account Deposit Amount] ]-Table37[ [#This Row],[Account Withdrawl Amount] ], )</f>
        <v>0</v>
      </c>
      <c r="R67" s="18">
        <f>IF(Table37[[#This Row],[CODE]]=14, Table37[ [#This Row],[Account Deposit Amount] ]-Table37[ [#This Row],[Account Withdrawl Amount] ], )</f>
        <v>0</v>
      </c>
      <c r="S67" s="18">
        <f>IF(Table37[[#This Row],[CODE]]=15, Table37[ [#This Row],[Account Deposit Amount] ]-Table37[ [#This Row],[Account Withdrawl Amount] ], )</f>
        <v>0</v>
      </c>
      <c r="T67" s="18">
        <f>IF(Table37[[#This Row],[CODE]]=16, Table37[ [#This Row],[Account Deposit Amount] ]-Table37[ [#This Row],[Account Withdrawl Amount] ], )</f>
        <v>0</v>
      </c>
      <c r="U67" s="17">
        <f>IF(Table37[[#This Row],[CODE]]=17, Table37[ [#This Row],[Account Deposit Amount] ]-Table37[ [#This Row],[Account Withdrawl Amount] ], )</f>
        <v>0</v>
      </c>
      <c r="V67" s="19">
        <f>IF(Table37[[#This Row],[CODE]]=18, Table37[ [#This Row],[Account Deposit Amount] ]-Table37[ [#This Row],[Account Withdrawl Amount] ], )</f>
        <v>0</v>
      </c>
    </row>
    <row r="68" spans="1:22" ht="13.8" thickBot="1">
      <c r="A68" s="116"/>
      <c r="B68" s="119"/>
      <c r="C68" s="116"/>
      <c r="D68" s="120"/>
      <c r="E68" s="124"/>
      <c r="F68" s="116"/>
      <c r="G68" s="82">
        <f t="shared" si="2"/>
        <v>21774.26</v>
      </c>
      <c r="H68" s="118"/>
      <c r="I68" s="125">
        <f>IF(Table37[[#This Row],[CODE]]=1, Table37[ [#This Row],[Account Deposit Amount] ]-Table37[ [#This Row],[Account Withdrawl Amount] ], )</f>
        <v>0</v>
      </c>
      <c r="J68" s="18">
        <f>IF(Table37[[#This Row],[CODE]]=2, Table37[ [#This Row],[Account Deposit Amount] ]-Table37[ [#This Row],[Account Withdrawl Amount] ], )</f>
        <v>0</v>
      </c>
      <c r="K68" s="18">
        <f>IF(Table37[[#This Row],[CODE]]=3, Table37[ [#This Row],[Account Deposit Amount] ]-Table37[ [#This Row],[Account Withdrawl Amount] ], )</f>
        <v>0</v>
      </c>
      <c r="L68" s="18">
        <f>IF(Table37[[#This Row],[CODE]]=4, Table37[ [#This Row],[Account Deposit Amount] ]-Table37[ [#This Row],[Account Withdrawl Amount] ], )</f>
        <v>0</v>
      </c>
      <c r="M68" s="18">
        <f>IF(Table37[[#This Row],[CODE]]=5, Table37[ [#This Row],[Account Deposit Amount] ]-Table37[ [#This Row],[Account Withdrawl Amount] ], )</f>
        <v>0</v>
      </c>
      <c r="N68" s="18">
        <f>IF(Table37[[#This Row],[CODE]]=6, Table37[ [#This Row],[Account Deposit Amount] ]-Table37[ [#This Row],[Account Withdrawl Amount] ], )</f>
        <v>0</v>
      </c>
      <c r="O68" s="18">
        <f>IF(Table37[[#This Row],[CODE]]=11, Table37[ [#This Row],[Account Deposit Amount] ]-Table37[ [#This Row],[Account Withdrawl Amount] ], )</f>
        <v>0</v>
      </c>
      <c r="P68" s="18">
        <f>IF(Table37[[#This Row],[CODE]]=12, Table37[ [#This Row],[Account Deposit Amount] ]-Table37[ [#This Row],[Account Withdrawl Amount] ], )</f>
        <v>0</v>
      </c>
      <c r="Q68" s="18">
        <f>IF(Table37[[#This Row],[CODE]]=13, Table37[ [#This Row],[Account Deposit Amount] ]-Table37[ [#This Row],[Account Withdrawl Amount] ], )</f>
        <v>0</v>
      </c>
      <c r="R68" s="18">
        <f>IF(Table37[[#This Row],[CODE]]=14, Table37[ [#This Row],[Account Deposit Amount] ]-Table37[ [#This Row],[Account Withdrawl Amount] ], )</f>
        <v>0</v>
      </c>
      <c r="S68" s="18">
        <f>IF(Table37[[#This Row],[CODE]]=15, Table37[ [#This Row],[Account Deposit Amount] ]-Table37[ [#This Row],[Account Withdrawl Amount] ], )</f>
        <v>0</v>
      </c>
      <c r="T68" s="18">
        <f>IF(Table37[[#This Row],[CODE]]=16, Table37[ [#This Row],[Account Deposit Amount] ]-Table37[ [#This Row],[Account Withdrawl Amount] ], )</f>
        <v>0</v>
      </c>
      <c r="U68" s="17">
        <f>IF(Table37[[#This Row],[CODE]]=17, Table37[ [#This Row],[Account Deposit Amount] ]-Table37[ [#This Row],[Account Withdrawl Amount] ], )</f>
        <v>0</v>
      </c>
      <c r="V68" s="19">
        <f>IF(Table37[[#This Row],[CODE]]=18, Table37[ [#This Row],[Account Deposit Amount] ]-Table37[ [#This Row],[Account Withdrawl Amount] ], )</f>
        <v>0</v>
      </c>
    </row>
    <row r="69" spans="1:22" ht="13.8" thickBot="1">
      <c r="A69" s="116"/>
      <c r="B69" s="119"/>
      <c r="C69" s="116"/>
      <c r="D69" s="120"/>
      <c r="E69" s="124"/>
      <c r="F69" s="116"/>
      <c r="G69" s="82">
        <f t="shared" si="2"/>
        <v>21774.26</v>
      </c>
      <c r="H69" s="118"/>
      <c r="I69" s="125">
        <f>IF(Table37[[#This Row],[CODE]]=1, Table37[ [#This Row],[Account Deposit Amount] ]-Table37[ [#This Row],[Account Withdrawl Amount] ], )</f>
        <v>0</v>
      </c>
      <c r="J69" s="18">
        <f>IF(Table37[[#This Row],[CODE]]=2, Table37[ [#This Row],[Account Deposit Amount] ]-Table37[ [#This Row],[Account Withdrawl Amount] ], )</f>
        <v>0</v>
      </c>
      <c r="K69" s="18">
        <f>IF(Table37[[#This Row],[CODE]]=3, Table37[ [#This Row],[Account Deposit Amount] ]-Table37[ [#This Row],[Account Withdrawl Amount] ], )</f>
        <v>0</v>
      </c>
      <c r="L69" s="18">
        <f>IF(Table37[[#This Row],[CODE]]=4, Table37[ [#This Row],[Account Deposit Amount] ]-Table37[ [#This Row],[Account Withdrawl Amount] ], )</f>
        <v>0</v>
      </c>
      <c r="M69" s="18">
        <f>IF(Table37[[#This Row],[CODE]]=5, Table37[ [#This Row],[Account Deposit Amount] ]-Table37[ [#This Row],[Account Withdrawl Amount] ], )</f>
        <v>0</v>
      </c>
      <c r="N69" s="18">
        <f>IF(Table37[[#This Row],[CODE]]=6, Table37[ [#This Row],[Account Deposit Amount] ]-Table37[ [#This Row],[Account Withdrawl Amount] ], )</f>
        <v>0</v>
      </c>
      <c r="O69" s="18">
        <f>IF(Table37[[#This Row],[CODE]]=11, Table37[ [#This Row],[Account Deposit Amount] ]-Table37[ [#This Row],[Account Withdrawl Amount] ], )</f>
        <v>0</v>
      </c>
      <c r="P69" s="18">
        <f>IF(Table37[[#This Row],[CODE]]=12, Table37[ [#This Row],[Account Deposit Amount] ]-Table37[ [#This Row],[Account Withdrawl Amount] ], )</f>
        <v>0</v>
      </c>
      <c r="Q69" s="18">
        <f>IF(Table37[[#This Row],[CODE]]=13, Table37[ [#This Row],[Account Deposit Amount] ]-Table37[ [#This Row],[Account Withdrawl Amount] ], )</f>
        <v>0</v>
      </c>
      <c r="R69" s="18">
        <f>IF(Table37[[#This Row],[CODE]]=14, Table37[ [#This Row],[Account Deposit Amount] ]-Table37[ [#This Row],[Account Withdrawl Amount] ], )</f>
        <v>0</v>
      </c>
      <c r="S69" s="18">
        <f>IF(Table37[[#This Row],[CODE]]=15, Table37[ [#This Row],[Account Deposit Amount] ]-Table37[ [#This Row],[Account Withdrawl Amount] ], )</f>
        <v>0</v>
      </c>
      <c r="T69" s="18">
        <f>IF(Table37[[#This Row],[CODE]]=16, Table37[ [#This Row],[Account Deposit Amount] ]-Table37[ [#This Row],[Account Withdrawl Amount] ], )</f>
        <v>0</v>
      </c>
      <c r="U69" s="17">
        <f>IF(Table37[[#This Row],[CODE]]=17, Table37[ [#This Row],[Account Deposit Amount] ]-Table37[ [#This Row],[Account Withdrawl Amount] ], )</f>
        <v>0</v>
      </c>
      <c r="V69" s="19">
        <f>IF(Table37[[#This Row],[CODE]]=18, Table37[ [#This Row],[Account Deposit Amount] ]-Table37[ [#This Row],[Account Withdrawl Amount] ], )</f>
        <v>0</v>
      </c>
    </row>
    <row r="70" spans="1:22" ht="13.8" thickBot="1">
      <c r="A70" s="116"/>
      <c r="B70" s="119"/>
      <c r="C70" s="116"/>
      <c r="D70" s="120"/>
      <c r="E70" s="124"/>
      <c r="F70" s="116"/>
      <c r="G70" s="82">
        <f t="shared" si="2"/>
        <v>21774.26</v>
      </c>
      <c r="H70" s="118"/>
      <c r="I70" s="125">
        <f>IF(Table37[[#This Row],[CODE]]=1, Table37[ [#This Row],[Account Deposit Amount] ]-Table37[ [#This Row],[Account Withdrawl Amount] ], )</f>
        <v>0</v>
      </c>
      <c r="J70" s="18">
        <f>IF(Table37[[#This Row],[CODE]]=2, Table37[ [#This Row],[Account Deposit Amount] ]-Table37[ [#This Row],[Account Withdrawl Amount] ], )</f>
        <v>0</v>
      </c>
      <c r="K70" s="18">
        <f>IF(Table37[[#This Row],[CODE]]=3, Table37[ [#This Row],[Account Deposit Amount] ]-Table37[ [#This Row],[Account Withdrawl Amount] ], )</f>
        <v>0</v>
      </c>
      <c r="L70" s="18">
        <f>IF(Table37[[#This Row],[CODE]]=4, Table37[ [#This Row],[Account Deposit Amount] ]-Table37[ [#This Row],[Account Withdrawl Amount] ], )</f>
        <v>0</v>
      </c>
      <c r="M70" s="18">
        <f>IF(Table37[[#This Row],[CODE]]=5, Table37[ [#This Row],[Account Deposit Amount] ]-Table37[ [#This Row],[Account Withdrawl Amount] ], )</f>
        <v>0</v>
      </c>
      <c r="N70" s="18">
        <f>IF(Table37[[#This Row],[CODE]]=6, Table37[ [#This Row],[Account Deposit Amount] ]-Table37[ [#This Row],[Account Withdrawl Amount] ], )</f>
        <v>0</v>
      </c>
      <c r="O70" s="18">
        <f>IF(Table37[[#This Row],[CODE]]=11, Table37[ [#This Row],[Account Deposit Amount] ]-Table37[ [#This Row],[Account Withdrawl Amount] ], )</f>
        <v>0</v>
      </c>
      <c r="P70" s="18">
        <f>IF(Table37[[#This Row],[CODE]]=12, Table37[ [#This Row],[Account Deposit Amount] ]-Table37[ [#This Row],[Account Withdrawl Amount] ], )</f>
        <v>0</v>
      </c>
      <c r="Q70" s="18">
        <f>IF(Table37[[#This Row],[CODE]]=13, Table37[ [#This Row],[Account Deposit Amount] ]-Table37[ [#This Row],[Account Withdrawl Amount] ], )</f>
        <v>0</v>
      </c>
      <c r="R70" s="18">
        <f>IF(Table37[[#This Row],[CODE]]=14, Table37[ [#This Row],[Account Deposit Amount] ]-Table37[ [#This Row],[Account Withdrawl Amount] ], )</f>
        <v>0</v>
      </c>
      <c r="S70" s="18">
        <f>IF(Table37[[#This Row],[CODE]]=15, Table37[ [#This Row],[Account Deposit Amount] ]-Table37[ [#This Row],[Account Withdrawl Amount] ], )</f>
        <v>0</v>
      </c>
      <c r="T70" s="18">
        <f>IF(Table37[[#This Row],[CODE]]=16, Table37[ [#This Row],[Account Deposit Amount] ]-Table37[ [#This Row],[Account Withdrawl Amount] ], )</f>
        <v>0</v>
      </c>
      <c r="U70" s="17">
        <f>IF(Table37[[#This Row],[CODE]]=17, Table37[ [#This Row],[Account Deposit Amount] ]-Table37[ [#This Row],[Account Withdrawl Amount] ], )</f>
        <v>0</v>
      </c>
      <c r="V70" s="19">
        <f>IF(Table37[[#This Row],[CODE]]=18, Table37[ [#This Row],[Account Deposit Amount] ]-Table37[ [#This Row],[Account Withdrawl Amount] ], )</f>
        <v>0</v>
      </c>
    </row>
    <row r="71" spans="1:22" ht="13.8" thickBot="1">
      <c r="A71" s="116"/>
      <c r="B71" s="119"/>
      <c r="C71" s="116"/>
      <c r="D71" s="120"/>
      <c r="E71" s="124"/>
      <c r="F71" s="116"/>
      <c r="G71" s="82">
        <f t="shared" si="2"/>
        <v>21774.26</v>
      </c>
      <c r="H71" s="118"/>
      <c r="I71" s="125">
        <f>IF(Table37[[#This Row],[CODE]]=1, Table37[ [#This Row],[Account Deposit Amount] ]-Table37[ [#This Row],[Account Withdrawl Amount] ], )</f>
        <v>0</v>
      </c>
      <c r="J71" s="18">
        <f>IF(Table37[[#This Row],[CODE]]=2, Table37[ [#This Row],[Account Deposit Amount] ]-Table37[ [#This Row],[Account Withdrawl Amount] ], )</f>
        <v>0</v>
      </c>
      <c r="K71" s="18">
        <f>IF(Table37[[#This Row],[CODE]]=3, Table37[ [#This Row],[Account Deposit Amount] ]-Table37[ [#This Row],[Account Withdrawl Amount] ], )</f>
        <v>0</v>
      </c>
      <c r="L71" s="18">
        <f>IF(Table37[[#This Row],[CODE]]=4, Table37[ [#This Row],[Account Deposit Amount] ]-Table37[ [#This Row],[Account Withdrawl Amount] ], )</f>
        <v>0</v>
      </c>
      <c r="M71" s="18">
        <f>IF(Table37[[#This Row],[CODE]]=5, Table37[ [#This Row],[Account Deposit Amount] ]-Table37[ [#This Row],[Account Withdrawl Amount] ], )</f>
        <v>0</v>
      </c>
      <c r="N71" s="18">
        <f>IF(Table37[[#This Row],[CODE]]=6, Table37[ [#This Row],[Account Deposit Amount] ]-Table37[ [#This Row],[Account Withdrawl Amount] ], )</f>
        <v>0</v>
      </c>
      <c r="O71" s="18">
        <f>IF(Table37[[#This Row],[CODE]]=11, Table37[ [#This Row],[Account Deposit Amount] ]-Table37[ [#This Row],[Account Withdrawl Amount] ], )</f>
        <v>0</v>
      </c>
      <c r="P71" s="18">
        <f>IF(Table37[[#This Row],[CODE]]=12, Table37[ [#This Row],[Account Deposit Amount] ]-Table37[ [#This Row],[Account Withdrawl Amount] ], )</f>
        <v>0</v>
      </c>
      <c r="Q71" s="18">
        <f>IF(Table37[[#This Row],[CODE]]=13, Table37[ [#This Row],[Account Deposit Amount] ]-Table37[ [#This Row],[Account Withdrawl Amount] ], )</f>
        <v>0</v>
      </c>
      <c r="R71" s="18">
        <f>IF(Table37[[#This Row],[CODE]]=14, Table37[ [#This Row],[Account Deposit Amount] ]-Table37[ [#This Row],[Account Withdrawl Amount] ], )</f>
        <v>0</v>
      </c>
      <c r="S71" s="18">
        <f>IF(Table37[[#This Row],[CODE]]=15, Table37[ [#This Row],[Account Deposit Amount] ]-Table37[ [#This Row],[Account Withdrawl Amount] ], )</f>
        <v>0</v>
      </c>
      <c r="T71" s="18">
        <f>IF(Table37[[#This Row],[CODE]]=16, Table37[ [#This Row],[Account Deposit Amount] ]-Table37[ [#This Row],[Account Withdrawl Amount] ], )</f>
        <v>0</v>
      </c>
      <c r="U71" s="17">
        <f>IF(Table37[[#This Row],[CODE]]=17, Table37[ [#This Row],[Account Deposit Amount] ]-Table37[ [#This Row],[Account Withdrawl Amount] ], )</f>
        <v>0</v>
      </c>
      <c r="V71" s="19">
        <f>IF(Table37[[#This Row],[CODE]]=18, Table37[ [#This Row],[Account Deposit Amount] ]-Table37[ [#This Row],[Account Withdrawl Amount] ], )</f>
        <v>0</v>
      </c>
    </row>
    <row r="72" spans="1:22" ht="13.8" thickBot="1">
      <c r="A72" s="116"/>
      <c r="B72" s="119"/>
      <c r="C72" s="116"/>
      <c r="D72" s="120"/>
      <c r="E72" s="124"/>
      <c r="F72" s="116"/>
      <c r="G72" s="82">
        <f t="shared" si="2"/>
        <v>21774.26</v>
      </c>
      <c r="H72" s="118"/>
      <c r="I72" s="125">
        <f>IF(Table37[[#This Row],[CODE]]=1, Table37[ [#This Row],[Account Deposit Amount] ]-Table37[ [#This Row],[Account Withdrawl Amount] ], )</f>
        <v>0</v>
      </c>
      <c r="J72" s="18">
        <f>IF(Table37[[#This Row],[CODE]]=2, Table37[ [#This Row],[Account Deposit Amount] ]-Table37[ [#This Row],[Account Withdrawl Amount] ], )</f>
        <v>0</v>
      </c>
      <c r="K72" s="18">
        <f>IF(Table37[[#This Row],[CODE]]=3, Table37[ [#This Row],[Account Deposit Amount] ]-Table37[ [#This Row],[Account Withdrawl Amount] ], )</f>
        <v>0</v>
      </c>
      <c r="L72" s="18">
        <f>IF(Table37[[#This Row],[CODE]]=4, Table37[ [#This Row],[Account Deposit Amount] ]-Table37[ [#This Row],[Account Withdrawl Amount] ], )</f>
        <v>0</v>
      </c>
      <c r="M72" s="18">
        <f>IF(Table37[[#This Row],[CODE]]=5, Table37[ [#This Row],[Account Deposit Amount] ]-Table37[ [#This Row],[Account Withdrawl Amount] ], )</f>
        <v>0</v>
      </c>
      <c r="N72" s="18">
        <f>IF(Table37[[#This Row],[CODE]]=6, Table37[ [#This Row],[Account Deposit Amount] ]-Table37[ [#This Row],[Account Withdrawl Amount] ], )</f>
        <v>0</v>
      </c>
      <c r="O72" s="18">
        <f>IF(Table37[[#This Row],[CODE]]=11, Table37[ [#This Row],[Account Deposit Amount] ]-Table37[ [#This Row],[Account Withdrawl Amount] ], )</f>
        <v>0</v>
      </c>
      <c r="P72" s="18">
        <f>IF(Table37[[#This Row],[CODE]]=12, Table37[ [#This Row],[Account Deposit Amount] ]-Table37[ [#This Row],[Account Withdrawl Amount] ], )</f>
        <v>0</v>
      </c>
      <c r="Q72" s="18">
        <f>IF(Table37[[#This Row],[CODE]]=13, Table37[ [#This Row],[Account Deposit Amount] ]-Table37[ [#This Row],[Account Withdrawl Amount] ], )</f>
        <v>0</v>
      </c>
      <c r="R72" s="18">
        <f>IF(Table37[[#This Row],[CODE]]=14, Table37[ [#This Row],[Account Deposit Amount] ]-Table37[ [#This Row],[Account Withdrawl Amount] ], )</f>
        <v>0</v>
      </c>
      <c r="S72" s="18">
        <f>IF(Table37[[#This Row],[CODE]]=15, Table37[ [#This Row],[Account Deposit Amount] ]-Table37[ [#This Row],[Account Withdrawl Amount] ], )</f>
        <v>0</v>
      </c>
      <c r="T72" s="18">
        <f>IF(Table37[[#This Row],[CODE]]=16, Table37[ [#This Row],[Account Deposit Amount] ]-Table37[ [#This Row],[Account Withdrawl Amount] ], )</f>
        <v>0</v>
      </c>
      <c r="U72" s="17">
        <f>IF(Table37[[#This Row],[CODE]]=17, Table37[ [#This Row],[Account Deposit Amount] ]-Table37[ [#This Row],[Account Withdrawl Amount] ], )</f>
        <v>0</v>
      </c>
      <c r="V72" s="19">
        <f>IF(Table37[[#This Row],[CODE]]=18, Table37[ [#This Row],[Account Deposit Amount] ]-Table37[ [#This Row],[Account Withdrawl Amount] ], )</f>
        <v>0</v>
      </c>
    </row>
    <row r="73" spans="1:22" ht="13.8" thickBot="1">
      <c r="A73" s="116"/>
      <c r="B73" s="119"/>
      <c r="C73" s="116"/>
      <c r="D73" s="120"/>
      <c r="E73" s="124"/>
      <c r="F73" s="116"/>
      <c r="G73" s="82">
        <f t="shared" si="2"/>
        <v>21774.26</v>
      </c>
      <c r="H73" s="118"/>
      <c r="I73" s="125">
        <f>IF(Table37[[#This Row],[CODE]]=1, Table37[ [#This Row],[Account Deposit Amount] ]-Table37[ [#This Row],[Account Withdrawl Amount] ], )</f>
        <v>0</v>
      </c>
      <c r="J73" s="18">
        <f>IF(Table37[[#This Row],[CODE]]=2, Table37[ [#This Row],[Account Deposit Amount] ]-Table37[ [#This Row],[Account Withdrawl Amount] ], )</f>
        <v>0</v>
      </c>
      <c r="K73" s="18">
        <f>IF(Table37[[#This Row],[CODE]]=3, Table37[ [#This Row],[Account Deposit Amount] ]-Table37[ [#This Row],[Account Withdrawl Amount] ], )</f>
        <v>0</v>
      </c>
      <c r="L73" s="18">
        <f>IF(Table37[[#This Row],[CODE]]=4, Table37[ [#This Row],[Account Deposit Amount] ]-Table37[ [#This Row],[Account Withdrawl Amount] ], )</f>
        <v>0</v>
      </c>
      <c r="M73" s="18">
        <f>IF(Table37[[#This Row],[CODE]]=5, Table37[ [#This Row],[Account Deposit Amount] ]-Table37[ [#This Row],[Account Withdrawl Amount] ], )</f>
        <v>0</v>
      </c>
      <c r="N73" s="18">
        <f>IF(Table37[[#This Row],[CODE]]=6, Table37[ [#This Row],[Account Deposit Amount] ]-Table37[ [#This Row],[Account Withdrawl Amount] ], )</f>
        <v>0</v>
      </c>
      <c r="O73" s="18">
        <f>IF(Table37[[#This Row],[CODE]]=11, Table37[ [#This Row],[Account Deposit Amount] ]-Table37[ [#This Row],[Account Withdrawl Amount] ], )</f>
        <v>0</v>
      </c>
      <c r="P73" s="18">
        <f>IF(Table37[[#This Row],[CODE]]=12, Table37[ [#This Row],[Account Deposit Amount] ]-Table37[ [#This Row],[Account Withdrawl Amount] ], )</f>
        <v>0</v>
      </c>
      <c r="Q73" s="18">
        <f>IF(Table37[[#This Row],[CODE]]=13, Table37[ [#This Row],[Account Deposit Amount] ]-Table37[ [#This Row],[Account Withdrawl Amount] ], )</f>
        <v>0</v>
      </c>
      <c r="R73" s="18">
        <f>IF(Table37[[#This Row],[CODE]]=14, Table37[ [#This Row],[Account Deposit Amount] ]-Table37[ [#This Row],[Account Withdrawl Amount] ], )</f>
        <v>0</v>
      </c>
      <c r="S73" s="18">
        <f>IF(Table37[[#This Row],[CODE]]=15, Table37[ [#This Row],[Account Deposit Amount] ]-Table37[ [#This Row],[Account Withdrawl Amount] ], )</f>
        <v>0</v>
      </c>
      <c r="T73" s="18">
        <f>IF(Table37[[#This Row],[CODE]]=16, Table37[ [#This Row],[Account Deposit Amount] ]-Table37[ [#This Row],[Account Withdrawl Amount] ], )</f>
        <v>0</v>
      </c>
      <c r="U73" s="17">
        <f>IF(Table37[[#This Row],[CODE]]=17, Table37[ [#This Row],[Account Deposit Amount] ]-Table37[ [#This Row],[Account Withdrawl Amount] ], )</f>
        <v>0</v>
      </c>
      <c r="V73" s="19">
        <f>IF(Table37[[#This Row],[CODE]]=18, Table37[ [#This Row],[Account Deposit Amount] ]-Table37[ [#This Row],[Account Withdrawl Amount] ], )</f>
        <v>0</v>
      </c>
    </row>
    <row r="74" spans="1:22" ht="13.8" thickBot="1">
      <c r="A74" s="116"/>
      <c r="B74" s="119"/>
      <c r="C74" s="116"/>
      <c r="D74" s="120"/>
      <c r="E74" s="124"/>
      <c r="F74" s="116"/>
      <c r="G74" s="82">
        <f t="shared" si="2"/>
        <v>21774.26</v>
      </c>
      <c r="H74" s="118"/>
      <c r="I74" s="125">
        <f>IF(Table37[[#This Row],[CODE]]=1, Table37[ [#This Row],[Account Deposit Amount] ]-Table37[ [#This Row],[Account Withdrawl Amount] ], )</f>
        <v>0</v>
      </c>
      <c r="J74" s="18">
        <f>IF(Table37[[#This Row],[CODE]]=2, Table37[ [#This Row],[Account Deposit Amount] ]-Table37[ [#This Row],[Account Withdrawl Amount] ], )</f>
        <v>0</v>
      </c>
      <c r="K74" s="18">
        <f>IF(Table37[[#This Row],[CODE]]=3, Table37[ [#This Row],[Account Deposit Amount] ]-Table37[ [#This Row],[Account Withdrawl Amount] ], )</f>
        <v>0</v>
      </c>
      <c r="L74" s="18">
        <f>IF(Table37[[#This Row],[CODE]]=4, Table37[ [#This Row],[Account Deposit Amount] ]-Table37[ [#This Row],[Account Withdrawl Amount] ], )</f>
        <v>0</v>
      </c>
      <c r="M74" s="18">
        <f>IF(Table37[[#This Row],[CODE]]=5, Table37[ [#This Row],[Account Deposit Amount] ]-Table37[ [#This Row],[Account Withdrawl Amount] ], )</f>
        <v>0</v>
      </c>
      <c r="N74" s="18">
        <f>IF(Table37[[#This Row],[CODE]]=6, Table37[ [#This Row],[Account Deposit Amount] ]-Table37[ [#This Row],[Account Withdrawl Amount] ], )</f>
        <v>0</v>
      </c>
      <c r="O74" s="18">
        <f>IF(Table37[[#This Row],[CODE]]=11, Table37[ [#This Row],[Account Deposit Amount] ]-Table37[ [#This Row],[Account Withdrawl Amount] ], )</f>
        <v>0</v>
      </c>
      <c r="P74" s="18">
        <f>IF(Table37[[#This Row],[CODE]]=12, Table37[ [#This Row],[Account Deposit Amount] ]-Table37[ [#This Row],[Account Withdrawl Amount] ], )</f>
        <v>0</v>
      </c>
      <c r="Q74" s="18">
        <f>IF(Table37[[#This Row],[CODE]]=13, Table37[ [#This Row],[Account Deposit Amount] ]-Table37[ [#This Row],[Account Withdrawl Amount] ], )</f>
        <v>0</v>
      </c>
      <c r="R74" s="18">
        <f>IF(Table37[[#This Row],[CODE]]=14, Table37[ [#This Row],[Account Deposit Amount] ]-Table37[ [#This Row],[Account Withdrawl Amount] ], )</f>
        <v>0</v>
      </c>
      <c r="S74" s="18">
        <f>IF(Table37[[#This Row],[CODE]]=15, Table37[ [#This Row],[Account Deposit Amount] ]-Table37[ [#This Row],[Account Withdrawl Amount] ], )</f>
        <v>0</v>
      </c>
      <c r="T74" s="18">
        <f>IF(Table37[[#This Row],[CODE]]=16, Table37[ [#This Row],[Account Deposit Amount] ]-Table37[ [#This Row],[Account Withdrawl Amount] ], )</f>
        <v>0</v>
      </c>
      <c r="U74" s="17">
        <f>IF(Table37[[#This Row],[CODE]]=17, Table37[ [#This Row],[Account Deposit Amount] ]-Table37[ [#This Row],[Account Withdrawl Amount] ], )</f>
        <v>0</v>
      </c>
      <c r="V74" s="19">
        <f>IF(Table37[[#This Row],[CODE]]=18, Table37[ [#This Row],[Account Deposit Amount] ]-Table37[ [#This Row],[Account Withdrawl Amount] ], )</f>
        <v>0</v>
      </c>
    </row>
    <row r="75" spans="1:22" ht="12.6" thickBot="1">
      <c r="A75" s="23"/>
      <c r="B75" s="24"/>
      <c r="C75" s="23"/>
      <c r="D75" s="25"/>
      <c r="E75" s="26"/>
      <c r="F75" s="26"/>
      <c r="G75" s="82">
        <f t="shared" si="2"/>
        <v>21774.26</v>
      </c>
      <c r="H75" s="23"/>
      <c r="I75" s="125">
        <f>IF(Table37[[#This Row],[CODE]]=1, Table37[ [#This Row],[Account Deposit Amount] ]-Table37[ [#This Row],[Account Withdrawl Amount] ], )</f>
        <v>0</v>
      </c>
      <c r="J75" s="18">
        <f>IF(Table37[[#This Row],[CODE]]=2, Table37[ [#This Row],[Account Deposit Amount] ]-Table37[ [#This Row],[Account Withdrawl Amount] ], )</f>
        <v>0</v>
      </c>
      <c r="K75" s="18">
        <f>IF(Table37[[#This Row],[CODE]]=3, Table37[ [#This Row],[Account Deposit Amount] ]-Table37[ [#This Row],[Account Withdrawl Amount] ], )</f>
        <v>0</v>
      </c>
      <c r="L75" s="18">
        <f>IF(Table37[[#This Row],[CODE]]=4, Table37[ [#This Row],[Account Deposit Amount] ]-Table37[ [#This Row],[Account Withdrawl Amount] ], )</f>
        <v>0</v>
      </c>
      <c r="M75" s="18">
        <f>IF(Table37[[#This Row],[CODE]]=5, Table37[ [#This Row],[Account Deposit Amount] ]-Table37[ [#This Row],[Account Withdrawl Amount] ], )</f>
        <v>0</v>
      </c>
      <c r="N75" s="18">
        <f>IF(Table37[[#This Row],[CODE]]=6, Table37[ [#This Row],[Account Deposit Amount] ]-Table37[ [#This Row],[Account Withdrawl Amount] ], )</f>
        <v>0</v>
      </c>
      <c r="O75" s="18">
        <f>IF(Table37[[#This Row],[CODE]]=11, Table37[ [#This Row],[Account Deposit Amount] ]-Table37[ [#This Row],[Account Withdrawl Amount] ], )</f>
        <v>0</v>
      </c>
      <c r="P75" s="18">
        <f>IF(Table37[[#This Row],[CODE]]=12, Table37[ [#This Row],[Account Deposit Amount] ]-Table37[ [#This Row],[Account Withdrawl Amount] ], )</f>
        <v>0</v>
      </c>
      <c r="Q75" s="18">
        <f>IF(Table37[[#This Row],[CODE]]=13, Table37[ [#This Row],[Account Deposit Amount] ]-Table37[ [#This Row],[Account Withdrawl Amount] ], )</f>
        <v>0</v>
      </c>
      <c r="R75" s="18">
        <f>IF(Table37[[#This Row],[CODE]]=14, Table37[ [#This Row],[Account Deposit Amount] ]-Table37[ [#This Row],[Account Withdrawl Amount] ], )</f>
        <v>0</v>
      </c>
      <c r="S75" s="18">
        <f>IF(Table37[[#This Row],[CODE]]=15, Table37[ [#This Row],[Account Deposit Amount] ]-Table37[ [#This Row],[Account Withdrawl Amount] ], )</f>
        <v>0</v>
      </c>
      <c r="T75" s="18">
        <f>IF(Table37[[#This Row],[CODE]]=16, Table37[ [#This Row],[Account Deposit Amount] ]-Table37[ [#This Row],[Account Withdrawl Amount] ], )</f>
        <v>0</v>
      </c>
      <c r="U75" s="17">
        <f>IF(Table37[[#This Row],[CODE]]=17, Table37[ [#This Row],[Account Deposit Amount] ]-Table37[ [#This Row],[Account Withdrawl Amount] ], )</f>
        <v>0</v>
      </c>
      <c r="V75" s="19">
        <f>IF(Table37[[#This Row],[CODE]]=18, Table37[ [#This Row],[Account Deposit Amount] ]-Table37[ [#This Row],[Account Withdrawl Amount] ], )</f>
        <v>0</v>
      </c>
    </row>
    <row r="76" spans="1:22" ht="12.6" thickBot="1">
      <c r="A76" s="23"/>
      <c r="B76" s="24"/>
      <c r="C76" s="23"/>
      <c r="D76" s="25"/>
      <c r="E76" s="26"/>
      <c r="F76" s="26"/>
      <c r="G76" s="82">
        <f t="shared" si="2"/>
        <v>21774.26</v>
      </c>
      <c r="H76" s="23"/>
      <c r="I76" s="125">
        <f>IF(Table37[[#This Row],[CODE]]=1, Table37[ [#This Row],[Account Deposit Amount] ]-Table37[ [#This Row],[Account Withdrawl Amount] ], )</f>
        <v>0</v>
      </c>
      <c r="J76" s="18">
        <f>IF(Table37[[#This Row],[CODE]]=2, Table37[ [#This Row],[Account Deposit Amount] ]-Table37[ [#This Row],[Account Withdrawl Amount] ], )</f>
        <v>0</v>
      </c>
      <c r="K76" s="18">
        <f>IF(Table37[[#This Row],[CODE]]=3, Table37[ [#This Row],[Account Deposit Amount] ]-Table37[ [#This Row],[Account Withdrawl Amount] ], )</f>
        <v>0</v>
      </c>
      <c r="L76" s="18">
        <f>IF(Table37[[#This Row],[CODE]]=4, Table37[ [#This Row],[Account Deposit Amount] ]-Table37[ [#This Row],[Account Withdrawl Amount] ], )</f>
        <v>0</v>
      </c>
      <c r="M76" s="18">
        <f>IF(Table37[[#This Row],[CODE]]=5, Table37[ [#This Row],[Account Deposit Amount] ]-Table37[ [#This Row],[Account Withdrawl Amount] ], )</f>
        <v>0</v>
      </c>
      <c r="N76" s="18">
        <f>IF(Table37[[#This Row],[CODE]]=6, Table37[ [#This Row],[Account Deposit Amount] ]-Table37[ [#This Row],[Account Withdrawl Amount] ], )</f>
        <v>0</v>
      </c>
      <c r="O76" s="18">
        <f>IF(Table37[[#This Row],[CODE]]=11, Table37[ [#This Row],[Account Deposit Amount] ]-Table37[ [#This Row],[Account Withdrawl Amount] ], )</f>
        <v>0</v>
      </c>
      <c r="P76" s="18">
        <f>IF(Table37[[#This Row],[CODE]]=12, Table37[ [#This Row],[Account Deposit Amount] ]-Table37[ [#This Row],[Account Withdrawl Amount] ], )</f>
        <v>0</v>
      </c>
      <c r="Q76" s="18">
        <f>IF(Table37[[#This Row],[CODE]]=13, Table37[ [#This Row],[Account Deposit Amount] ]-Table37[ [#This Row],[Account Withdrawl Amount] ], )</f>
        <v>0</v>
      </c>
      <c r="R76" s="18">
        <f>IF(Table37[[#This Row],[CODE]]=14, Table37[ [#This Row],[Account Deposit Amount] ]-Table37[ [#This Row],[Account Withdrawl Amount] ], )</f>
        <v>0</v>
      </c>
      <c r="S76" s="18">
        <f>IF(Table37[[#This Row],[CODE]]=15, Table37[ [#This Row],[Account Deposit Amount] ]-Table37[ [#This Row],[Account Withdrawl Amount] ], )</f>
        <v>0</v>
      </c>
      <c r="T76" s="18">
        <f>IF(Table37[[#This Row],[CODE]]=16, Table37[ [#This Row],[Account Deposit Amount] ]-Table37[ [#This Row],[Account Withdrawl Amount] ], )</f>
        <v>0</v>
      </c>
      <c r="U76" s="17">
        <f>IF(Table37[[#This Row],[CODE]]=17, Table37[ [#This Row],[Account Deposit Amount] ]-Table37[ [#This Row],[Account Withdrawl Amount] ], )</f>
        <v>0</v>
      </c>
      <c r="V76" s="19">
        <f>IF(Table37[[#This Row],[CODE]]=18, Table37[ [#This Row],[Account Deposit Amount] ]-Table37[ [#This Row],[Account Withdrawl Amount] ], )</f>
        <v>0</v>
      </c>
    </row>
    <row r="77" spans="1:22" ht="12.6" thickBot="1">
      <c r="A77" s="23"/>
      <c r="B77" s="24"/>
      <c r="C77" s="23"/>
      <c r="D77" s="25"/>
      <c r="E77" s="26"/>
      <c r="F77" s="26"/>
      <c r="G77" s="82">
        <f t="shared" si="2"/>
        <v>21774.26</v>
      </c>
      <c r="H77" s="23"/>
      <c r="I77" s="125">
        <f>IF(Table37[[#This Row],[CODE]]=1, Table37[ [#This Row],[Account Deposit Amount] ]-Table37[ [#This Row],[Account Withdrawl Amount] ], )</f>
        <v>0</v>
      </c>
      <c r="J77" s="18">
        <f>IF(Table37[[#This Row],[CODE]]=2, Table37[ [#This Row],[Account Deposit Amount] ]-Table37[ [#This Row],[Account Withdrawl Amount] ], )</f>
        <v>0</v>
      </c>
      <c r="K77" s="18">
        <f>IF(Table37[[#This Row],[CODE]]=3, Table37[ [#This Row],[Account Deposit Amount] ]-Table37[ [#This Row],[Account Withdrawl Amount] ], )</f>
        <v>0</v>
      </c>
      <c r="L77" s="18">
        <f>IF(Table37[[#This Row],[CODE]]=4, Table37[ [#This Row],[Account Deposit Amount] ]-Table37[ [#This Row],[Account Withdrawl Amount] ], )</f>
        <v>0</v>
      </c>
      <c r="M77" s="18">
        <f>IF(Table37[[#This Row],[CODE]]=5, Table37[ [#This Row],[Account Deposit Amount] ]-Table37[ [#This Row],[Account Withdrawl Amount] ], )</f>
        <v>0</v>
      </c>
      <c r="N77" s="18">
        <f>IF(Table37[[#This Row],[CODE]]=6, Table37[ [#This Row],[Account Deposit Amount] ]-Table37[ [#This Row],[Account Withdrawl Amount] ], )</f>
        <v>0</v>
      </c>
      <c r="O77" s="18">
        <f>IF(Table37[[#This Row],[CODE]]=11, Table37[ [#This Row],[Account Deposit Amount] ]-Table37[ [#This Row],[Account Withdrawl Amount] ], )</f>
        <v>0</v>
      </c>
      <c r="P77" s="18">
        <f>IF(Table37[[#This Row],[CODE]]=12, Table37[ [#This Row],[Account Deposit Amount] ]-Table37[ [#This Row],[Account Withdrawl Amount] ], )</f>
        <v>0</v>
      </c>
      <c r="Q77" s="18">
        <f>IF(Table37[[#This Row],[CODE]]=13, Table37[ [#This Row],[Account Deposit Amount] ]-Table37[ [#This Row],[Account Withdrawl Amount] ], )</f>
        <v>0</v>
      </c>
      <c r="R77" s="18">
        <f>IF(Table37[[#This Row],[CODE]]=14, Table37[ [#This Row],[Account Deposit Amount] ]-Table37[ [#This Row],[Account Withdrawl Amount] ], )</f>
        <v>0</v>
      </c>
      <c r="S77" s="18">
        <f>IF(Table37[[#This Row],[CODE]]=15, Table37[ [#This Row],[Account Deposit Amount] ]-Table37[ [#This Row],[Account Withdrawl Amount] ], )</f>
        <v>0</v>
      </c>
      <c r="T77" s="18">
        <f>IF(Table37[[#This Row],[CODE]]=16, Table37[ [#This Row],[Account Deposit Amount] ]-Table37[ [#This Row],[Account Withdrawl Amount] ], )</f>
        <v>0</v>
      </c>
      <c r="U77" s="17">
        <f>IF(Table37[[#This Row],[CODE]]=17, Table37[ [#This Row],[Account Deposit Amount] ]-Table37[ [#This Row],[Account Withdrawl Amount] ], )</f>
        <v>0</v>
      </c>
      <c r="V77" s="19">
        <f>IF(Table37[[#This Row],[CODE]]=18, Table37[ [#This Row],[Account Deposit Amount] ]-Table37[ [#This Row],[Account Withdrawl Amount] ], )</f>
        <v>0</v>
      </c>
    </row>
    <row r="78" spans="1:22" ht="12.6" thickBot="1">
      <c r="A78" s="23"/>
      <c r="B78" s="24"/>
      <c r="C78" s="23"/>
      <c r="D78" s="25"/>
      <c r="E78" s="26"/>
      <c r="F78" s="26"/>
      <c r="G78" s="82">
        <f t="shared" si="2"/>
        <v>21774.26</v>
      </c>
      <c r="H78" s="23"/>
      <c r="I78" s="125">
        <f>IF(Table37[[#This Row],[CODE]]=1, Table37[ [#This Row],[Account Deposit Amount] ]-Table37[ [#This Row],[Account Withdrawl Amount] ], )</f>
        <v>0</v>
      </c>
      <c r="J78" s="18">
        <f>IF(Table37[[#This Row],[CODE]]=2, Table37[ [#This Row],[Account Deposit Amount] ]-Table37[ [#This Row],[Account Withdrawl Amount] ], )</f>
        <v>0</v>
      </c>
      <c r="K78" s="18">
        <f>IF(Table37[[#This Row],[CODE]]=3, Table37[ [#This Row],[Account Deposit Amount] ]-Table37[ [#This Row],[Account Withdrawl Amount] ], )</f>
        <v>0</v>
      </c>
      <c r="L78" s="18">
        <f>IF(Table37[[#This Row],[CODE]]=4, Table37[ [#This Row],[Account Deposit Amount] ]-Table37[ [#This Row],[Account Withdrawl Amount] ], )</f>
        <v>0</v>
      </c>
      <c r="M78" s="18">
        <f>IF(Table37[[#This Row],[CODE]]=5, Table37[ [#This Row],[Account Deposit Amount] ]-Table37[ [#This Row],[Account Withdrawl Amount] ], )</f>
        <v>0</v>
      </c>
      <c r="N78" s="18">
        <f>IF(Table37[[#This Row],[CODE]]=6, Table37[ [#This Row],[Account Deposit Amount] ]-Table37[ [#This Row],[Account Withdrawl Amount] ], )</f>
        <v>0</v>
      </c>
      <c r="O78" s="18">
        <f>IF(Table37[[#This Row],[CODE]]=11, Table37[ [#This Row],[Account Deposit Amount] ]-Table37[ [#This Row],[Account Withdrawl Amount] ], )</f>
        <v>0</v>
      </c>
      <c r="P78" s="18">
        <f>IF(Table37[[#This Row],[CODE]]=12, Table37[ [#This Row],[Account Deposit Amount] ]-Table37[ [#This Row],[Account Withdrawl Amount] ], )</f>
        <v>0</v>
      </c>
      <c r="Q78" s="18">
        <f>IF(Table37[[#This Row],[CODE]]=13, Table37[ [#This Row],[Account Deposit Amount] ]-Table37[ [#This Row],[Account Withdrawl Amount] ], )</f>
        <v>0</v>
      </c>
      <c r="R78" s="18">
        <f>IF(Table37[[#This Row],[CODE]]=14, Table37[ [#This Row],[Account Deposit Amount] ]-Table37[ [#This Row],[Account Withdrawl Amount] ], )</f>
        <v>0</v>
      </c>
      <c r="S78" s="18">
        <f>IF(Table37[[#This Row],[CODE]]=15, Table37[ [#This Row],[Account Deposit Amount] ]-Table37[ [#This Row],[Account Withdrawl Amount] ], )</f>
        <v>0</v>
      </c>
      <c r="T78" s="18">
        <f>IF(Table37[[#This Row],[CODE]]=16, Table37[ [#This Row],[Account Deposit Amount] ]-Table37[ [#This Row],[Account Withdrawl Amount] ], )</f>
        <v>0</v>
      </c>
      <c r="U78" s="17">
        <f>IF(Table37[[#This Row],[CODE]]=17, Table37[ [#This Row],[Account Deposit Amount] ]-Table37[ [#This Row],[Account Withdrawl Amount] ], )</f>
        <v>0</v>
      </c>
      <c r="V78" s="19">
        <f>IF(Table37[[#This Row],[CODE]]=18, Table37[ [#This Row],[Account Deposit Amount] ]-Table37[ [#This Row],[Account Withdrawl Amount] ], )</f>
        <v>0</v>
      </c>
    </row>
    <row r="79" spans="1:22" ht="12.6" thickBot="1">
      <c r="A79" s="23"/>
      <c r="B79" s="24"/>
      <c r="C79" s="23"/>
      <c r="D79" s="25"/>
      <c r="E79" s="26"/>
      <c r="F79" s="26"/>
      <c r="G79" s="82">
        <f t="shared" si="2"/>
        <v>21774.26</v>
      </c>
      <c r="H79" s="23"/>
      <c r="I79" s="125">
        <f>IF(Table37[[#This Row],[CODE]]=1, Table37[ [#This Row],[Account Deposit Amount] ]-Table37[ [#This Row],[Account Withdrawl Amount] ], )</f>
        <v>0</v>
      </c>
      <c r="J79" s="18">
        <f>IF(Table37[[#This Row],[CODE]]=2, Table37[ [#This Row],[Account Deposit Amount] ]-Table37[ [#This Row],[Account Withdrawl Amount] ], )</f>
        <v>0</v>
      </c>
      <c r="K79" s="18">
        <f>IF(Table37[[#This Row],[CODE]]=3, Table37[ [#This Row],[Account Deposit Amount] ]-Table37[ [#This Row],[Account Withdrawl Amount] ], )</f>
        <v>0</v>
      </c>
      <c r="L79" s="18">
        <f>IF(Table37[[#This Row],[CODE]]=4, Table37[ [#This Row],[Account Deposit Amount] ]-Table37[ [#This Row],[Account Withdrawl Amount] ], )</f>
        <v>0</v>
      </c>
      <c r="M79" s="18">
        <f>IF(Table37[[#This Row],[CODE]]=5, Table37[ [#This Row],[Account Deposit Amount] ]-Table37[ [#This Row],[Account Withdrawl Amount] ], )</f>
        <v>0</v>
      </c>
      <c r="N79" s="18">
        <f>IF(Table37[[#This Row],[CODE]]=6, Table37[ [#This Row],[Account Deposit Amount] ]-Table37[ [#This Row],[Account Withdrawl Amount] ], )</f>
        <v>0</v>
      </c>
      <c r="O79" s="18">
        <f>IF(Table37[[#This Row],[CODE]]=11, Table37[ [#This Row],[Account Deposit Amount] ]-Table37[ [#This Row],[Account Withdrawl Amount] ], )</f>
        <v>0</v>
      </c>
      <c r="P79" s="18">
        <f>IF(Table37[[#This Row],[CODE]]=12, Table37[ [#This Row],[Account Deposit Amount] ]-Table37[ [#This Row],[Account Withdrawl Amount] ], )</f>
        <v>0</v>
      </c>
      <c r="Q79" s="18">
        <f>IF(Table37[[#This Row],[CODE]]=13, Table37[ [#This Row],[Account Deposit Amount] ]-Table37[ [#This Row],[Account Withdrawl Amount] ], )</f>
        <v>0</v>
      </c>
      <c r="R79" s="18">
        <f>IF(Table37[[#This Row],[CODE]]=14, Table37[ [#This Row],[Account Deposit Amount] ]-Table37[ [#This Row],[Account Withdrawl Amount] ], )</f>
        <v>0</v>
      </c>
      <c r="S79" s="18">
        <f>IF(Table37[[#This Row],[CODE]]=15, Table37[ [#This Row],[Account Deposit Amount] ]-Table37[ [#This Row],[Account Withdrawl Amount] ], )</f>
        <v>0</v>
      </c>
      <c r="T79" s="18">
        <f>IF(Table37[[#This Row],[CODE]]=16, Table37[ [#This Row],[Account Deposit Amount] ]-Table37[ [#This Row],[Account Withdrawl Amount] ], )</f>
        <v>0</v>
      </c>
      <c r="U79" s="17">
        <f>IF(Table37[[#This Row],[CODE]]=17, Table37[ [#This Row],[Account Deposit Amount] ]-Table37[ [#This Row],[Account Withdrawl Amount] ], )</f>
        <v>0</v>
      </c>
      <c r="V79" s="19">
        <f>IF(Table37[[#This Row],[CODE]]=18, Table37[ [#This Row],[Account Deposit Amount] ]-Table37[ [#This Row],[Account Withdrawl Amount] ], )</f>
        <v>0</v>
      </c>
    </row>
    <row r="80" spans="1:22" ht="13.8" thickBot="1">
      <c r="A80" s="116"/>
      <c r="B80" s="119"/>
      <c r="C80" s="116"/>
      <c r="D80" s="120"/>
      <c r="E80" s="124"/>
      <c r="F80" s="116"/>
      <c r="G80" s="82">
        <f t="shared" si="2"/>
        <v>21774.26</v>
      </c>
      <c r="H80" s="118"/>
      <c r="I80" s="125"/>
      <c r="J80" s="18"/>
      <c r="K80" s="18"/>
      <c r="L80" s="18"/>
      <c r="M80" s="18"/>
      <c r="N80" s="18"/>
      <c r="O80" s="18"/>
      <c r="P80" s="18"/>
      <c r="Q80" s="18"/>
      <c r="R80" s="18"/>
      <c r="S80" s="18"/>
      <c r="T80" s="18"/>
      <c r="U80" s="17">
        <f>IF(Table37[[#This Row],[CODE]]=17, Table37[ [#This Row],[Account Deposit Amount] ]-Table37[ [#This Row],[Account Withdrawl Amount] ], )</f>
        <v>0</v>
      </c>
      <c r="V80" s="19">
        <f>IF(Table37[[#This Row],[CODE]]=18, Table37[ [#This Row],[Account Deposit Amount] ]-Table37[ [#This Row],[Account Withdrawl Amount] ], )</f>
        <v>0</v>
      </c>
    </row>
  </sheetData>
  <sheetProtection formatCells="0" formatColumns="0" formatRows="0" insertColumns="0" insertRows="0" selectLockedCells="1" sort="0" autoFilter="0"/>
  <mergeCells count="4">
    <mergeCell ref="I1:L1"/>
    <mergeCell ref="M1:N1"/>
    <mergeCell ref="O1:T1"/>
    <mergeCell ref="U1:V1"/>
  </mergeCells>
  <hyperlinks>
    <hyperlink ref="C48" r:id="rId1" display="http://amazon.com/" xr:uid="{5ED08459-2A41-40EA-9A8E-94593A4C482E}"/>
    <hyperlink ref="C49" r:id="rId2" display="http://amazon.com/" xr:uid="{59EDF251-3711-4F0F-9594-9288861E6933}"/>
  </hyperlinks>
  <pageMargins left="0.7" right="0.7" top="0.75" bottom="0.75" header="0.3" footer="0.3"/>
  <pageSetup orientation="portrait" r:id="rId3"/>
  <legacyDrawing r:id="rId4"/>
  <tableParts count="2">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F9631B0AA0984ABC720B253C7B9FD3" ma:contentTypeVersion="15" ma:contentTypeDescription="Create a new document." ma:contentTypeScope="" ma:versionID="383ec58ca1ca1c764458a11fcde3beb4">
  <xsd:schema xmlns:xsd="http://www.w3.org/2001/XMLSchema" xmlns:xs="http://www.w3.org/2001/XMLSchema" xmlns:p="http://schemas.microsoft.com/office/2006/metadata/properties" xmlns:ns2="b9ca7438-4a44-40e3-985d-1b1435846e23" xmlns:ns3="5acd6097-ce7d-4250-b443-7d78d350a927" targetNamespace="http://schemas.microsoft.com/office/2006/metadata/properties" ma:root="true" ma:fieldsID="c974cb31ce6553dd5c7704242d8e705b" ns2:_="" ns3:_="">
    <xsd:import namespace="b9ca7438-4a44-40e3-985d-1b1435846e23"/>
    <xsd:import namespace="5acd6097-ce7d-4250-b443-7d78d350a9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a7438-4a44-40e3-985d-1b1435846e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bb7fc3e-c313-4a32-affc-457a134bb1c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cd6097-ce7d-4250-b443-7d78d350a92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1034b69-f69c-460e-bebf-f7c128cac572}" ma:internalName="TaxCatchAll" ma:showField="CatchAllData" ma:web="5acd6097-ce7d-4250-b443-7d78d350a9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ca7438-4a44-40e3-985d-1b1435846e23">
      <Terms xmlns="http://schemas.microsoft.com/office/infopath/2007/PartnerControls"/>
    </lcf76f155ced4ddcb4097134ff3c332f>
    <TaxCatchAll xmlns="5acd6097-ce7d-4250-b443-7d78d350a927" xsi:nil="true"/>
  </documentManagement>
</p:properties>
</file>

<file path=customXml/itemProps1.xml><?xml version="1.0" encoding="utf-8"?>
<ds:datastoreItem xmlns:ds="http://schemas.openxmlformats.org/officeDocument/2006/customXml" ds:itemID="{5A71F397-69E0-4DE4-92DF-8DD17D52486A}">
  <ds:schemaRefs>
    <ds:schemaRef ds:uri="http://schemas.microsoft.com/sharepoint/v3/contenttype/forms"/>
  </ds:schemaRefs>
</ds:datastoreItem>
</file>

<file path=customXml/itemProps2.xml><?xml version="1.0" encoding="utf-8"?>
<ds:datastoreItem xmlns:ds="http://schemas.openxmlformats.org/officeDocument/2006/customXml" ds:itemID="{C26334AD-C713-494E-A4A4-4973B3255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a7438-4a44-40e3-985d-1b1435846e23"/>
    <ds:schemaRef ds:uri="5acd6097-ce7d-4250-b443-7d78d350a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0FBE48-D656-4680-8DC2-93781A551BAA}">
  <ds:schemaRefs>
    <ds:schemaRef ds:uri="http://schemas.microsoft.com/office/2006/metadata/properties"/>
    <ds:schemaRef ds:uri="http://schemas.microsoft.com/office/infopath/2007/PartnerControls"/>
    <ds:schemaRef ds:uri="b9ca7438-4a44-40e3-985d-1b1435846e23"/>
    <ds:schemaRef ds:uri="5acd6097-ce7d-4250-b443-7d78d350a9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Instructions</vt:lpstr>
      <vt:lpstr>passcode</vt:lpstr>
      <vt:lpstr>BankTransactions25</vt:lpstr>
      <vt:lpstr>Category Detail</vt:lpstr>
      <vt:lpstr>AR Summary</vt:lpstr>
      <vt:lpstr>Product BreakDown</vt:lpstr>
      <vt:lpstr>Example</vt:lpstr>
      <vt:lpstr>June</vt:lpstr>
      <vt:lpstr>May</vt:lpstr>
      <vt:lpstr>July</vt:lpstr>
      <vt:lpstr>Aug</vt:lpstr>
      <vt:lpstr>Sept</vt:lpstr>
      <vt:lpstr>Oct</vt:lpstr>
      <vt:lpstr>Nov</vt:lpstr>
      <vt:lpstr>Dec</vt:lpstr>
      <vt:lpstr>Jan</vt:lpstr>
      <vt:lpstr>Feb</vt:lpstr>
      <vt:lpstr>Mar</vt:lpstr>
      <vt:lpstr>April</vt:lpstr>
      <vt:lpstr>AR Summary by Month</vt:lpstr>
      <vt:lpstr>Sample Ledger2025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Christensen</dc:creator>
  <cp:keywords/>
  <dc:description/>
  <cp:lastModifiedBy>Roechele Parsons</cp:lastModifiedBy>
  <cp:revision/>
  <dcterms:created xsi:type="dcterms:W3CDTF">2022-04-29T20:43:13Z</dcterms:created>
  <dcterms:modified xsi:type="dcterms:W3CDTF">2025-04-21T15:59:18Z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0x010100C3F9631B0AA0984ABC720B253C7B9FD3</vt:lpwstr>
  </property>
  <property fmtid="{D5CDD505-2E9C-101B-9397-08002B2CF9AE}" pid="3" name="MediaServiceImageTags">
    <vt:lpwstr/>
  </property>
</Properties>
</file>